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15" windowWidth="9720" windowHeight="7320" tabRatio="796" activeTab="1"/>
  </bookViews>
  <sheets>
    <sheet name="shaxda Guud" sheetId="197" r:id="rId1"/>
    <sheet name="Sum 1" sheetId="181" r:id="rId2"/>
    <sheet name="Soo koobida guud" sheetId="214" r:id="rId3"/>
    <sheet name="1-1A" sheetId="1" r:id="rId4"/>
    <sheet name="1B" sheetId="91" r:id="rId5"/>
    <sheet name="2" sheetId="83" r:id="rId6"/>
    <sheet name="3" sheetId="17" r:id="rId7"/>
    <sheet name="4" sheetId="16" r:id="rId8"/>
    <sheet name="5" sheetId="18" r:id="rId9"/>
    <sheet name="6" sheetId="19" r:id="rId10"/>
    <sheet name="7" sheetId="21" r:id="rId11"/>
    <sheet name="8" sheetId="59" r:id="rId12"/>
    <sheet name="8A" sheetId="100" r:id="rId13"/>
    <sheet name="8B" sheetId="185" r:id="rId14"/>
    <sheet name="8C" sheetId="212" r:id="rId15"/>
    <sheet name="8D" sheetId="213" r:id="rId16"/>
    <sheet name="9" sheetId="24" r:id="rId17"/>
    <sheet name="10" sheetId="25" r:id="rId18"/>
    <sheet name="10a" sheetId="28" r:id="rId19"/>
    <sheet name="10b" sheetId="175" r:id="rId20"/>
    <sheet name="10c" sheetId="116" r:id="rId21"/>
    <sheet name="10d" sheetId="114" r:id="rId22"/>
    <sheet name="11" sheetId="183" r:id="rId23"/>
    <sheet name="11a" sheetId="31" r:id="rId24"/>
    <sheet name="11b" sheetId="92" r:id="rId25"/>
    <sheet name="11c" sheetId="167" r:id="rId26"/>
    <sheet name="11d" sheetId="163" r:id="rId27"/>
    <sheet name="12" sheetId="162" r:id="rId28"/>
    <sheet name="12a" sheetId="93" r:id="rId29"/>
    <sheet name="13" sheetId="165" r:id="rId30"/>
    <sheet name="13A" sheetId="168" r:id="rId31"/>
    <sheet name="14" sheetId="35" r:id="rId32"/>
    <sheet name="15" sheetId="176" r:id="rId33"/>
    <sheet name="15A" sheetId="210" r:id="rId34"/>
    <sheet name="16" sheetId="37" r:id="rId35"/>
    <sheet name="17" sheetId="38" r:id="rId36"/>
    <sheet name="18" sheetId="169" r:id="rId37"/>
    <sheet name="19" sheetId="40" r:id="rId38"/>
    <sheet name="20" sheetId="41" r:id="rId39"/>
    <sheet name="21" sheetId="170" r:id="rId40"/>
    <sheet name="22" sheetId="178" r:id="rId41"/>
    <sheet name="22A" sheetId="200" r:id="rId42"/>
    <sheet name="22B" sheetId="189" r:id="rId43"/>
    <sheet name="23" sheetId="44" r:id="rId44"/>
    <sheet name="24" sheetId="46" r:id="rId45"/>
    <sheet name="25" sheetId="180" r:id="rId46"/>
    <sheet name="26" sheetId="171" r:id="rId47"/>
    <sheet name="27" sheetId="53" r:id="rId48"/>
    <sheet name="28" sheetId="51" r:id="rId49"/>
    <sheet name="29" sheetId="172" r:id="rId50"/>
    <sheet name="30" sheetId="174" r:id="rId51"/>
    <sheet name="31" sheetId="177" r:id="rId52"/>
    <sheet name="32" sheetId="63" r:id="rId53"/>
    <sheet name="33" sheetId="23" r:id="rId54"/>
    <sheet name="34" sheetId="75" r:id="rId55"/>
    <sheet name="35" sheetId="124" r:id="rId56"/>
    <sheet name="36" sheetId="123" r:id="rId57"/>
    <sheet name="37" sheetId="164" r:id="rId58"/>
    <sheet name="38" sheetId="125" r:id="rId59"/>
    <sheet name="39" sheetId="126" r:id="rId60"/>
    <sheet name="40" sheetId="184" r:id="rId61"/>
    <sheet name="41" sheetId="182" r:id="rId62"/>
    <sheet name="42" sheetId="198" r:id="rId63"/>
    <sheet name="43" sheetId="208" r:id="rId64"/>
    <sheet name="Miisaniyada guud" sheetId="199" r:id="rId65"/>
    <sheet name="shaq,3" sheetId="119" r:id="rId66"/>
    <sheet name="sookob2" sheetId="107" r:id="rId67"/>
    <sheet name="Noolka safarada Dibedda" sheetId="191" r:id="rId68"/>
    <sheet name="Iijaarka" sheetId="187" r:id="rId69"/>
    <sheet name="cafimadka" sheetId="190" r:id="rId70"/>
    <sheet name="Madaxweyne ku xigeenka" sheetId="194" r:id="rId71"/>
    <sheet name="Miisaaniyada Guud" sheetId="202" r:id="rId72"/>
    <sheet name="Dakhti&amp;kharash" sheetId="203" r:id="rId73"/>
    <sheet name="deegameynta Dakhliga" sheetId="204" r:id="rId74"/>
    <sheet name="madax-xigeyaasha dakhliga" sheetId="205" r:id="rId75"/>
    <sheet name="Sheet1" sheetId="206" r:id="rId76"/>
    <sheet name="Sheet2" sheetId="207" r:id="rId77"/>
    <sheet name="Sheet3" sheetId="211" r:id="rId78"/>
  </sheets>
  <externalReferences>
    <externalReference r:id="rId79"/>
    <externalReference r:id="rId80"/>
  </externalReferences>
  <definedNames>
    <definedName name="_xlnm._FilterDatabase" localSheetId="17" hidden="1">'10'!$A$2:$N$29</definedName>
    <definedName name="_xlnm._FilterDatabase" localSheetId="18" hidden="1">'10a'!$A$2:$R$34</definedName>
    <definedName name="_xlnm._FilterDatabase" localSheetId="23" hidden="1">'11a'!$A$2:$N$35</definedName>
    <definedName name="_xlnm._FilterDatabase" localSheetId="31" hidden="1">'14'!$A$3:$Q$32</definedName>
    <definedName name="_xlnm._FilterDatabase" localSheetId="34" hidden="1">'16'!$A$2:$R$43</definedName>
    <definedName name="_xlnm._FilterDatabase" localSheetId="35" hidden="1">'17'!$A$2:$N$36</definedName>
    <definedName name="_xlnm._FilterDatabase" localSheetId="37" hidden="1">'19'!$A$2:$Q$27</definedName>
    <definedName name="_xlnm._FilterDatabase" localSheetId="5" hidden="1">'2'!$A$2:$N$55</definedName>
    <definedName name="_xlnm._FilterDatabase" localSheetId="44" hidden="1">'24'!$A$2:$B$38</definedName>
    <definedName name="_xlnm._FilterDatabase" localSheetId="48" hidden="1">'28'!$B$1:$B$48</definedName>
    <definedName name="_xlnm._FilterDatabase" localSheetId="6" hidden="1">'3'!$A$2:$O$40</definedName>
    <definedName name="_xlnm._FilterDatabase" localSheetId="53" hidden="1">'33'!$A$2:$R$36</definedName>
    <definedName name="_xlnm._FilterDatabase" localSheetId="7" hidden="1">'4'!$A$2:$O$40</definedName>
    <definedName name="_xlnm._FilterDatabase" localSheetId="8" hidden="1">'5'!$A$2:$P$32</definedName>
    <definedName name="_xlnm._FilterDatabase" localSheetId="9" hidden="1">'6'!$A$2:$M$33</definedName>
    <definedName name="_xlnm._FilterDatabase" localSheetId="10" hidden="1">'7'!$A$2:$N$30</definedName>
    <definedName name="_xlnm._FilterDatabase" localSheetId="16" hidden="1">'9'!$A$2:$N$36</definedName>
    <definedName name="_xlnm.Print_Area" localSheetId="17">'10'!$A$1:$P$47</definedName>
    <definedName name="_xlnm.Print_Area" localSheetId="18">'10a'!$A$1:$P$49</definedName>
    <definedName name="_xlnm.Print_Area" localSheetId="19">'10b'!$A$1:$O$46</definedName>
    <definedName name="_xlnm.Print_Area" localSheetId="20">'10c'!$A$1:$P$39</definedName>
    <definedName name="_xlnm.Print_Area" localSheetId="21">'10d'!$A$1:$Q$32</definedName>
    <definedName name="_xlnm.Print_Area" localSheetId="23">'11a'!$A$1:$R$49</definedName>
    <definedName name="_xlnm.Print_Area" localSheetId="3">'1-1A'!$A$1:$O$21</definedName>
    <definedName name="_xlnm.Print_Area" localSheetId="24">'11b'!$A$1:$L$43</definedName>
    <definedName name="_xlnm.Print_Area" localSheetId="25">'11c'!$A$1:$P$42</definedName>
    <definedName name="_xlnm.Print_Area" localSheetId="26">'11d'!$A$1:$N$44</definedName>
    <definedName name="_xlnm.Print_Area" localSheetId="27">'12'!$A$1:$P$49</definedName>
    <definedName name="_xlnm.Print_Area" localSheetId="28">'12a'!$A$1:$L$45</definedName>
    <definedName name="_xlnm.Print_Area" localSheetId="29">'13'!$A$1:$P$45</definedName>
    <definedName name="_xlnm.Print_Area" localSheetId="31">'14'!$A$1:$P$44</definedName>
    <definedName name="_xlnm.Print_Area" localSheetId="32">'15'!$A$1:$P$67</definedName>
    <definedName name="_xlnm.Print_Area" localSheetId="34">'16'!$A$1:$P$49</definedName>
    <definedName name="_xlnm.Print_Area" localSheetId="35">'17'!$A$1:$Q$47</definedName>
    <definedName name="_xlnm.Print_Area" localSheetId="36">'18'!$A$1:$P$45</definedName>
    <definedName name="_xlnm.Print_Area" localSheetId="37">'19'!$A$1:$P$47</definedName>
    <definedName name="_xlnm.Print_Area" localSheetId="4">'1B'!$A$1:$L$40</definedName>
    <definedName name="_xlnm.Print_Area" localSheetId="5">'2'!$A$1:$P$52</definedName>
    <definedName name="_xlnm.Print_Area" localSheetId="38">'20'!$A$1:$P$53</definedName>
    <definedName name="_xlnm.Print_Area" localSheetId="40">'22'!$A$1:$O$53</definedName>
    <definedName name="_xlnm.Print_Area" localSheetId="41">'22A'!$A$1:$F$47</definedName>
    <definedName name="_xlnm.Print_Area" localSheetId="42">'22B'!$A$1:$F$44</definedName>
    <definedName name="_xlnm.Print_Area" localSheetId="43">'23'!$A$1:$N$54</definedName>
    <definedName name="_xlnm.Print_Area" localSheetId="45">'25'!$A$1:$P$45</definedName>
    <definedName name="_xlnm.Print_Area" localSheetId="46">'26'!$A$1:$P$52</definedName>
    <definedName name="_xlnm.Print_Area" localSheetId="47">'27'!$A$1:$P$49</definedName>
    <definedName name="_xlnm.Print_Area" localSheetId="48">'28'!$A$1:$P$43</definedName>
    <definedName name="_xlnm.Print_Area" localSheetId="6">'3'!$A$1:$O$53</definedName>
    <definedName name="_xlnm.Print_Area" localSheetId="50">'30'!$A$1:$N$38</definedName>
    <definedName name="_xlnm.Print_Area" localSheetId="52">'32'!$A$1:$Q$43</definedName>
    <definedName name="_xlnm.Print_Area" localSheetId="53">'33'!$A$1:$P$39</definedName>
    <definedName name="_xlnm.Print_Area" localSheetId="54">'34'!$A$1:$Q$35</definedName>
    <definedName name="_xlnm.Print_Area" localSheetId="55">'35'!$A$1:$G$43</definedName>
    <definedName name="_xlnm.Print_Area" localSheetId="56">'36'!$A$1:$N$38</definedName>
    <definedName name="_xlnm.Print_Area" localSheetId="57">'37'!$A$1:$G$44</definedName>
    <definedName name="_xlnm.Print_Area" localSheetId="59">'39'!$A$1:$N$43</definedName>
    <definedName name="_xlnm.Print_Area" localSheetId="7">'4'!$A$1:$O$48</definedName>
    <definedName name="_xlnm.Print_Area" localSheetId="60">'40'!$A$1:$P$51</definedName>
    <definedName name="_xlnm.Print_Area" localSheetId="61">'41'!$A$1:$F$49</definedName>
    <definedName name="_xlnm.Print_Area" localSheetId="62">'42'!$A$1:$F$46</definedName>
    <definedName name="_xlnm.Print_Area" localSheetId="8">'5'!$A$1:$O$50</definedName>
    <definedName name="_xlnm.Print_Area" localSheetId="9">'6'!$A$1:$O$53</definedName>
    <definedName name="_xlnm.Print_Area" localSheetId="10">'7'!$A$1:$P$47</definedName>
    <definedName name="_xlnm.Print_Area" localSheetId="11">'8'!$A$1:$N$58</definedName>
    <definedName name="_xlnm.Print_Area" localSheetId="12">'8A'!$A$1:$P$49</definedName>
    <definedName name="_xlnm.Print_Area" localSheetId="15">'8D'!$A$1:$R$41</definedName>
    <definedName name="_xlnm.Print_Area" localSheetId="16">'9'!$A$1:$P$51</definedName>
    <definedName name="_xlnm.Print_Area" localSheetId="68">Iijaarka!$A$1:$C$58</definedName>
    <definedName name="_xlnm.Print_Area" localSheetId="64">'Miisaniyada guud'!$A$1:$D$5</definedName>
    <definedName name="_xlnm.Print_Area" localSheetId="0">'shaxda Guud'!$A$4:$D$14</definedName>
    <definedName name="_xlnm.Print_Area" localSheetId="75">Sheet1!$A$1:$D$9</definedName>
    <definedName name="_xlnm.Print_Area" localSheetId="77">Sheet3!$A$1:$O$58</definedName>
    <definedName name="_xlnm.Print_Area" localSheetId="66">sookob2!$A$1:$M$54</definedName>
    <definedName name="_xlnm.Print_Area" localSheetId="1">'Sum 1'!$A$1:$N$64</definedName>
  </definedNames>
  <calcPr calcId="124519"/>
</workbook>
</file>

<file path=xl/calcChain.xml><?xml version="1.0" encoding="utf-8"?>
<calcChain xmlns="http://schemas.openxmlformats.org/spreadsheetml/2006/main">
  <c r="N9" i="46"/>
  <c r="O45" i="180"/>
  <c r="O44"/>
  <c r="O39"/>
  <c r="O32"/>
  <c r="O26"/>
  <c r="O20"/>
  <c r="O9"/>
  <c r="O11" i="171"/>
  <c r="O49" i="53"/>
  <c r="O48"/>
  <c r="O41"/>
  <c r="O35"/>
  <c r="O26"/>
  <c r="O11"/>
  <c r="O43" i="51"/>
  <c r="O42"/>
  <c r="O38"/>
  <c r="O31"/>
  <c r="O24"/>
  <c r="O8"/>
  <c r="O45" i="172"/>
  <c r="O44"/>
  <c r="O39"/>
  <c r="O31"/>
  <c r="O24"/>
  <c r="O9"/>
  <c r="M38" i="174"/>
  <c r="M37"/>
  <c r="M30"/>
  <c r="M25"/>
  <c r="M18"/>
  <c r="M8"/>
  <c r="O41" i="177"/>
  <c r="O34"/>
  <c r="O30"/>
  <c r="O23"/>
  <c r="O9"/>
  <c r="P43" i="63"/>
  <c r="P39"/>
  <c r="P30"/>
  <c r="P24"/>
  <c r="P8"/>
  <c r="O39" i="23"/>
  <c r="O38"/>
  <c r="O31"/>
  <c r="O26"/>
  <c r="O19"/>
  <c r="O8"/>
  <c r="P35" i="75"/>
  <c r="P34"/>
  <c r="P30"/>
  <c r="P23"/>
  <c r="P17"/>
  <c r="P7"/>
  <c r="F43" i="124"/>
  <c r="F42"/>
  <c r="F35"/>
  <c r="F30"/>
  <c r="F23"/>
  <c r="F8"/>
  <c r="M38" i="123"/>
  <c r="M30"/>
  <c r="M25"/>
  <c r="M18"/>
  <c r="M8"/>
  <c r="F44" i="164"/>
  <c r="F36"/>
  <c r="F31"/>
  <c r="F24"/>
  <c r="F8"/>
  <c r="F46" i="125"/>
  <c r="F45"/>
  <c r="F38"/>
  <c r="F33"/>
  <c r="F25"/>
  <c r="F9"/>
  <c r="M43" i="126"/>
  <c r="M42"/>
  <c r="M35"/>
  <c r="M30"/>
  <c r="M23"/>
  <c r="M9"/>
  <c r="O51" i="184"/>
  <c r="O44"/>
  <c r="O36"/>
  <c r="O31"/>
  <c r="O23"/>
  <c r="O10"/>
  <c r="E49" i="182"/>
  <c r="E45"/>
  <c r="E37"/>
  <c r="E32"/>
  <c r="E25"/>
  <c r="E7"/>
  <c r="E46" i="198"/>
  <c r="E45"/>
  <c r="E38"/>
  <c r="E33"/>
  <c r="E23"/>
  <c r="E7"/>
  <c r="P41" i="208"/>
  <c r="P40"/>
  <c r="G63" i="214" s="1"/>
  <c r="P32" i="208"/>
  <c r="P25"/>
  <c r="P19"/>
  <c r="D63" i="214" s="1"/>
  <c r="P8" i="208"/>
  <c r="G15" i="214"/>
  <c r="F15"/>
  <c r="E15"/>
  <c r="D15"/>
  <c r="C15"/>
  <c r="G14"/>
  <c r="F14"/>
  <c r="E14"/>
  <c r="D14"/>
  <c r="C14"/>
  <c r="K14" s="1"/>
  <c r="F63"/>
  <c r="E63"/>
  <c r="C63"/>
  <c r="G62"/>
  <c r="F62"/>
  <c r="E62"/>
  <c r="D62"/>
  <c r="C62"/>
  <c r="N47" i="46"/>
  <c r="O47" s="1"/>
  <c r="N46"/>
  <c r="N37"/>
  <c r="N31"/>
  <c r="N25"/>
  <c r="H61" i="214"/>
  <c r="G61"/>
  <c r="F61"/>
  <c r="E61"/>
  <c r="D61"/>
  <c r="K63" l="1"/>
  <c r="K15"/>
  <c r="C61"/>
  <c r="H60"/>
  <c r="G60"/>
  <c r="F60"/>
  <c r="E60"/>
  <c r="D60"/>
  <c r="C60"/>
  <c r="G59"/>
  <c r="F59"/>
  <c r="E59"/>
  <c r="D59"/>
  <c r="C59"/>
  <c r="G58"/>
  <c r="F58"/>
  <c r="E58"/>
  <c r="D58"/>
  <c r="C58"/>
  <c r="G57"/>
  <c r="F57"/>
  <c r="E57"/>
  <c r="D57"/>
  <c r="C57"/>
  <c r="G56"/>
  <c r="F56"/>
  <c r="E56"/>
  <c r="D56"/>
  <c r="C56"/>
  <c r="G55"/>
  <c r="F55"/>
  <c r="E55"/>
  <c r="D55"/>
  <c r="C55"/>
  <c r="G54"/>
  <c r="F54"/>
  <c r="E54"/>
  <c r="D54"/>
  <c r="C54"/>
  <c r="G53"/>
  <c r="F53"/>
  <c r="E53"/>
  <c r="D53"/>
  <c r="C53"/>
  <c r="H52"/>
  <c r="G52"/>
  <c r="F52"/>
  <c r="E52"/>
  <c r="D52"/>
  <c r="C52"/>
  <c r="G51"/>
  <c r="F51"/>
  <c r="E51"/>
  <c r="D51"/>
  <c r="C51"/>
  <c r="G50"/>
  <c r="F50"/>
  <c r="E50"/>
  <c r="D50"/>
  <c r="C50"/>
  <c r="G49"/>
  <c r="F49"/>
  <c r="E49"/>
  <c r="D49"/>
  <c r="C49"/>
  <c r="G48"/>
  <c r="F48"/>
  <c r="E48"/>
  <c r="D48"/>
  <c r="C48"/>
  <c r="G47"/>
  <c r="F47"/>
  <c r="E47"/>
  <c r="D47"/>
  <c r="C47"/>
  <c r="I46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I43"/>
  <c r="G43"/>
  <c r="F43"/>
  <c r="E43"/>
  <c r="D43"/>
  <c r="C43"/>
  <c r="G42"/>
  <c r="F42"/>
  <c r="E42"/>
  <c r="D42"/>
  <c r="C42"/>
  <c r="I41"/>
  <c r="H41"/>
  <c r="G41"/>
  <c r="F41"/>
  <c r="E41"/>
  <c r="D41"/>
  <c r="C41"/>
  <c r="I40"/>
  <c r="H40"/>
  <c r="G40"/>
  <c r="F40"/>
  <c r="E40"/>
  <c r="D40"/>
  <c r="C40"/>
  <c r="G39"/>
  <c r="F39"/>
  <c r="E39"/>
  <c r="D39"/>
  <c r="C39"/>
  <c r="I38"/>
  <c r="H38"/>
  <c r="G38"/>
  <c r="F38"/>
  <c r="E38"/>
  <c r="D38"/>
  <c r="C38"/>
  <c r="G37"/>
  <c r="F37"/>
  <c r="E37"/>
  <c r="D37"/>
  <c r="C37"/>
  <c r="H36"/>
  <c r="G36"/>
  <c r="F36"/>
  <c r="E36"/>
  <c r="D36"/>
  <c r="C36"/>
  <c r="G35"/>
  <c r="F35"/>
  <c r="E35"/>
  <c r="D35"/>
  <c r="C35"/>
  <c r="I34"/>
  <c r="G34"/>
  <c r="F34"/>
  <c r="E34"/>
  <c r="D34"/>
  <c r="C34"/>
  <c r="J33"/>
  <c r="J64" s="1"/>
  <c r="C13" i="197" s="1"/>
  <c r="I33" i="214"/>
  <c r="H33"/>
  <c r="G33"/>
  <c r="E33"/>
  <c r="D33"/>
  <c r="I32"/>
  <c r="H32"/>
  <c r="G32"/>
  <c r="F32"/>
  <c r="E32"/>
  <c r="D32"/>
  <c r="C32"/>
  <c r="G31"/>
  <c r="F31"/>
  <c r="E31"/>
  <c r="D31"/>
  <c r="C31"/>
  <c r="G30"/>
  <c r="F30"/>
  <c r="E30"/>
  <c r="D30"/>
  <c r="C30"/>
  <c r="H29"/>
  <c r="G29"/>
  <c r="F29"/>
  <c r="E29"/>
  <c r="H28"/>
  <c r="G28"/>
  <c r="F28"/>
  <c r="E28"/>
  <c r="D28"/>
  <c r="C28"/>
  <c r="I27"/>
  <c r="H27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K23" s="1"/>
  <c r="C23"/>
  <c r="I22"/>
  <c r="H22"/>
  <c r="G22"/>
  <c r="F22"/>
  <c r="E22"/>
  <c r="D22"/>
  <c r="C22"/>
  <c r="E21"/>
  <c r="D21"/>
  <c r="K25"/>
  <c r="K27"/>
  <c r="K31"/>
  <c r="K35"/>
  <c r="K37"/>
  <c r="K40"/>
  <c r="K42"/>
  <c r="K44"/>
  <c r="K46"/>
  <c r="K48"/>
  <c r="K50"/>
  <c r="K52"/>
  <c r="K53"/>
  <c r="K54"/>
  <c r="K55"/>
  <c r="K56"/>
  <c r="K57"/>
  <c r="K58"/>
  <c r="K59"/>
  <c r="K60"/>
  <c r="K61"/>
  <c r="K62"/>
  <c r="F21"/>
  <c r="C21"/>
  <c r="G20"/>
  <c r="F20"/>
  <c r="E20"/>
  <c r="D20"/>
  <c r="C20"/>
  <c r="F19"/>
  <c r="E19"/>
  <c r="D19"/>
  <c r="C19"/>
  <c r="G18"/>
  <c r="F18"/>
  <c r="E18"/>
  <c r="D18"/>
  <c r="C18"/>
  <c r="H17"/>
  <c r="G17"/>
  <c r="F17"/>
  <c r="E17"/>
  <c r="D17"/>
  <c r="C17"/>
  <c r="G16"/>
  <c r="F16"/>
  <c r="E16"/>
  <c r="D16"/>
  <c r="C16"/>
  <c r="G13"/>
  <c r="F13"/>
  <c r="E13"/>
  <c r="D13"/>
  <c r="C13"/>
  <c r="G12"/>
  <c r="F12"/>
  <c r="E12"/>
  <c r="D12"/>
  <c r="C12"/>
  <c r="H11"/>
  <c r="I11"/>
  <c r="G11"/>
  <c r="F11"/>
  <c r="E11"/>
  <c r="D11"/>
  <c r="C11"/>
  <c r="G10"/>
  <c r="F10"/>
  <c r="E10"/>
  <c r="D10"/>
  <c r="C10"/>
  <c r="I9"/>
  <c r="G9"/>
  <c r="F9"/>
  <c r="E9"/>
  <c r="D9"/>
  <c r="C9"/>
  <c r="G8"/>
  <c r="F8"/>
  <c r="E8"/>
  <c r="D8"/>
  <c r="C8"/>
  <c r="G7"/>
  <c r="F7"/>
  <c r="E7"/>
  <c r="D7"/>
  <c r="C7"/>
  <c r="H6"/>
  <c r="G6"/>
  <c r="F6"/>
  <c r="E6"/>
  <c r="C6"/>
  <c r="H5"/>
  <c r="H64" s="1"/>
  <c r="C11" i="197" s="1"/>
  <c r="G5" i="214"/>
  <c r="F5"/>
  <c r="E5"/>
  <c r="D5"/>
  <c r="C5"/>
  <c r="D4"/>
  <c r="J40" i="91"/>
  <c r="G4" i="214"/>
  <c r="G64" s="1"/>
  <c r="C10" i="197" s="1"/>
  <c r="F4" i="214"/>
  <c r="E4"/>
  <c r="E64" s="1"/>
  <c r="C8" i="197" s="1"/>
  <c r="C4" i="214"/>
  <c r="C3"/>
  <c r="K3" s="1"/>
  <c r="C2"/>
  <c r="K20"/>
  <c r="K17"/>
  <c r="K13"/>
  <c r="K11"/>
  <c r="K8"/>
  <c r="K7" l="1"/>
  <c r="K18"/>
  <c r="K9"/>
  <c r="I64"/>
  <c r="C12" i="197" s="1"/>
  <c r="K45" i="214"/>
  <c r="K38"/>
  <c r="K47"/>
  <c r="K24"/>
  <c r="K28"/>
  <c r="K33"/>
  <c r="K49"/>
  <c r="K2"/>
  <c r="F64"/>
  <c r="C9" i="197" s="1"/>
  <c r="K10" i="214"/>
  <c r="K32"/>
  <c r="K36"/>
  <c r="K51"/>
  <c r="K12"/>
  <c r="K16"/>
  <c r="K26"/>
  <c r="K41"/>
  <c r="K43"/>
  <c r="K4"/>
  <c r="K5"/>
  <c r="K19"/>
  <c r="K30"/>
  <c r="K39"/>
  <c r="K34"/>
  <c r="K21"/>
  <c r="K22"/>
  <c r="O47" i="25" l="1"/>
  <c r="P27" i="165" l="1"/>
  <c r="P28"/>
  <c r="P29"/>
  <c r="P30"/>
  <c r="L62" i="181"/>
  <c r="L19" i="93"/>
  <c r="O5" i="211" l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4"/>
  <c r="N25"/>
  <c r="O23" i="167"/>
  <c r="P22"/>
  <c r="N23"/>
  <c r="Q41" i="213"/>
  <c r="P41"/>
  <c r="Q19"/>
  <c r="P25"/>
  <c r="O22" i="162"/>
  <c r="P43" i="210" l="1"/>
  <c r="Q43"/>
  <c r="R42"/>
  <c r="R41"/>
  <c r="R43" l="1"/>
  <c r="P35"/>
  <c r="Q35"/>
  <c r="R34"/>
  <c r="P31" i="24"/>
  <c r="O32"/>
  <c r="N32"/>
  <c r="Q25" i="213"/>
  <c r="O12" i="83"/>
  <c r="J33" i="91"/>
  <c r="J28"/>
  <c r="J22"/>
  <c r="J10"/>
  <c r="Q39" i="210"/>
  <c r="Q31"/>
  <c r="Q22"/>
  <c r="Q15"/>
  <c r="R26"/>
  <c r="D23" i="198"/>
  <c r="E44"/>
  <c r="E43"/>
  <c r="E28"/>
  <c r="E26"/>
  <c r="E19"/>
  <c r="E18"/>
  <c r="E17"/>
  <c r="F24" i="182"/>
  <c r="D25"/>
  <c r="M25" i="178"/>
  <c r="R35" i="210" l="1"/>
  <c r="Q44"/>
  <c r="O43" i="170"/>
  <c r="K41" i="93"/>
  <c r="J41"/>
  <c r="K44"/>
  <c r="J44"/>
  <c r="P19" i="116"/>
  <c r="P29" i="24"/>
  <c r="P30"/>
  <c r="M57" i="59"/>
  <c r="M50"/>
  <c r="M47"/>
  <c r="M43"/>
  <c r="M42"/>
  <c r="M39"/>
  <c r="M37"/>
  <c r="M36"/>
  <c r="M27"/>
  <c r="M23"/>
  <c r="M18"/>
  <c r="M16"/>
  <c r="N16" s="1"/>
  <c r="N15"/>
  <c r="M15"/>
  <c r="N18"/>
  <c r="N23"/>
  <c r="N27"/>
  <c r="R10" i="210" l="1"/>
  <c r="R24"/>
  <c r="P27" i="63"/>
  <c r="O25" i="171" l="1"/>
  <c r="O23"/>
  <c r="N49" i="178"/>
  <c r="O48"/>
  <c r="M49"/>
  <c r="O44" i="170"/>
  <c r="O13"/>
  <c r="O8" i="41"/>
  <c r="P7"/>
  <c r="N8"/>
  <c r="O26" l="1"/>
  <c r="P24"/>
  <c r="O41" i="169"/>
  <c r="N41"/>
  <c r="N44"/>
  <c r="N27" i="16"/>
  <c r="O26"/>
  <c r="M27"/>
  <c r="D46" i="200"/>
  <c r="E46"/>
  <c r="E45"/>
  <c r="F45" s="1"/>
  <c r="P31" i="210"/>
  <c r="P22"/>
  <c r="P15"/>
  <c r="R30"/>
  <c r="R29"/>
  <c r="R25"/>
  <c r="R27"/>
  <c r="R28"/>
  <c r="R14"/>
  <c r="R13"/>
  <c r="R33"/>
  <c r="R36"/>
  <c r="N5" i="46"/>
  <c r="M9" i="44"/>
  <c r="L53"/>
  <c r="M53"/>
  <c r="M42"/>
  <c r="R31" i="210" l="1"/>
  <c r="P25" i="25" l="1"/>
  <c r="P26"/>
  <c r="P27"/>
  <c r="P28"/>
  <c r="P29"/>
  <c r="P30"/>
  <c r="P31"/>
  <c r="P33"/>
  <c r="P34"/>
  <c r="P35"/>
  <c r="P36"/>
  <c r="P37"/>
  <c r="P38"/>
  <c r="P39"/>
  <c r="P40"/>
  <c r="P41"/>
  <c r="P42"/>
  <c r="P44"/>
  <c r="P45"/>
  <c r="P46"/>
  <c r="P24"/>
  <c r="P23"/>
  <c r="P22"/>
  <c r="P21"/>
  <c r="P20"/>
  <c r="P19"/>
  <c r="P18"/>
  <c r="P17"/>
  <c r="P16"/>
  <c r="P12"/>
  <c r="P11"/>
  <c r="P10"/>
  <c r="P9"/>
  <c r="P8"/>
  <c r="P7"/>
  <c r="P6"/>
  <c r="P5"/>
  <c r="P4"/>
  <c r="N49" i="19"/>
  <c r="N6"/>
  <c r="N48" i="17"/>
  <c r="O8" i="37"/>
  <c r="R12" i="210" l="1"/>
  <c r="P42" i="213"/>
  <c r="Q42"/>
  <c r="R34"/>
  <c r="R29"/>
  <c r="R5"/>
  <c r="R6"/>
  <c r="R7"/>
  <c r="R9"/>
  <c r="R10"/>
  <c r="R11"/>
  <c r="R12"/>
  <c r="R13"/>
  <c r="R14"/>
  <c r="R15"/>
  <c r="R16"/>
  <c r="R17"/>
  <c r="R18"/>
  <c r="R20"/>
  <c r="R21"/>
  <c r="R22"/>
  <c r="R23"/>
  <c r="R24"/>
  <c r="R25"/>
  <c r="R26"/>
  <c r="R27"/>
  <c r="R28"/>
  <c r="R30"/>
  <c r="R31"/>
  <c r="R32"/>
  <c r="R33"/>
  <c r="R35"/>
  <c r="R36"/>
  <c r="R37"/>
  <c r="R38"/>
  <c r="R39"/>
  <c r="R40"/>
  <c r="R4"/>
  <c r="R19"/>
  <c r="Q8"/>
  <c r="M15" i="181" s="1"/>
  <c r="N15" s="1"/>
  <c r="P8" i="213"/>
  <c r="N40"/>
  <c r="L40"/>
  <c r="F40"/>
  <c r="M38"/>
  <c r="M37"/>
  <c r="M40" s="1"/>
  <c r="J33"/>
  <c r="J34" s="1"/>
  <c r="I33"/>
  <c r="I34" s="1"/>
  <c r="H33"/>
  <c r="H34" s="1"/>
  <c r="G33"/>
  <c r="G34" s="1"/>
  <c r="F33"/>
  <c r="F34" s="1"/>
  <c r="E33"/>
  <c r="E34" s="1"/>
  <c r="C33"/>
  <c r="C34" s="1"/>
  <c r="L32"/>
  <c r="N30"/>
  <c r="M30"/>
  <c r="K30"/>
  <c r="K34" s="1"/>
  <c r="N28"/>
  <c r="M28"/>
  <c r="N27"/>
  <c r="N32" s="1"/>
  <c r="M27"/>
  <c r="M32" s="1"/>
  <c r="L25"/>
  <c r="K25"/>
  <c r="N24"/>
  <c r="M24"/>
  <c r="N23"/>
  <c r="M23"/>
  <c r="D23"/>
  <c r="D33" s="1"/>
  <c r="D34" s="1"/>
  <c r="N22"/>
  <c r="M22"/>
  <c r="N21"/>
  <c r="N25" s="1"/>
  <c r="M21"/>
  <c r="M25" s="1"/>
  <c r="J20"/>
  <c r="I20"/>
  <c r="H20"/>
  <c r="G20"/>
  <c r="F20"/>
  <c r="E20"/>
  <c r="D20"/>
  <c r="C20"/>
  <c r="K19"/>
  <c r="M18"/>
  <c r="L18"/>
  <c r="L19" s="1"/>
  <c r="N17"/>
  <c r="M17"/>
  <c r="J17"/>
  <c r="I17"/>
  <c r="H17"/>
  <c r="G17"/>
  <c r="F17"/>
  <c r="D17"/>
  <c r="C17"/>
  <c r="N16"/>
  <c r="M16"/>
  <c r="K16"/>
  <c r="M15"/>
  <c r="N15" s="1"/>
  <c r="M14"/>
  <c r="N13"/>
  <c r="M13"/>
  <c r="N12"/>
  <c r="M12"/>
  <c r="N11"/>
  <c r="N19" s="1"/>
  <c r="M11"/>
  <c r="M19" s="1"/>
  <c r="L8"/>
  <c r="N7"/>
  <c r="N8" s="1"/>
  <c r="K6"/>
  <c r="J6"/>
  <c r="M5"/>
  <c r="G5"/>
  <c r="M4"/>
  <c r="M8" s="1"/>
  <c r="K4"/>
  <c r="J4"/>
  <c r="M14" i="181"/>
  <c r="N14" s="1"/>
  <c r="O41" i="212"/>
  <c r="O39"/>
  <c r="O37"/>
  <c r="P37" s="1"/>
  <c r="O34"/>
  <c r="O33"/>
  <c r="P33" s="1"/>
  <c r="O29"/>
  <c r="P26"/>
  <c r="O23"/>
  <c r="P18"/>
  <c r="P17"/>
  <c r="O12"/>
  <c r="P12" s="1"/>
  <c r="O13"/>
  <c r="P13" s="1"/>
  <c r="O11"/>
  <c r="O6"/>
  <c r="P6" s="1"/>
  <c r="P5"/>
  <c r="P7"/>
  <c r="P8"/>
  <c r="P9"/>
  <c r="P10"/>
  <c r="P11"/>
  <c r="P14"/>
  <c r="P15"/>
  <c r="P16"/>
  <c r="P19"/>
  <c r="P21"/>
  <c r="P22"/>
  <c r="P23"/>
  <c r="P24"/>
  <c r="P25"/>
  <c r="P27"/>
  <c r="P28"/>
  <c r="P30"/>
  <c r="P31"/>
  <c r="P32"/>
  <c r="P35"/>
  <c r="P36"/>
  <c r="P38"/>
  <c r="P39"/>
  <c r="P40"/>
  <c r="P4"/>
  <c r="N41"/>
  <c r="N34"/>
  <c r="P34" s="1"/>
  <c r="L41"/>
  <c r="K41"/>
  <c r="M40"/>
  <c r="M39"/>
  <c r="M41" s="1"/>
  <c r="L34"/>
  <c r="K34"/>
  <c r="M32"/>
  <c r="M31"/>
  <c r="M34" s="1"/>
  <c r="L29"/>
  <c r="M28"/>
  <c r="M27"/>
  <c r="M25"/>
  <c r="N29"/>
  <c r="P29" s="1"/>
  <c r="M24"/>
  <c r="M23"/>
  <c r="L20"/>
  <c r="K20"/>
  <c r="M19"/>
  <c r="M16"/>
  <c r="M15"/>
  <c r="M14"/>
  <c r="M13"/>
  <c r="M12"/>
  <c r="J12"/>
  <c r="H12"/>
  <c r="G12"/>
  <c r="F12"/>
  <c r="E12"/>
  <c r="D12"/>
  <c r="C12"/>
  <c r="N20"/>
  <c r="M9"/>
  <c r="M6"/>
  <c r="K6"/>
  <c r="I6"/>
  <c r="I12" s="1"/>
  <c r="N6"/>
  <c r="G5"/>
  <c r="L4"/>
  <c r="L6" s="1"/>
  <c r="I4"/>
  <c r="H4"/>
  <c r="R42" i="213" l="1"/>
  <c r="R8"/>
  <c r="R41"/>
  <c r="L41"/>
  <c r="M41"/>
  <c r="N41"/>
  <c r="O42" i="212"/>
  <c r="P41"/>
  <c r="O20"/>
  <c r="P20" s="1"/>
  <c r="M20"/>
  <c r="M29"/>
  <c r="M42" s="1"/>
  <c r="L42"/>
  <c r="N42"/>
  <c r="P42" s="1"/>
  <c r="P21" i="24"/>
  <c r="P9" i="114"/>
  <c r="O10" i="165"/>
  <c r="P8" i="177"/>
  <c r="N9"/>
  <c r="O9" i="183"/>
  <c r="N9"/>
  <c r="P10" i="165" l="1"/>
  <c r="C29" i="214"/>
  <c r="C64" s="1"/>
  <c r="C6" i="197" s="1"/>
  <c r="N49" i="28"/>
  <c r="N48"/>
  <c r="M49" i="59" l="1"/>
  <c r="R66" i="211"/>
  <c r="Q32"/>
  <c r="Q56"/>
  <c r="Q16"/>
  <c r="Q17"/>
  <c r="Q18"/>
  <c r="Q19"/>
  <c r="Q20"/>
  <c r="Q21"/>
  <c r="Q22"/>
  <c r="Q23"/>
  <c r="Q24"/>
  <c r="Q25"/>
  <c r="Q26"/>
  <c r="Q27"/>
  <c r="Q28"/>
  <c r="Q29"/>
  <c r="Q30"/>
  <c r="Q31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2"/>
  <c r="Q53"/>
  <c r="Q54"/>
  <c r="Q55"/>
  <c r="Q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2"/>
  <c r="R53"/>
  <c r="R54"/>
  <c r="R55"/>
  <c r="R56"/>
  <c r="R57"/>
  <c r="R58"/>
  <c r="R15"/>
  <c r="N54"/>
  <c r="N51"/>
  <c r="N50"/>
  <c r="N49"/>
  <c r="N47"/>
  <c r="N44"/>
  <c r="N43"/>
  <c r="N42"/>
  <c r="N40"/>
  <c r="N39"/>
  <c r="N38"/>
  <c r="N37"/>
  <c r="N36"/>
  <c r="N35"/>
  <c r="N34"/>
  <c r="N27"/>
  <c r="N26"/>
  <c r="N24"/>
  <c r="N23"/>
  <c r="N20"/>
  <c r="N19"/>
  <c r="N18"/>
  <c r="N16"/>
  <c r="N15"/>
  <c r="N12"/>
  <c r="N7"/>
  <c r="N8"/>
  <c r="N9"/>
  <c r="N10"/>
  <c r="N11"/>
  <c r="P51"/>
  <c r="Q51" s="1"/>
  <c r="P44"/>
  <c r="P40"/>
  <c r="P32"/>
  <c r="M57"/>
  <c r="M54"/>
  <c r="M51"/>
  <c r="M49"/>
  <c r="M44"/>
  <c r="M40"/>
  <c r="M38"/>
  <c r="M34"/>
  <c r="M26"/>
  <c r="M25"/>
  <c r="M24"/>
  <c r="M20"/>
  <c r="M19"/>
  <c r="M12"/>
  <c r="M5"/>
  <c r="M6"/>
  <c r="M7"/>
  <c r="M8"/>
  <c r="M9"/>
  <c r="M4"/>
  <c r="L57"/>
  <c r="L54"/>
  <c r="J54"/>
  <c r="J58" s="1"/>
  <c r="K53"/>
  <c r="K54" s="1"/>
  <c r="J51"/>
  <c r="K50"/>
  <c r="L50" s="1"/>
  <c r="L49"/>
  <c r="K49"/>
  <c r="K47"/>
  <c r="L47" s="1"/>
  <c r="J44"/>
  <c r="L43"/>
  <c r="L44" s="1"/>
  <c r="K43"/>
  <c r="K44" s="1"/>
  <c r="J40"/>
  <c r="K39"/>
  <c r="L37"/>
  <c r="K37"/>
  <c r="L35"/>
  <c r="L34"/>
  <c r="L40" s="1"/>
  <c r="K34"/>
  <c r="K40" s="1"/>
  <c r="I34"/>
  <c r="H34"/>
  <c r="G34"/>
  <c r="F34"/>
  <c r="E34"/>
  <c r="D34"/>
  <c r="C34"/>
  <c r="J32"/>
  <c r="L26"/>
  <c r="K26"/>
  <c r="L25"/>
  <c r="K25"/>
  <c r="L23"/>
  <c r="K23"/>
  <c r="L22"/>
  <c r="L21"/>
  <c r="I21"/>
  <c r="I44" s="1"/>
  <c r="H21"/>
  <c r="H44" s="1"/>
  <c r="G21"/>
  <c r="G44" s="1"/>
  <c r="F21"/>
  <c r="F44" s="1"/>
  <c r="E21"/>
  <c r="E44" s="1"/>
  <c r="D21"/>
  <c r="D44" s="1"/>
  <c r="C21"/>
  <c r="C44" s="1"/>
  <c r="K20"/>
  <c r="L19"/>
  <c r="K19"/>
  <c r="L18"/>
  <c r="K18"/>
  <c r="L17"/>
  <c r="K17"/>
  <c r="L16"/>
  <c r="K16"/>
  <c r="L15"/>
  <c r="K15"/>
  <c r="K32" s="1"/>
  <c r="J12"/>
  <c r="D12"/>
  <c r="D11"/>
  <c r="L7"/>
  <c r="L12" s="1"/>
  <c r="I5"/>
  <c r="H5"/>
  <c r="G5"/>
  <c r="F5"/>
  <c r="K4"/>
  <c r="K12" s="1"/>
  <c r="I3"/>
  <c r="H3"/>
  <c r="O11" i="176"/>
  <c r="Q59" i="211" l="1"/>
  <c r="R51"/>
  <c r="P59"/>
  <c r="M32" s="1"/>
  <c r="M58" s="1"/>
  <c r="R61"/>
  <c r="N32"/>
  <c r="N58" s="1"/>
  <c r="R59"/>
  <c r="L51"/>
  <c r="L32"/>
  <c r="L58" s="1"/>
  <c r="K51"/>
  <c r="K58" s="1"/>
  <c r="O22" i="168"/>
  <c r="M53" i="17"/>
  <c r="N52"/>
  <c r="E48" i="182" l="1"/>
  <c r="O47" i="184"/>
  <c r="O50"/>
  <c r="F43" i="164"/>
  <c r="M37" i="123"/>
  <c r="P42" i="63"/>
  <c r="O40" i="177"/>
  <c r="O51" i="171"/>
  <c r="O47"/>
  <c r="O44"/>
  <c r="O38"/>
  <c r="O32"/>
  <c r="N42" i="46"/>
  <c r="M49" i="44"/>
  <c r="M36"/>
  <c r="M31"/>
  <c r="M23"/>
  <c r="M54"/>
  <c r="E44" i="189"/>
  <c r="E43"/>
  <c r="E36"/>
  <c r="E30"/>
  <c r="E23"/>
  <c r="E8"/>
  <c r="E42" i="200"/>
  <c r="E29"/>
  <c r="E22"/>
  <c r="E9"/>
  <c r="N52" i="178"/>
  <c r="N44"/>
  <c r="O37" i="170"/>
  <c r="O31"/>
  <c r="O23"/>
  <c r="O9"/>
  <c r="O45" s="1"/>
  <c r="O52" i="41"/>
  <c r="O46"/>
  <c r="O49"/>
  <c r="O39"/>
  <c r="O33"/>
  <c r="O53"/>
  <c r="O46" i="40"/>
  <c r="O38"/>
  <c r="O32"/>
  <c r="O24"/>
  <c r="O8"/>
  <c r="O44" i="169"/>
  <c r="O34"/>
  <c r="O28"/>
  <c r="O23"/>
  <c r="O9"/>
  <c r="P46" i="38"/>
  <c r="P41"/>
  <c r="P33"/>
  <c r="P26"/>
  <c r="P9"/>
  <c r="P47" s="1"/>
  <c r="O48" i="37"/>
  <c r="O45"/>
  <c r="O37"/>
  <c r="O30"/>
  <c r="O23"/>
  <c r="O65" i="176"/>
  <c r="O61"/>
  <c r="O58"/>
  <c r="O50"/>
  <c r="O45"/>
  <c r="O34"/>
  <c r="O43" i="35"/>
  <c r="O35"/>
  <c r="O30"/>
  <c r="O24"/>
  <c r="O8"/>
  <c r="O44" i="168"/>
  <c r="O37"/>
  <c r="O32"/>
  <c r="O45" s="1"/>
  <c r="O8"/>
  <c r="O44" i="165"/>
  <c r="O41"/>
  <c r="O35"/>
  <c r="O31"/>
  <c r="O24"/>
  <c r="D29" i="214" s="1"/>
  <c r="K33" i="93"/>
  <c r="K8"/>
  <c r="O45" i="162"/>
  <c r="O48"/>
  <c r="O42"/>
  <c r="O34"/>
  <c r="O30"/>
  <c r="O8"/>
  <c r="M44" i="163"/>
  <c r="M43"/>
  <c r="M36"/>
  <c r="M32"/>
  <c r="M23"/>
  <c r="M9"/>
  <c r="O41" i="167"/>
  <c r="O34"/>
  <c r="O28"/>
  <c r="O8"/>
  <c r="K42" i="92"/>
  <c r="K35"/>
  <c r="K31"/>
  <c r="K21"/>
  <c r="K9"/>
  <c r="K29" i="214" l="1"/>
  <c r="K43" i="92"/>
  <c r="E47" i="200"/>
  <c r="O45" i="169"/>
  <c r="O52" i="171"/>
  <c r="O47" i="40"/>
  <c r="O49" i="37"/>
  <c r="O67" i="176"/>
  <c r="O44" i="35"/>
  <c r="O42" i="167"/>
  <c r="O49" i="162"/>
  <c r="O45" i="165"/>
  <c r="Q49" i="31"/>
  <c r="Q48"/>
  <c r="Q41"/>
  <c r="Q36"/>
  <c r="Q26"/>
  <c r="Q7"/>
  <c r="O48" i="183"/>
  <c r="O45"/>
  <c r="O38"/>
  <c r="O33"/>
  <c r="O26"/>
  <c r="O52" s="1"/>
  <c r="P32" i="114"/>
  <c r="P31"/>
  <c r="P26"/>
  <c r="P21"/>
  <c r="P16"/>
  <c r="O38" i="116"/>
  <c r="O34"/>
  <c r="O29"/>
  <c r="O22"/>
  <c r="O11"/>
  <c r="N45" i="175"/>
  <c r="N39"/>
  <c r="N34"/>
  <c r="N28"/>
  <c r="N13"/>
  <c r="N46" s="1"/>
  <c r="O48" i="28"/>
  <c r="O40"/>
  <c r="O36"/>
  <c r="O26"/>
  <c r="O11"/>
  <c r="O43" i="25"/>
  <c r="P43" s="1"/>
  <c r="O46"/>
  <c r="O36"/>
  <c r="O32"/>
  <c r="P32" s="1"/>
  <c r="O26"/>
  <c r="O13"/>
  <c r="O50" i="24"/>
  <c r="O43"/>
  <c r="O38"/>
  <c r="O11"/>
  <c r="E46" i="185"/>
  <c r="E38"/>
  <c r="E34"/>
  <c r="E25"/>
  <c r="E7"/>
  <c r="E47" s="1"/>
  <c r="O48" i="100"/>
  <c r="O40"/>
  <c r="O35"/>
  <c r="O25"/>
  <c r="O11"/>
  <c r="M54" i="59"/>
  <c r="M51"/>
  <c r="M44"/>
  <c r="M40"/>
  <c r="M32"/>
  <c r="M12"/>
  <c r="O47" i="21"/>
  <c r="O39"/>
  <c r="O34"/>
  <c r="O26"/>
  <c r="O11"/>
  <c r="N46" i="19"/>
  <c r="N39"/>
  <c r="N34"/>
  <c r="N26"/>
  <c r="N13"/>
  <c r="N41" i="18"/>
  <c r="N36"/>
  <c r="N28"/>
  <c r="N11"/>
  <c r="N50" s="1"/>
  <c r="N47" i="16"/>
  <c r="N40"/>
  <c r="N35"/>
  <c r="N10"/>
  <c r="N49" i="17"/>
  <c r="N42"/>
  <c r="N37"/>
  <c r="N30"/>
  <c r="D6" i="214" s="1"/>
  <c r="K6" s="1"/>
  <c r="N12" i="17"/>
  <c r="O48" i="83"/>
  <c r="O42"/>
  <c r="O37"/>
  <c r="O30"/>
  <c r="P32" i="180"/>
  <c r="P30"/>
  <c r="P31"/>
  <c r="N32"/>
  <c r="M52" i="178"/>
  <c r="O31"/>
  <c r="P22" i="168"/>
  <c r="P21"/>
  <c r="M25" i="59"/>
  <c r="M24"/>
  <c r="M19"/>
  <c r="P48" i="100"/>
  <c r="P47"/>
  <c r="N48"/>
  <c r="L27" i="92"/>
  <c r="D64" i="214" l="1"/>
  <c r="C7" i="197" s="1"/>
  <c r="M58" i="59"/>
  <c r="N48" i="16"/>
  <c r="O51" i="24"/>
  <c r="O39" i="116"/>
  <c r="O49" i="28"/>
  <c r="P47" i="25"/>
  <c r="O49" i="100"/>
  <c r="N53" i="19"/>
  <c r="N53" i="17"/>
  <c r="O53" s="1"/>
  <c r="O52" i="83"/>
  <c r="N24" i="165"/>
  <c r="N22" i="168"/>
  <c r="P39" i="210"/>
  <c r="P6" i="17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5"/>
  <c r="P67"/>
  <c r="N34"/>
  <c r="N20" i="180"/>
  <c r="N24" i="40"/>
  <c r="N41" i="167"/>
  <c r="N26" i="31"/>
  <c r="R6" i="210"/>
  <c r="R8"/>
  <c r="R9"/>
  <c r="R16"/>
  <c r="R17"/>
  <c r="R18"/>
  <c r="R19"/>
  <c r="R20"/>
  <c r="R21"/>
  <c r="R11"/>
  <c r="R37"/>
  <c r="R38"/>
  <c r="R40"/>
  <c r="R5"/>
  <c r="R39"/>
  <c r="N39"/>
  <c r="L39"/>
  <c r="K39"/>
  <c r="J39"/>
  <c r="M37"/>
  <c r="M39" s="1"/>
  <c r="L22"/>
  <c r="J22"/>
  <c r="I22"/>
  <c r="H22"/>
  <c r="G22"/>
  <c r="E22"/>
  <c r="C22"/>
  <c r="M20"/>
  <c r="F20"/>
  <c r="M19"/>
  <c r="N17"/>
  <c r="D17"/>
  <c r="D22" s="1"/>
  <c r="F22"/>
  <c r="N15"/>
  <c r="L15"/>
  <c r="M8"/>
  <c r="M6"/>
  <c r="M5"/>
  <c r="K64" i="214" l="1"/>
  <c r="C14" i="197"/>
  <c r="P44" i="210"/>
  <c r="M33" i="181"/>
  <c r="R15" i="210"/>
  <c r="R22"/>
  <c r="M22"/>
  <c r="M15"/>
  <c r="N22"/>
  <c r="L44"/>
  <c r="M51" i="181"/>
  <c r="M31"/>
  <c r="M29"/>
  <c r="M27"/>
  <c r="N26" i="25"/>
  <c r="M23"/>
  <c r="L23"/>
  <c r="M30" i="181"/>
  <c r="O51" i="183"/>
  <c r="M2" i="181"/>
  <c r="M62"/>
  <c r="D33" i="198"/>
  <c r="M63" i="181"/>
  <c r="N63" s="1"/>
  <c r="R40" i="208"/>
  <c r="R19"/>
  <c r="L13" i="93"/>
  <c r="L14"/>
  <c r="R25" i="208"/>
  <c r="R5"/>
  <c r="R6"/>
  <c r="R7"/>
  <c r="R8"/>
  <c r="R9"/>
  <c r="R10"/>
  <c r="R11"/>
  <c r="R12"/>
  <c r="R13"/>
  <c r="R14"/>
  <c r="R15"/>
  <c r="R16"/>
  <c r="R17"/>
  <c r="R18"/>
  <c r="R20"/>
  <c r="R21"/>
  <c r="R22"/>
  <c r="R23"/>
  <c r="R24"/>
  <c r="R26"/>
  <c r="R27"/>
  <c r="R28"/>
  <c r="R29"/>
  <c r="R30"/>
  <c r="R31"/>
  <c r="R32"/>
  <c r="R33"/>
  <c r="R34"/>
  <c r="R35"/>
  <c r="R36"/>
  <c r="R37"/>
  <c r="R38"/>
  <c r="R39"/>
  <c r="R4"/>
  <c r="N40"/>
  <c r="Q40" s="1"/>
  <c r="L40"/>
  <c r="F40"/>
  <c r="Q39"/>
  <c r="Q38"/>
  <c r="M38"/>
  <c r="Q37"/>
  <c r="M37"/>
  <c r="M40" s="1"/>
  <c r="Q36"/>
  <c r="Q35"/>
  <c r="Q34"/>
  <c r="Q33"/>
  <c r="J33"/>
  <c r="I33"/>
  <c r="H33"/>
  <c r="G33"/>
  <c r="F33"/>
  <c r="E33"/>
  <c r="C33"/>
  <c r="L32"/>
  <c r="Q31"/>
  <c r="N30"/>
  <c r="Q30" s="1"/>
  <c r="M30"/>
  <c r="K30"/>
  <c r="Q29"/>
  <c r="N28"/>
  <c r="Q28" s="1"/>
  <c r="M28"/>
  <c r="N27"/>
  <c r="N32" s="1"/>
  <c r="Q32" s="1"/>
  <c r="M27"/>
  <c r="M32" s="1"/>
  <c r="Q26"/>
  <c r="L25"/>
  <c r="K25"/>
  <c r="N24"/>
  <c r="Q24" s="1"/>
  <c r="M24"/>
  <c r="N23"/>
  <c r="Q23" s="1"/>
  <c r="M23"/>
  <c r="D23"/>
  <c r="D33" s="1"/>
  <c r="N22"/>
  <c r="M22"/>
  <c r="M21"/>
  <c r="N21" s="1"/>
  <c r="Q20"/>
  <c r="J20"/>
  <c r="I20"/>
  <c r="H20"/>
  <c r="G20"/>
  <c r="F20"/>
  <c r="E20"/>
  <c r="D20"/>
  <c r="C20"/>
  <c r="K19"/>
  <c r="Q18"/>
  <c r="M18"/>
  <c r="L18"/>
  <c r="L19" s="1"/>
  <c r="N17"/>
  <c r="Q17" s="1"/>
  <c r="M17"/>
  <c r="J17"/>
  <c r="I17"/>
  <c r="H17"/>
  <c r="G17"/>
  <c r="F17"/>
  <c r="D17"/>
  <c r="C17"/>
  <c r="N16"/>
  <c r="Q16" s="1"/>
  <c r="M16"/>
  <c r="K16"/>
  <c r="M15"/>
  <c r="N15" s="1"/>
  <c r="Q15" s="1"/>
  <c r="Q14"/>
  <c r="M14"/>
  <c r="Q13"/>
  <c r="N13"/>
  <c r="M13"/>
  <c r="N12"/>
  <c r="Q12" s="1"/>
  <c r="M12"/>
  <c r="N11"/>
  <c r="M11"/>
  <c r="Q10"/>
  <c r="Q9"/>
  <c r="L8"/>
  <c r="N7"/>
  <c r="N8" s="1"/>
  <c r="Q6"/>
  <c r="K6"/>
  <c r="J6"/>
  <c r="Q5"/>
  <c r="M5"/>
  <c r="G5"/>
  <c r="Q4"/>
  <c r="M4"/>
  <c r="M8" s="1"/>
  <c r="K4"/>
  <c r="J4"/>
  <c r="E13" i="198"/>
  <c r="F23"/>
  <c r="F22"/>
  <c r="F7"/>
  <c r="F5"/>
  <c r="F6"/>
  <c r="F8"/>
  <c r="F9"/>
  <c r="F10"/>
  <c r="F11"/>
  <c r="F12"/>
  <c r="F13"/>
  <c r="F14"/>
  <c r="F15"/>
  <c r="F16"/>
  <c r="F17"/>
  <c r="F18"/>
  <c r="F19"/>
  <c r="F20"/>
  <c r="F21"/>
  <c r="F24"/>
  <c r="F25"/>
  <c r="F26"/>
  <c r="F27"/>
  <c r="F28"/>
  <c r="F29"/>
  <c r="F30"/>
  <c r="F31"/>
  <c r="F32"/>
  <c r="F34"/>
  <c r="F35"/>
  <c r="F36"/>
  <c r="F37"/>
  <c r="F39"/>
  <c r="F40"/>
  <c r="F41"/>
  <c r="F42"/>
  <c r="F43"/>
  <c r="F44"/>
  <c r="F45"/>
  <c r="F4"/>
  <c r="F5" i="18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6"/>
  <c r="F27"/>
  <c r="F28"/>
  <c r="F29"/>
  <c r="F30"/>
  <c r="F31"/>
  <c r="F33"/>
  <c r="F34"/>
  <c r="F35"/>
  <c r="F36"/>
  <c r="F37"/>
  <c r="F38"/>
  <c r="F39"/>
  <c r="F40"/>
  <c r="F41"/>
  <c r="F42"/>
  <c r="F43"/>
  <c r="F44"/>
  <c r="F46"/>
  <c r="F47"/>
  <c r="F48"/>
  <c r="F4"/>
  <c r="O33" i="184"/>
  <c r="N6" i="126"/>
  <c r="N7"/>
  <c r="N10"/>
  <c r="N11"/>
  <c r="N13"/>
  <c r="N14"/>
  <c r="N16"/>
  <c r="N19"/>
  <c r="N20"/>
  <c r="N21"/>
  <c r="N22"/>
  <c r="N24"/>
  <c r="N25"/>
  <c r="N27"/>
  <c r="N28"/>
  <c r="N29"/>
  <c r="N31"/>
  <c r="N32"/>
  <c r="N33"/>
  <c r="N34"/>
  <c r="N36"/>
  <c r="N37"/>
  <c r="N38"/>
  <c r="N39"/>
  <c r="N40"/>
  <c r="N41"/>
  <c r="N5"/>
  <c r="G24" i="125"/>
  <c r="G2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5"/>
  <c r="G6" i="164"/>
  <c r="G7"/>
  <c r="G8"/>
  <c r="G9"/>
  <c r="G10"/>
  <c r="G11"/>
  <c r="G12"/>
  <c r="G13"/>
  <c r="G14"/>
  <c r="G15"/>
  <c r="G16"/>
  <c r="G17"/>
  <c r="G18"/>
  <c r="G19"/>
  <c r="G20"/>
  <c r="G21"/>
  <c r="G22"/>
  <c r="G23"/>
  <c r="G25"/>
  <c r="G26"/>
  <c r="G27"/>
  <c r="G28"/>
  <c r="G29"/>
  <c r="G30"/>
  <c r="G32"/>
  <c r="G33"/>
  <c r="G34"/>
  <c r="G35"/>
  <c r="G37"/>
  <c r="G38"/>
  <c r="G39"/>
  <c r="G40"/>
  <c r="G41"/>
  <c r="G42"/>
  <c r="G43"/>
  <c r="G5"/>
  <c r="N6" i="123"/>
  <c r="N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G6" i="124"/>
  <c r="G7"/>
  <c r="G9"/>
  <c r="G10"/>
  <c r="G13"/>
  <c r="G16"/>
  <c r="G17"/>
  <c r="G20"/>
  <c r="G21"/>
  <c r="G22"/>
  <c r="G24"/>
  <c r="G26"/>
  <c r="G27"/>
  <c r="G28"/>
  <c r="G29"/>
  <c r="G31"/>
  <c r="G32"/>
  <c r="G33"/>
  <c r="G34"/>
  <c r="G36"/>
  <c r="G37"/>
  <c r="G38"/>
  <c r="G39"/>
  <c r="G40"/>
  <c r="G41"/>
  <c r="G5"/>
  <c r="Q16" i="75"/>
  <c r="Q4"/>
  <c r="Q5"/>
  <c r="Q8"/>
  <c r="Q11"/>
  <c r="Q12"/>
  <c r="Q13"/>
  <c r="Q15"/>
  <c r="Q18"/>
  <c r="Q19"/>
  <c r="Q24"/>
  <c r="Q25"/>
  <c r="Q26"/>
  <c r="Q27"/>
  <c r="Q28"/>
  <c r="Q29"/>
  <c r="Q31"/>
  <c r="Q3"/>
  <c r="P6" i="23"/>
  <c r="P7"/>
  <c r="P9"/>
  <c r="P10"/>
  <c r="P13"/>
  <c r="P16"/>
  <c r="P18"/>
  <c r="P17"/>
  <c r="P20"/>
  <c r="P24"/>
  <c r="P25"/>
  <c r="P27"/>
  <c r="P29"/>
  <c r="P32"/>
  <c r="P33"/>
  <c r="P34"/>
  <c r="P35"/>
  <c r="P36"/>
  <c r="P37"/>
  <c r="P5"/>
  <c r="Q6" i="63"/>
  <c r="Q7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5"/>
  <c r="P6" i="177"/>
  <c r="P7"/>
  <c r="P9"/>
  <c r="P10"/>
  <c r="P11"/>
  <c r="P12"/>
  <c r="P13"/>
  <c r="P14"/>
  <c r="P15"/>
  <c r="P16"/>
  <c r="P17"/>
  <c r="P18"/>
  <c r="P19"/>
  <c r="P20"/>
  <c r="P21"/>
  <c r="P22"/>
  <c r="P24"/>
  <c r="P25"/>
  <c r="P26"/>
  <c r="P27"/>
  <c r="P28"/>
  <c r="P29"/>
  <c r="P30"/>
  <c r="P31"/>
  <c r="P32"/>
  <c r="P33"/>
  <c r="P34"/>
  <c r="P35"/>
  <c r="P36"/>
  <c r="P37"/>
  <c r="P38"/>
  <c r="P39"/>
  <c r="P40"/>
  <c r="P5"/>
  <c r="N6" i="174"/>
  <c r="N7"/>
  <c r="N8"/>
  <c r="N9"/>
  <c r="N10"/>
  <c r="N11"/>
  <c r="N12"/>
  <c r="N13"/>
  <c r="N14"/>
  <c r="N15"/>
  <c r="N16"/>
  <c r="N17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5"/>
  <c r="P24" i="172"/>
  <c r="P23"/>
  <c r="P6"/>
  <c r="P7"/>
  <c r="P8"/>
  <c r="P9"/>
  <c r="P10"/>
  <c r="P11"/>
  <c r="P12"/>
  <c r="P13"/>
  <c r="P14"/>
  <c r="P15"/>
  <c r="P16"/>
  <c r="P17"/>
  <c r="P18"/>
  <c r="P19"/>
  <c r="P20"/>
  <c r="P21"/>
  <c r="P22"/>
  <c r="P25"/>
  <c r="P26"/>
  <c r="P27"/>
  <c r="P28"/>
  <c r="P29"/>
  <c r="P30"/>
  <c r="P32"/>
  <c r="P33"/>
  <c r="P34"/>
  <c r="P35"/>
  <c r="P36"/>
  <c r="P37"/>
  <c r="P38"/>
  <c r="P40"/>
  <c r="P41"/>
  <c r="P42"/>
  <c r="P43"/>
  <c r="P44"/>
  <c r="P5"/>
  <c r="P24" i="51"/>
  <c r="P5"/>
  <c r="P6"/>
  <c r="P7"/>
  <c r="P8"/>
  <c r="P10"/>
  <c r="P11"/>
  <c r="P12"/>
  <c r="P13"/>
  <c r="P14"/>
  <c r="P15"/>
  <c r="P16"/>
  <c r="P17"/>
  <c r="P18"/>
  <c r="P19"/>
  <c r="P20"/>
  <c r="P21"/>
  <c r="P22"/>
  <c r="P23"/>
  <c r="P25"/>
  <c r="P26"/>
  <c r="P27"/>
  <c r="P28"/>
  <c r="P29"/>
  <c r="P30"/>
  <c r="P32"/>
  <c r="P33"/>
  <c r="P34"/>
  <c r="P35"/>
  <c r="P36"/>
  <c r="P37"/>
  <c r="P38"/>
  <c r="P39"/>
  <c r="P40"/>
  <c r="P41"/>
  <c r="P4"/>
  <c r="O45" i="53"/>
  <c r="P6"/>
  <c r="P7"/>
  <c r="P8"/>
  <c r="P9"/>
  <c r="P10"/>
  <c r="P12"/>
  <c r="P13"/>
  <c r="P14"/>
  <c r="P15"/>
  <c r="P16"/>
  <c r="P17"/>
  <c r="P18"/>
  <c r="P19"/>
  <c r="P20"/>
  <c r="P21"/>
  <c r="P22"/>
  <c r="P23"/>
  <c r="P24"/>
  <c r="P25"/>
  <c r="P27"/>
  <c r="P28"/>
  <c r="P29"/>
  <c r="P30"/>
  <c r="P31"/>
  <c r="P32"/>
  <c r="P33"/>
  <c r="P34"/>
  <c r="P36"/>
  <c r="P37"/>
  <c r="P38"/>
  <c r="P39"/>
  <c r="P40"/>
  <c r="P41"/>
  <c r="P42"/>
  <c r="P43"/>
  <c r="P44"/>
  <c r="P45"/>
  <c r="P46"/>
  <c r="P47"/>
  <c r="P5"/>
  <c r="N44" i="171"/>
  <c r="P4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6"/>
  <c r="P27"/>
  <c r="P28"/>
  <c r="P29"/>
  <c r="P30"/>
  <c r="P31"/>
  <c r="P33"/>
  <c r="P34"/>
  <c r="P35"/>
  <c r="P36"/>
  <c r="P37"/>
  <c r="P39"/>
  <c r="P40"/>
  <c r="P42"/>
  <c r="P43"/>
  <c r="P44"/>
  <c r="P45"/>
  <c r="P46"/>
  <c r="P47"/>
  <c r="P48"/>
  <c r="P49"/>
  <c r="P50"/>
  <c r="P51"/>
  <c r="P5"/>
  <c r="P6" i="180"/>
  <c r="P7"/>
  <c r="P10"/>
  <c r="P11"/>
  <c r="P18"/>
  <c r="P21"/>
  <c r="P22"/>
  <c r="P24"/>
  <c r="P27"/>
  <c r="P28"/>
  <c r="P29"/>
  <c r="P19"/>
  <c r="P33"/>
  <c r="P34"/>
  <c r="P35"/>
  <c r="P36"/>
  <c r="P37"/>
  <c r="P38"/>
  <c r="P40"/>
  <c r="P41"/>
  <c r="P42"/>
  <c r="P43"/>
  <c r="P5"/>
  <c r="O6" i="46"/>
  <c r="O7"/>
  <c r="O8"/>
  <c r="O10"/>
  <c r="O11"/>
  <c r="O14"/>
  <c r="O17"/>
  <c r="O21"/>
  <c r="O23"/>
  <c r="O24"/>
  <c r="O26"/>
  <c r="O27"/>
  <c r="O32"/>
  <c r="O34"/>
  <c r="O38"/>
  <c r="O39"/>
  <c r="O40"/>
  <c r="O41"/>
  <c r="O43"/>
  <c r="O44"/>
  <c r="O45"/>
  <c r="O5"/>
  <c r="N49" i="44"/>
  <c r="N48"/>
  <c r="N21"/>
  <c r="N22"/>
  <c r="N6"/>
  <c r="N7"/>
  <c r="N8"/>
  <c r="N10"/>
  <c r="N11"/>
  <c r="N12"/>
  <c r="N13"/>
  <c r="N14"/>
  <c r="N15"/>
  <c r="N16"/>
  <c r="N17"/>
  <c r="N18"/>
  <c r="N19"/>
  <c r="N20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50"/>
  <c r="N51"/>
  <c r="N5"/>
  <c r="F6" i="189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5"/>
  <c r="F7" i="200"/>
  <c r="F8"/>
  <c r="F10"/>
  <c r="F11"/>
  <c r="F12"/>
  <c r="F13"/>
  <c r="F14"/>
  <c r="F15"/>
  <c r="F16"/>
  <c r="F17"/>
  <c r="F18"/>
  <c r="F19"/>
  <c r="F20"/>
  <c r="F21"/>
  <c r="F23"/>
  <c r="F24"/>
  <c r="F25"/>
  <c r="F26"/>
  <c r="F27"/>
  <c r="F28"/>
  <c r="F30"/>
  <c r="F33"/>
  <c r="F34"/>
  <c r="F36"/>
  <c r="F37"/>
  <c r="F38"/>
  <c r="F39"/>
  <c r="F40"/>
  <c r="F41"/>
  <c r="F42"/>
  <c r="F43"/>
  <c r="F44"/>
  <c r="F6"/>
  <c r="O24" i="178"/>
  <c r="O7"/>
  <c r="O8"/>
  <c r="O11"/>
  <c r="O12"/>
  <c r="O14"/>
  <c r="O15"/>
  <c r="O16"/>
  <c r="O18"/>
  <c r="O19"/>
  <c r="O21"/>
  <c r="O23"/>
  <c r="O26"/>
  <c r="O28"/>
  <c r="O32"/>
  <c r="O34"/>
  <c r="O35"/>
  <c r="O36"/>
  <c r="O40"/>
  <c r="O41"/>
  <c r="O42"/>
  <c r="O43"/>
  <c r="O45"/>
  <c r="O46"/>
  <c r="O47"/>
  <c r="O50"/>
  <c r="O51"/>
  <c r="O6"/>
  <c r="P6" i="170"/>
  <c r="P7"/>
  <c r="P8"/>
  <c r="P9"/>
  <c r="P10"/>
  <c r="P11"/>
  <c r="P12"/>
  <c r="P13"/>
  <c r="P14"/>
  <c r="P15"/>
  <c r="P16"/>
  <c r="P17"/>
  <c r="P18"/>
  <c r="P19"/>
  <c r="P20"/>
  <c r="P21"/>
  <c r="P22"/>
  <c r="P24"/>
  <c r="P25"/>
  <c r="P26"/>
  <c r="P27"/>
  <c r="P28"/>
  <c r="P29"/>
  <c r="P30"/>
  <c r="P31"/>
  <c r="P32"/>
  <c r="P33"/>
  <c r="P34"/>
  <c r="P35"/>
  <c r="P36"/>
  <c r="P38"/>
  <c r="P39"/>
  <c r="P40"/>
  <c r="P41"/>
  <c r="P42"/>
  <c r="P43"/>
  <c r="P5"/>
  <c r="P5" i="41"/>
  <c r="P6"/>
  <c r="P9"/>
  <c r="P10"/>
  <c r="P11"/>
  <c r="P12"/>
  <c r="P13"/>
  <c r="P14"/>
  <c r="P15"/>
  <c r="P16"/>
  <c r="P17"/>
  <c r="P18"/>
  <c r="P19"/>
  <c r="P20"/>
  <c r="P21"/>
  <c r="P22"/>
  <c r="P23"/>
  <c r="P25"/>
  <c r="P27"/>
  <c r="P28"/>
  <c r="P29"/>
  <c r="P30"/>
  <c r="P31"/>
  <c r="P32"/>
  <c r="P33"/>
  <c r="P34"/>
  <c r="P35"/>
  <c r="P36"/>
  <c r="P37"/>
  <c r="P38"/>
  <c r="P40"/>
  <c r="P41"/>
  <c r="P42"/>
  <c r="P43"/>
  <c r="P44"/>
  <c r="P45"/>
  <c r="P46"/>
  <c r="P47"/>
  <c r="P48"/>
  <c r="P50"/>
  <c r="P51"/>
  <c r="P52"/>
  <c r="P4"/>
  <c r="P21" i="169"/>
  <c r="P5" i="40"/>
  <c r="P6"/>
  <c r="P9"/>
  <c r="P10"/>
  <c r="P12"/>
  <c r="P13"/>
  <c r="P14"/>
  <c r="P15"/>
  <c r="P16"/>
  <c r="P18"/>
  <c r="P20"/>
  <c r="P23"/>
  <c r="P21"/>
  <c r="P22"/>
  <c r="P25"/>
  <c r="P26"/>
  <c r="P28"/>
  <c r="P30"/>
  <c r="P31"/>
  <c r="P33"/>
  <c r="P34"/>
  <c r="P35"/>
  <c r="P36"/>
  <c r="P37"/>
  <c r="P39"/>
  <c r="P40"/>
  <c r="P41"/>
  <c r="P42"/>
  <c r="P44"/>
  <c r="P45"/>
  <c r="P4"/>
  <c r="P6" i="169"/>
  <c r="P7"/>
  <c r="P8"/>
  <c r="P10"/>
  <c r="P11"/>
  <c r="P12"/>
  <c r="P13"/>
  <c r="P14"/>
  <c r="P15"/>
  <c r="P16"/>
  <c r="P17"/>
  <c r="P18"/>
  <c r="P19"/>
  <c r="P20"/>
  <c r="P22"/>
  <c r="P24"/>
  <c r="P25"/>
  <c r="P26"/>
  <c r="P27"/>
  <c r="P28"/>
  <c r="P29"/>
  <c r="P30"/>
  <c r="P31"/>
  <c r="P32"/>
  <c r="P33"/>
  <c r="P34"/>
  <c r="P35"/>
  <c r="P36"/>
  <c r="P38"/>
  <c r="P39"/>
  <c r="P40"/>
  <c r="P41"/>
  <c r="P42"/>
  <c r="P43"/>
  <c r="P44"/>
  <c r="P5"/>
  <c r="Q6" i="38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2"/>
  <c r="Q43"/>
  <c r="Q44"/>
  <c r="Q45"/>
  <c r="Q5"/>
  <c r="P22" i="37"/>
  <c r="P5"/>
  <c r="P6"/>
  <c r="P7"/>
  <c r="P8"/>
  <c r="P9"/>
  <c r="P10"/>
  <c r="P11"/>
  <c r="P12"/>
  <c r="P13"/>
  <c r="P14"/>
  <c r="P15"/>
  <c r="P16"/>
  <c r="P17"/>
  <c r="P18"/>
  <c r="P19"/>
  <c r="P20"/>
  <c r="P21"/>
  <c r="P24"/>
  <c r="P25"/>
  <c r="P26"/>
  <c r="P27"/>
  <c r="P28"/>
  <c r="P29"/>
  <c r="P31"/>
  <c r="P32"/>
  <c r="P33"/>
  <c r="P34"/>
  <c r="P35"/>
  <c r="P36"/>
  <c r="P38"/>
  <c r="P39"/>
  <c r="P40"/>
  <c r="P41"/>
  <c r="P42"/>
  <c r="P43"/>
  <c r="P44"/>
  <c r="P45"/>
  <c r="P46"/>
  <c r="P47"/>
  <c r="P4"/>
  <c r="P28" i="168"/>
  <c r="P30" i="35"/>
  <c r="P2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5"/>
  <c r="P26"/>
  <c r="P27"/>
  <c r="P28"/>
  <c r="P29"/>
  <c r="P31"/>
  <c r="P32"/>
  <c r="P33"/>
  <c r="P34"/>
  <c r="P35"/>
  <c r="P36"/>
  <c r="P37"/>
  <c r="P38"/>
  <c r="P39"/>
  <c r="P40"/>
  <c r="P41"/>
  <c r="P42"/>
  <c r="P43"/>
  <c r="P4"/>
  <c r="P32" i="168"/>
  <c r="P5"/>
  <c r="P6"/>
  <c r="P7"/>
  <c r="P9"/>
  <c r="P10"/>
  <c r="P11"/>
  <c r="P12"/>
  <c r="P13"/>
  <c r="P14"/>
  <c r="P15"/>
  <c r="P16"/>
  <c r="P17"/>
  <c r="P18"/>
  <c r="P19"/>
  <c r="P20"/>
  <c r="P23"/>
  <c r="P24"/>
  <c r="P25"/>
  <c r="P26"/>
  <c r="P27"/>
  <c r="P29"/>
  <c r="P30"/>
  <c r="P31"/>
  <c r="P33"/>
  <c r="P34"/>
  <c r="P35"/>
  <c r="P36"/>
  <c r="P37"/>
  <c r="P38"/>
  <c r="P39"/>
  <c r="P40"/>
  <c r="P41"/>
  <c r="P42"/>
  <c r="P43"/>
  <c r="P44"/>
  <c r="P4"/>
  <c r="P24" i="165"/>
  <c r="P5"/>
  <c r="P6"/>
  <c r="P7"/>
  <c r="P8"/>
  <c r="P9"/>
  <c r="P11"/>
  <c r="P12"/>
  <c r="P13"/>
  <c r="P14"/>
  <c r="P15"/>
  <c r="P16"/>
  <c r="P17"/>
  <c r="P18"/>
  <c r="P19"/>
  <c r="P20"/>
  <c r="P21"/>
  <c r="P22"/>
  <c r="P23"/>
  <c r="P25"/>
  <c r="P26"/>
  <c r="P32"/>
  <c r="P33"/>
  <c r="P34"/>
  <c r="P35"/>
  <c r="P36"/>
  <c r="P37"/>
  <c r="P38"/>
  <c r="P39"/>
  <c r="P40"/>
  <c r="P41"/>
  <c r="P42"/>
  <c r="P43"/>
  <c r="P44"/>
  <c r="P4"/>
  <c r="L6" i="93"/>
  <c r="L7"/>
  <c r="L9"/>
  <c r="L10"/>
  <c r="L20"/>
  <c r="L22"/>
  <c r="L23"/>
  <c r="L27"/>
  <c r="L29"/>
  <c r="L30"/>
  <c r="L31"/>
  <c r="L32"/>
  <c r="L34"/>
  <c r="L35"/>
  <c r="L36"/>
  <c r="L37"/>
  <c r="L38"/>
  <c r="L39"/>
  <c r="L40"/>
  <c r="L41"/>
  <c r="L5"/>
  <c r="P48" i="162"/>
  <c r="P42"/>
  <c r="P34"/>
  <c r="P8"/>
  <c r="P22"/>
  <c r="P21"/>
  <c r="P6"/>
  <c r="P7"/>
  <c r="P9"/>
  <c r="P10"/>
  <c r="P11"/>
  <c r="P12"/>
  <c r="P13"/>
  <c r="P14"/>
  <c r="P15"/>
  <c r="P16"/>
  <c r="P17"/>
  <c r="P18"/>
  <c r="P19"/>
  <c r="P20"/>
  <c r="P23"/>
  <c r="P24"/>
  <c r="P25"/>
  <c r="P26"/>
  <c r="P27"/>
  <c r="P28"/>
  <c r="P29"/>
  <c r="P30"/>
  <c r="P31"/>
  <c r="P32"/>
  <c r="P33"/>
  <c r="P35"/>
  <c r="P36"/>
  <c r="P37"/>
  <c r="P38"/>
  <c r="P39"/>
  <c r="P40"/>
  <c r="P41"/>
  <c r="P43"/>
  <c r="P44"/>
  <c r="P45"/>
  <c r="P46"/>
  <c r="P47"/>
  <c r="P5"/>
  <c r="N9" i="163"/>
  <c r="N36"/>
  <c r="N32"/>
  <c r="N6"/>
  <c r="N7"/>
  <c r="N8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3"/>
  <c r="N34"/>
  <c r="N35"/>
  <c r="N37"/>
  <c r="N38"/>
  <c r="N39"/>
  <c r="N40"/>
  <c r="N41"/>
  <c r="N42"/>
  <c r="N43"/>
  <c r="N5"/>
  <c r="P40" i="167"/>
  <c r="P6"/>
  <c r="P7"/>
  <c r="P9"/>
  <c r="P10"/>
  <c r="P11"/>
  <c r="P12"/>
  <c r="P13"/>
  <c r="P14"/>
  <c r="P15"/>
  <c r="P16"/>
  <c r="P17"/>
  <c r="P18"/>
  <c r="P20"/>
  <c r="P21"/>
  <c r="P24"/>
  <c r="P27"/>
  <c r="P29"/>
  <c r="P31"/>
  <c r="P32"/>
  <c r="P33"/>
  <c r="P35"/>
  <c r="P36"/>
  <c r="P37"/>
  <c r="P38"/>
  <c r="P39"/>
  <c r="P5"/>
  <c r="L6" i="92"/>
  <c r="L8"/>
  <c r="L10"/>
  <c r="L11"/>
  <c r="L14"/>
  <c r="L18"/>
  <c r="L22"/>
  <c r="L26"/>
  <c r="L30"/>
  <c r="L32"/>
  <c r="L34"/>
  <c r="L36"/>
  <c r="L37"/>
  <c r="L38"/>
  <c r="L39"/>
  <c r="L40"/>
  <c r="L41"/>
  <c r="L5"/>
  <c r="R5" i="31"/>
  <c r="R6"/>
  <c r="R8"/>
  <c r="R9"/>
  <c r="R10"/>
  <c r="R12"/>
  <c r="R13"/>
  <c r="R14"/>
  <c r="R15"/>
  <c r="R17"/>
  <c r="R21"/>
  <c r="R22"/>
  <c r="R24"/>
  <c r="R27"/>
  <c r="R28"/>
  <c r="R32"/>
  <c r="R33"/>
  <c r="R37"/>
  <c r="R40"/>
  <c r="R42"/>
  <c r="R43"/>
  <c r="R44"/>
  <c r="R45"/>
  <c r="R46"/>
  <c r="R47"/>
  <c r="R4"/>
  <c r="P6" i="183"/>
  <c r="P7"/>
  <c r="P10"/>
  <c r="P11"/>
  <c r="P12"/>
  <c r="P13"/>
  <c r="P14"/>
  <c r="P15"/>
  <c r="P16"/>
  <c r="P17"/>
  <c r="P18"/>
  <c r="P19"/>
  <c r="P20"/>
  <c r="P21"/>
  <c r="P22"/>
  <c r="P23"/>
  <c r="P24"/>
  <c r="P25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"/>
  <c r="Q6" i="114"/>
  <c r="Q7"/>
  <c r="Q8"/>
  <c r="Q9"/>
  <c r="Q10"/>
  <c r="Q11"/>
  <c r="Q12"/>
  <c r="Q13"/>
  <c r="Q14"/>
  <c r="Q15"/>
  <c r="Q17"/>
  <c r="Q18"/>
  <c r="Q19"/>
  <c r="Q20"/>
  <c r="Q21"/>
  <c r="Q22"/>
  <c r="Q23"/>
  <c r="Q24"/>
  <c r="Q25"/>
  <c r="Q27"/>
  <c r="Q28"/>
  <c r="Q29"/>
  <c r="Q30"/>
  <c r="Q31"/>
  <c r="Q5"/>
  <c r="P20" i="116"/>
  <c r="P6"/>
  <c r="P7"/>
  <c r="P8"/>
  <c r="P9"/>
  <c r="P10"/>
  <c r="P12"/>
  <c r="P13"/>
  <c r="P14"/>
  <c r="P15"/>
  <c r="P16"/>
  <c r="P17"/>
  <c r="P18"/>
  <c r="P21"/>
  <c r="P23"/>
  <c r="P24"/>
  <c r="P25"/>
  <c r="P26"/>
  <c r="P27"/>
  <c r="P28"/>
  <c r="P30"/>
  <c r="P31"/>
  <c r="P32"/>
  <c r="P33"/>
  <c r="P34"/>
  <c r="P35"/>
  <c r="P36"/>
  <c r="P37"/>
  <c r="P5"/>
  <c r="O5" i="175"/>
  <c r="O6"/>
  <c r="O7"/>
  <c r="O8"/>
  <c r="O9"/>
  <c r="O10"/>
  <c r="O11"/>
  <c r="O12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"/>
  <c r="P5" i="28"/>
  <c r="P7"/>
  <c r="P8"/>
  <c r="P9"/>
  <c r="P10"/>
  <c r="P12"/>
  <c r="P13"/>
  <c r="P17"/>
  <c r="P18"/>
  <c r="P19"/>
  <c r="P21"/>
  <c r="P22"/>
  <c r="P23"/>
  <c r="P24"/>
  <c r="P25"/>
  <c r="P27"/>
  <c r="P28"/>
  <c r="P29"/>
  <c r="P32"/>
  <c r="P33"/>
  <c r="P35"/>
  <c r="P37"/>
  <c r="P38"/>
  <c r="P41"/>
  <c r="P42"/>
  <c r="P43"/>
  <c r="P44"/>
  <c r="P45"/>
  <c r="P46"/>
  <c r="P4"/>
  <c r="P14" i="25"/>
  <c r="P15"/>
  <c r="P5" i="24"/>
  <c r="P6"/>
  <c r="P7"/>
  <c r="P8"/>
  <c r="P9"/>
  <c r="P10"/>
  <c r="P11"/>
  <c r="P12"/>
  <c r="P13"/>
  <c r="P14"/>
  <c r="P15"/>
  <c r="P16"/>
  <c r="P17"/>
  <c r="P18"/>
  <c r="P19"/>
  <c r="P20"/>
  <c r="P22"/>
  <c r="P23"/>
  <c r="P24"/>
  <c r="P25"/>
  <c r="P26"/>
  <c r="P27"/>
  <c r="P28"/>
  <c r="P33"/>
  <c r="P34"/>
  <c r="P35"/>
  <c r="P36"/>
  <c r="P37"/>
  <c r="P38"/>
  <c r="P39"/>
  <c r="P40"/>
  <c r="P41"/>
  <c r="P42"/>
  <c r="P44"/>
  <c r="P45"/>
  <c r="P46"/>
  <c r="P47"/>
  <c r="P48"/>
  <c r="P49"/>
  <c r="P50"/>
  <c r="P4"/>
  <c r="E42" i="185"/>
  <c r="F6"/>
  <c r="F8"/>
  <c r="F9"/>
  <c r="F10"/>
  <c r="F11"/>
  <c r="F12"/>
  <c r="F13"/>
  <c r="F14"/>
  <c r="F15"/>
  <c r="F16"/>
  <c r="F17"/>
  <c r="F18"/>
  <c r="F19"/>
  <c r="F20"/>
  <c r="F21"/>
  <c r="F22"/>
  <c r="F23"/>
  <c r="F24"/>
  <c r="F26"/>
  <c r="F27"/>
  <c r="F28"/>
  <c r="F29"/>
  <c r="F30"/>
  <c r="F31"/>
  <c r="F32"/>
  <c r="F33"/>
  <c r="F35"/>
  <c r="F36"/>
  <c r="F37"/>
  <c r="F39"/>
  <c r="F40"/>
  <c r="F41"/>
  <c r="F42"/>
  <c r="F43"/>
  <c r="F44"/>
  <c r="F5"/>
  <c r="O34" i="100"/>
  <c r="P6"/>
  <c r="P7"/>
  <c r="P8"/>
  <c r="P9"/>
  <c r="P10"/>
  <c r="P12"/>
  <c r="P13"/>
  <c r="P15"/>
  <c r="P16"/>
  <c r="P18"/>
  <c r="P19"/>
  <c r="P21"/>
  <c r="P23"/>
  <c r="P24"/>
  <c r="P26"/>
  <c r="P31"/>
  <c r="P36"/>
  <c r="P39"/>
  <c r="P41"/>
  <c r="P42"/>
  <c r="P43"/>
  <c r="P44"/>
  <c r="P45"/>
  <c r="P46"/>
  <c r="P5"/>
  <c r="P41" i="184"/>
  <c r="P40"/>
  <c r="P6"/>
  <c r="P7"/>
  <c r="P8"/>
  <c r="P9"/>
  <c r="P11"/>
  <c r="P12"/>
  <c r="P14"/>
  <c r="P22"/>
  <c r="P24"/>
  <c r="P25"/>
  <c r="P29"/>
  <c r="P32"/>
  <c r="P37"/>
  <c r="P38"/>
  <c r="P39"/>
  <c r="P42"/>
  <c r="P43"/>
  <c r="P45"/>
  <c r="P46"/>
  <c r="P48"/>
  <c r="P49"/>
  <c r="P5"/>
  <c r="N29" i="59"/>
  <c r="N30"/>
  <c r="N28"/>
  <c r="N31"/>
  <c r="O24" i="19"/>
  <c r="N5" i="59"/>
  <c r="N6"/>
  <c r="N8"/>
  <c r="N9"/>
  <c r="N10"/>
  <c r="N11"/>
  <c r="N13"/>
  <c r="N14"/>
  <c r="N20"/>
  <c r="N24"/>
  <c r="N33"/>
  <c r="N36"/>
  <c r="N38"/>
  <c r="N39"/>
  <c r="N41"/>
  <c r="N42"/>
  <c r="N45"/>
  <c r="N46"/>
  <c r="N48"/>
  <c r="N52"/>
  <c r="N53"/>
  <c r="N55"/>
  <c r="N56"/>
  <c r="N4"/>
  <c r="P6" i="2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5"/>
  <c r="O23" i="19"/>
  <c r="O6"/>
  <c r="O7"/>
  <c r="O8"/>
  <c r="O10"/>
  <c r="O11"/>
  <c r="O12"/>
  <c r="O14"/>
  <c r="O15"/>
  <c r="O18"/>
  <c r="O19"/>
  <c r="O22"/>
  <c r="O25"/>
  <c r="O27"/>
  <c r="O28"/>
  <c r="O32"/>
  <c r="O33"/>
  <c r="O35"/>
  <c r="O38"/>
  <c r="O40"/>
  <c r="O41"/>
  <c r="O42"/>
  <c r="O43"/>
  <c r="O44"/>
  <c r="O45"/>
  <c r="O47"/>
  <c r="O48"/>
  <c r="O50"/>
  <c r="O51"/>
  <c r="O5"/>
  <c r="O8" i="18"/>
  <c r="O6"/>
  <c r="O7"/>
  <c r="O9"/>
  <c r="O10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"/>
  <c r="O44" i="16"/>
  <c r="O16"/>
  <c r="O6"/>
  <c r="O7"/>
  <c r="O8"/>
  <c r="O9"/>
  <c r="O10"/>
  <c r="O11"/>
  <c r="O12"/>
  <c r="O13"/>
  <c r="O14"/>
  <c r="O15"/>
  <c r="O17"/>
  <c r="O18"/>
  <c r="O19"/>
  <c r="O20"/>
  <c r="O21"/>
  <c r="O22"/>
  <c r="O23"/>
  <c r="O24"/>
  <c r="O25"/>
  <c r="O28"/>
  <c r="O29"/>
  <c r="O30"/>
  <c r="O31"/>
  <c r="O32"/>
  <c r="O33"/>
  <c r="O34"/>
  <c r="O35"/>
  <c r="O36"/>
  <c r="O37"/>
  <c r="O38"/>
  <c r="O39"/>
  <c r="O40"/>
  <c r="O41"/>
  <c r="O42"/>
  <c r="O43"/>
  <c r="O45"/>
  <c r="O46"/>
  <c r="O47"/>
  <c r="O5"/>
  <c r="O6" i="17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50"/>
  <c r="O51"/>
  <c r="O52"/>
  <c r="O5"/>
  <c r="P6" i="83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9"/>
  <c r="P50"/>
  <c r="P51"/>
  <c r="P5"/>
  <c r="L6" i="9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5"/>
  <c r="M3" i="181"/>
  <c r="P35" i="53"/>
  <c r="P11" i="116"/>
  <c r="P29"/>
  <c r="P38"/>
  <c r="P43" i="24"/>
  <c r="N49" i="18"/>
  <c r="O11"/>
  <c r="M4" i="181"/>
  <c r="N34" i="184"/>
  <c r="F38" i="198"/>
  <c r="F33"/>
  <c r="F45" i="182"/>
  <c r="E36"/>
  <c r="E35"/>
  <c r="E34"/>
  <c r="E30"/>
  <c r="E20"/>
  <c r="E19"/>
  <c r="E18"/>
  <c r="E13"/>
  <c r="M26" i="126"/>
  <c r="M18"/>
  <c r="M17"/>
  <c r="M15"/>
  <c r="M12"/>
  <c r="F18" i="125"/>
  <c r="G45"/>
  <c r="F35"/>
  <c r="F29"/>
  <c r="F16"/>
  <c r="F15"/>
  <c r="F26" i="164"/>
  <c r="G36"/>
  <c r="G31"/>
  <c r="F19"/>
  <c r="F14"/>
  <c r="G24" s="1"/>
  <c r="M20" i="123"/>
  <c r="M27"/>
  <c r="M21"/>
  <c r="M15"/>
  <c r="M14"/>
  <c r="M11"/>
  <c r="F19" i="124"/>
  <c r="F18"/>
  <c r="F12"/>
  <c r="F11"/>
  <c r="P22" i="75"/>
  <c r="P10"/>
  <c r="O30" i="23"/>
  <c r="O23"/>
  <c r="O15"/>
  <c r="O14"/>
  <c r="O12"/>
  <c r="O11"/>
  <c r="P17" i="63"/>
  <c r="P38"/>
  <c r="P35"/>
  <c r="P29"/>
  <c r="P28"/>
  <c r="P19"/>
  <c r="P18"/>
  <c r="P14"/>
  <c r="P11"/>
  <c r="Q8"/>
  <c r="O28" i="177"/>
  <c r="O27"/>
  <c r="O25"/>
  <c r="O17"/>
  <c r="O13"/>
  <c r="P23"/>
  <c r="M21" i="174"/>
  <c r="M33"/>
  <c r="M29"/>
  <c r="M28"/>
  <c r="M27"/>
  <c r="M22"/>
  <c r="M15"/>
  <c r="M14"/>
  <c r="M12"/>
  <c r="N18" s="1"/>
  <c r="P39" i="172"/>
  <c r="P31"/>
  <c r="O20"/>
  <c r="O19"/>
  <c r="O12"/>
  <c r="O8"/>
  <c r="P42" i="51"/>
  <c r="O28"/>
  <c r="P31"/>
  <c r="O7"/>
  <c r="P50" i="53"/>
  <c r="P48"/>
  <c r="O40"/>
  <c r="O31"/>
  <c r="O22"/>
  <c r="O21"/>
  <c r="O14"/>
  <c r="P11"/>
  <c r="O19" i="171"/>
  <c r="O37"/>
  <c r="O36"/>
  <c r="P38" s="1"/>
  <c r="O31"/>
  <c r="P32"/>
  <c r="O20"/>
  <c r="O17"/>
  <c r="O14"/>
  <c r="P25" s="1"/>
  <c r="O31" i="180"/>
  <c r="O25"/>
  <c r="N36" i="46"/>
  <c r="N35"/>
  <c r="N33"/>
  <c r="N30"/>
  <c r="N29"/>
  <c r="N20"/>
  <c r="N19"/>
  <c r="N16"/>
  <c r="N15"/>
  <c r="N13"/>
  <c r="N12"/>
  <c r="M16" i="44"/>
  <c r="M25"/>
  <c r="N53"/>
  <c r="M44"/>
  <c r="M34"/>
  <c r="M28"/>
  <c r="M27"/>
  <c r="M17"/>
  <c r="M12"/>
  <c r="N23" s="1"/>
  <c r="N9"/>
  <c r="F8" i="189"/>
  <c r="N38" i="178"/>
  <c r="N37"/>
  <c r="N39" s="1"/>
  <c r="N29"/>
  <c r="N22"/>
  <c r="N13"/>
  <c r="O42" i="170"/>
  <c r="P44"/>
  <c r="P37"/>
  <c r="O28"/>
  <c r="O12"/>
  <c r="P23" s="1"/>
  <c r="P49" i="41"/>
  <c r="O35"/>
  <c r="O31"/>
  <c r="O30"/>
  <c r="O20"/>
  <c r="O19"/>
  <c r="O15"/>
  <c r="O12"/>
  <c r="O11"/>
  <c r="P8"/>
  <c r="O29" i="40"/>
  <c r="O19"/>
  <c r="O27" i="169"/>
  <c r="O19"/>
  <c r="O17"/>
  <c r="O8"/>
  <c r="P9" s="1"/>
  <c r="P18" i="38"/>
  <c r="P29"/>
  <c r="Q46"/>
  <c r="P40"/>
  <c r="Q41" s="1"/>
  <c r="P31"/>
  <c r="P20"/>
  <c r="P15"/>
  <c r="Q9"/>
  <c r="O15" i="37"/>
  <c r="P48"/>
  <c r="O35"/>
  <c r="O33"/>
  <c r="O32"/>
  <c r="P37" s="1"/>
  <c r="O26"/>
  <c r="P30"/>
  <c r="O17"/>
  <c r="O16"/>
  <c r="O13"/>
  <c r="O12"/>
  <c r="P23"/>
  <c r="O16" i="35"/>
  <c r="O22"/>
  <c r="O28"/>
  <c r="O23"/>
  <c r="O17"/>
  <c r="O12"/>
  <c r="O11"/>
  <c r="O15" i="168"/>
  <c r="O18"/>
  <c r="O35"/>
  <c r="O34"/>
  <c r="O31"/>
  <c r="O30"/>
  <c r="O29"/>
  <c r="O27"/>
  <c r="O26"/>
  <c r="O20"/>
  <c r="O19"/>
  <c r="O16"/>
  <c r="O14"/>
  <c r="O13"/>
  <c r="O12"/>
  <c r="O11"/>
  <c r="O6"/>
  <c r="P8" s="1"/>
  <c r="O26" i="165"/>
  <c r="O33"/>
  <c r="O28"/>
  <c r="O27"/>
  <c r="O21"/>
  <c r="O20"/>
  <c r="O18"/>
  <c r="O13"/>
  <c r="K26" i="93"/>
  <c r="K25"/>
  <c r="K16"/>
  <c r="K15"/>
  <c r="K12"/>
  <c r="K21" s="1"/>
  <c r="M26" i="181"/>
  <c r="Q39" i="31"/>
  <c r="Q38"/>
  <c r="Q35"/>
  <c r="Q34"/>
  <c r="Q31"/>
  <c r="Q30"/>
  <c r="Q20"/>
  <c r="Q19"/>
  <c r="Q18"/>
  <c r="Q11"/>
  <c r="O37" i="183"/>
  <c r="O36"/>
  <c r="O35"/>
  <c r="O31"/>
  <c r="O30"/>
  <c r="O29"/>
  <c r="O19"/>
  <c r="O15"/>
  <c r="O14"/>
  <c r="O12"/>
  <c r="P26" s="1"/>
  <c r="Q26" i="114"/>
  <c r="P20"/>
  <c r="P15"/>
  <c r="Q16" s="1"/>
  <c r="O27" i="116"/>
  <c r="N37" i="175"/>
  <c r="N36"/>
  <c r="N33"/>
  <c r="N25"/>
  <c r="N24"/>
  <c r="N22"/>
  <c r="N19"/>
  <c r="N16"/>
  <c r="O13"/>
  <c r="O39" i="28"/>
  <c r="O47"/>
  <c r="O34"/>
  <c r="O31"/>
  <c r="O20"/>
  <c r="O16"/>
  <c r="O15"/>
  <c r="O14"/>
  <c r="O35" i="25"/>
  <c r="O34"/>
  <c r="O31"/>
  <c r="O21"/>
  <c r="O17"/>
  <c r="O49" i="24"/>
  <c r="O48"/>
  <c r="O37"/>
  <c r="O36"/>
  <c r="O34"/>
  <c r="O27"/>
  <c r="O26"/>
  <c r="O23"/>
  <c r="O18"/>
  <c r="O17"/>
  <c r="O15"/>
  <c r="O14"/>
  <c r="O8"/>
  <c r="O38" i="100"/>
  <c r="O30"/>
  <c r="M34" i="59"/>
  <c r="O46" i="21"/>
  <c r="O37"/>
  <c r="O36"/>
  <c r="O31"/>
  <c r="O30"/>
  <c r="O23"/>
  <c r="O22"/>
  <c r="O17"/>
  <c r="P26"/>
  <c r="N37" i="19"/>
  <c r="N36"/>
  <c r="N31"/>
  <c r="N21"/>
  <c r="N20"/>
  <c r="N17"/>
  <c r="N16"/>
  <c r="N39" i="18"/>
  <c r="N24"/>
  <c r="N23"/>
  <c r="N17"/>
  <c r="N9"/>
  <c r="N37" i="16"/>
  <c r="N32"/>
  <c r="N31"/>
  <c r="N21"/>
  <c r="N8"/>
  <c r="O49" i="17"/>
  <c r="N35"/>
  <c r="N34"/>
  <c r="N23"/>
  <c r="N18"/>
  <c r="N33" i="83"/>
  <c r="O51"/>
  <c r="P48"/>
  <c r="O34"/>
  <c r="O24"/>
  <c r="O23"/>
  <c r="O19"/>
  <c r="O18"/>
  <c r="O15"/>
  <c r="I17" i="91"/>
  <c r="J39"/>
  <c r="J30"/>
  <c r="J27"/>
  <c r="J26"/>
  <c r="J25"/>
  <c r="J14"/>
  <c r="K21" i="1"/>
  <c r="K7"/>
  <c r="D25" i="185"/>
  <c r="F25" s="1"/>
  <c r="N8" i="167"/>
  <c r="P8" s="1"/>
  <c r="N38" i="116"/>
  <c r="B4" i="207"/>
  <c r="C4" s="1"/>
  <c r="D5" i="206"/>
  <c r="F13" i="203"/>
  <c r="C13"/>
  <c r="C5" i="202"/>
  <c r="D4"/>
  <c r="D3"/>
  <c r="D2"/>
  <c r="D5" s="1"/>
  <c r="D12" i="197" l="1"/>
  <c r="D11"/>
  <c r="D13"/>
  <c r="D6"/>
  <c r="D8"/>
  <c r="D10"/>
  <c r="D9"/>
  <c r="D7"/>
  <c r="K28" i="93"/>
  <c r="N33" i="181"/>
  <c r="M24"/>
  <c r="M56"/>
  <c r="M44" i="210"/>
  <c r="R44"/>
  <c r="N44"/>
  <c r="P23" i="169"/>
  <c r="M25" i="181"/>
  <c r="P49" i="162"/>
  <c r="M7" i="181"/>
  <c r="L40" i="91"/>
  <c r="N19" i="208"/>
  <c r="M19"/>
  <c r="D34"/>
  <c r="E34"/>
  <c r="G34"/>
  <c r="I34"/>
  <c r="K34"/>
  <c r="C34"/>
  <c r="F34"/>
  <c r="H34"/>
  <c r="J34"/>
  <c r="Q19"/>
  <c r="N25"/>
  <c r="Q25" s="1"/>
  <c r="Q21"/>
  <c r="L41"/>
  <c r="Q11"/>
  <c r="Q22"/>
  <c r="M25"/>
  <c r="M41" s="1"/>
  <c r="Q27"/>
  <c r="M46" i="181"/>
  <c r="M42"/>
  <c r="N44" i="163"/>
  <c r="P9" i="183"/>
  <c r="M12" i="181"/>
  <c r="M10"/>
  <c r="M8"/>
  <c r="O27" i="16"/>
  <c r="O48" s="1"/>
  <c r="M5" i="181"/>
  <c r="M13"/>
  <c r="M61"/>
  <c r="M59"/>
  <c r="M58"/>
  <c r="M57"/>
  <c r="M53"/>
  <c r="M52"/>
  <c r="M50"/>
  <c r="M49"/>
  <c r="M48"/>
  <c r="M43"/>
  <c r="M39"/>
  <c r="M38"/>
  <c r="M36"/>
  <c r="M35"/>
  <c r="M34"/>
  <c r="M21"/>
  <c r="M20"/>
  <c r="M19"/>
  <c r="M16"/>
  <c r="M6"/>
  <c r="E8" i="124"/>
  <c r="G8" s="1"/>
  <c r="K20" i="59"/>
  <c r="C5" i="199"/>
  <c r="D4"/>
  <c r="D3"/>
  <c r="D2"/>
  <c r="D5" s="1"/>
  <c r="K45" i="93" l="1"/>
  <c r="M28" i="181" s="1"/>
  <c r="M17"/>
  <c r="M22"/>
  <c r="R41" i="208"/>
  <c r="Q7"/>
  <c r="N41"/>
  <c r="G46" i="125"/>
  <c r="G44" i="164"/>
  <c r="Q43" i="63"/>
  <c r="N38" i="174"/>
  <c r="P45" i="172"/>
  <c r="P43" i="51"/>
  <c r="F44" i="189"/>
  <c r="P45" i="170"/>
  <c r="Q47" i="38"/>
  <c r="P49" i="37"/>
  <c r="P44" i="35"/>
  <c r="Q32" i="114"/>
  <c r="O46" i="175"/>
  <c r="P47" i="21"/>
  <c r="O50" i="18"/>
  <c r="P52" i="83"/>
  <c r="N12" i="183"/>
  <c r="N14"/>
  <c r="N31"/>
  <c r="N36"/>
  <c r="N44" i="180"/>
  <c r="P44" s="1"/>
  <c r="D48" i="182"/>
  <c r="L42" i="44"/>
  <c r="N52" i="41"/>
  <c r="Q8" i="208" l="1"/>
  <c r="Q41"/>
  <c r="E45" i="125"/>
  <c r="D9" i="200" l="1"/>
  <c r="F9" s="1"/>
  <c r="D22"/>
  <c r="F22" s="1"/>
  <c r="D29"/>
  <c r="F29" s="1"/>
  <c r="F46"/>
  <c r="D32"/>
  <c r="E32" s="1"/>
  <c r="F32" s="1"/>
  <c r="D31"/>
  <c r="D35" l="1"/>
  <c r="E31"/>
  <c r="E35" s="1"/>
  <c r="L8" i="126"/>
  <c r="N8" s="1"/>
  <c r="F31" i="200" l="1"/>
  <c r="N48" i="53"/>
  <c r="M27" i="178"/>
  <c r="N65" i="176"/>
  <c r="C42" i="200"/>
  <c r="C46"/>
  <c r="C35"/>
  <c r="C29"/>
  <c r="C22"/>
  <c r="C9"/>
  <c r="D36" i="189"/>
  <c r="D23"/>
  <c r="D43"/>
  <c r="D30"/>
  <c r="D8"/>
  <c r="O49" i="178"/>
  <c r="N27" l="1"/>
  <c r="N33" s="1"/>
  <c r="F35" i="200"/>
  <c r="C47"/>
  <c r="K41" i="181" s="1"/>
  <c r="O27" i="178"/>
  <c r="D44" i="189"/>
  <c r="L42" i="181" s="1"/>
  <c r="N42" s="1"/>
  <c r="D47" i="200"/>
  <c r="N41" i="165"/>
  <c r="K62" i="181"/>
  <c r="D45" i="198"/>
  <c r="D38"/>
  <c r="D7"/>
  <c r="M41" i="181" l="1"/>
  <c r="F47" i="200"/>
  <c r="L41" i="181"/>
  <c r="D46" i="198"/>
  <c r="J8" i="93"/>
  <c r="L8" s="1"/>
  <c r="J33"/>
  <c r="L33" s="1"/>
  <c r="N10" i="165"/>
  <c r="L57" i="59"/>
  <c r="N57" s="1"/>
  <c r="L54"/>
  <c r="N54" s="1"/>
  <c r="L7"/>
  <c r="M7" s="1"/>
  <c r="N29" i="53"/>
  <c r="O29" s="1"/>
  <c r="N51" i="171"/>
  <c r="N40" i="162"/>
  <c r="L35" i="59"/>
  <c r="L22"/>
  <c r="N22" s="1"/>
  <c r="L21"/>
  <c r="N21" s="1"/>
  <c r="N41" i="181" l="1"/>
  <c r="N62"/>
  <c r="F46" i="198"/>
  <c r="N35" i="59"/>
  <c r="N7"/>
  <c r="N41" i="170"/>
  <c r="N61" i="176"/>
  <c r="N50"/>
  <c r="N11"/>
  <c r="N43" i="35"/>
  <c r="N35"/>
  <c r="N8"/>
  <c r="N44" i="168" l="1"/>
  <c r="N48" i="162"/>
  <c r="N45"/>
  <c r="N42"/>
  <c r="N8"/>
  <c r="L43" i="163"/>
  <c r="L9"/>
  <c r="J42" i="92"/>
  <c r="L42" s="1"/>
  <c r="N7" i="31"/>
  <c r="R7" s="1"/>
  <c r="N51" i="183"/>
  <c r="O9" i="114"/>
  <c r="N34" i="116"/>
  <c r="N11"/>
  <c r="M13" i="175"/>
  <c r="N46" i="25"/>
  <c r="D46" i="185"/>
  <c r="F46" s="1"/>
  <c r="D38"/>
  <c r="F38" s="1"/>
  <c r="D34"/>
  <c r="F34" s="1"/>
  <c r="D7"/>
  <c r="F7" s="1"/>
  <c r="N11" i="100"/>
  <c r="P11" s="1"/>
  <c r="L12" i="59"/>
  <c r="N12" s="1"/>
  <c r="N11" i="21"/>
  <c r="M52" i="19"/>
  <c r="O52" s="1"/>
  <c r="M49"/>
  <c r="O49" s="1"/>
  <c r="M46"/>
  <c r="O46" s="1"/>
  <c r="M36" i="18"/>
  <c r="N42" i="83"/>
  <c r="I10" i="91"/>
  <c r="M9" i="46"/>
  <c r="O9" s="1"/>
  <c r="J50" i="184" l="1"/>
  <c r="K50"/>
  <c r="L50"/>
  <c r="M50"/>
  <c r="N50"/>
  <c r="P50" s="1"/>
  <c r="J54" i="194"/>
  <c r="J49"/>
  <c r="J42"/>
  <c r="L38"/>
  <c r="J38"/>
  <c r="I32"/>
  <c r="H32"/>
  <c r="G32"/>
  <c r="F32"/>
  <c r="E32"/>
  <c r="D32"/>
  <c r="C32"/>
  <c r="L30"/>
  <c r="J30"/>
  <c r="I22"/>
  <c r="I42" s="1"/>
  <c r="H22"/>
  <c r="H42" s="1"/>
  <c r="G22"/>
  <c r="G42" s="1"/>
  <c r="F22"/>
  <c r="F42" s="1"/>
  <c r="E22"/>
  <c r="E42" s="1"/>
  <c r="D22"/>
  <c r="D42" s="1"/>
  <c r="C22"/>
  <c r="C42" s="1"/>
  <c r="L13"/>
  <c r="K13"/>
  <c r="J13"/>
  <c r="D13"/>
  <c r="D12"/>
  <c r="I5"/>
  <c r="H5"/>
  <c r="G5"/>
  <c r="F5"/>
  <c r="I3"/>
  <c r="H3"/>
  <c r="J55" l="1"/>
  <c r="L55"/>
  <c r="N24" i="51" l="1"/>
  <c r="O42" i="63"/>
  <c r="N49" i="41"/>
  <c r="M9" i="178"/>
  <c r="N9" s="1"/>
  <c r="N10" s="1"/>
  <c r="L9" i="44"/>
  <c r="L19" i="1"/>
  <c r="L20"/>
  <c r="L18"/>
  <c r="L5"/>
  <c r="L4"/>
  <c r="J7"/>
  <c r="J21"/>
  <c r="N8" i="23"/>
  <c r="M19" i="175"/>
  <c r="C54" i="191"/>
  <c r="J4" i="37"/>
  <c r="K4"/>
  <c r="G5"/>
  <c r="M5"/>
  <c r="J6"/>
  <c r="K6"/>
  <c r="N7"/>
  <c r="L8"/>
  <c r="M11"/>
  <c r="N11"/>
  <c r="M12"/>
  <c r="N12"/>
  <c r="M13"/>
  <c r="N13"/>
  <c r="M14"/>
  <c r="M15"/>
  <c r="N15" s="1"/>
  <c r="K16"/>
  <c r="M16"/>
  <c r="N16"/>
  <c r="C17"/>
  <c r="D17"/>
  <c r="F17"/>
  <c r="G17"/>
  <c r="H17"/>
  <c r="I17"/>
  <c r="J17"/>
  <c r="M17"/>
  <c r="N17"/>
  <c r="K18"/>
  <c r="M18"/>
  <c r="N18"/>
  <c r="L20"/>
  <c r="M20"/>
  <c r="M21"/>
  <c r="N21"/>
  <c r="K23"/>
  <c r="L23"/>
  <c r="C24"/>
  <c r="D24"/>
  <c r="E24"/>
  <c r="F24"/>
  <c r="G24"/>
  <c r="H24"/>
  <c r="I24"/>
  <c r="J24"/>
  <c r="M25"/>
  <c r="N25" s="1"/>
  <c r="M26"/>
  <c r="N26"/>
  <c r="D27"/>
  <c r="M27"/>
  <c r="N27"/>
  <c r="M28"/>
  <c r="N28"/>
  <c r="M29"/>
  <c r="K30"/>
  <c r="L30"/>
  <c r="M32"/>
  <c r="N32"/>
  <c r="M33"/>
  <c r="N33"/>
  <c r="K35"/>
  <c r="M35"/>
  <c r="N35"/>
  <c r="L37"/>
  <c r="C38"/>
  <c r="D38"/>
  <c r="D39" s="1"/>
  <c r="E38"/>
  <c r="F38"/>
  <c r="F39" s="1"/>
  <c r="G38"/>
  <c r="H38"/>
  <c r="H39" s="1"/>
  <c r="I38"/>
  <c r="J38"/>
  <c r="J39" s="1"/>
  <c r="C39"/>
  <c r="E39"/>
  <c r="G39"/>
  <c r="I39"/>
  <c r="K39"/>
  <c r="M42"/>
  <c r="M43"/>
  <c r="F45"/>
  <c r="L45"/>
  <c r="L49" s="1"/>
  <c r="N45"/>
  <c r="M47"/>
  <c r="M48" s="1"/>
  <c r="N47"/>
  <c r="J48"/>
  <c r="K48"/>
  <c r="L48"/>
  <c r="O6" i="75"/>
  <c r="P6" s="1"/>
  <c r="N11" i="53"/>
  <c r="N8" i="180"/>
  <c r="P8" i="23" l="1"/>
  <c r="Q6" i="75"/>
  <c r="N9" i="180"/>
  <c r="O8"/>
  <c r="O9" i="178"/>
  <c r="N8" i="37"/>
  <c r="M30"/>
  <c r="M37"/>
  <c r="N37"/>
  <c r="N30"/>
  <c r="N48"/>
  <c r="M45"/>
  <c r="N23"/>
  <c r="N49"/>
  <c r="M23"/>
  <c r="H17" i="119"/>
  <c r="H16"/>
  <c r="H45"/>
  <c r="H44"/>
  <c r="M46" i="83"/>
  <c r="P8" i="180" l="1"/>
  <c r="P9"/>
  <c r="N44" i="184" l="1"/>
  <c r="P44" s="1"/>
  <c r="M44"/>
  <c r="M31"/>
  <c r="M23"/>
  <c r="N10"/>
  <c r="P10" s="1"/>
  <c r="M10"/>
  <c r="L42" i="126"/>
  <c r="L35"/>
  <c r="L9"/>
  <c r="K9"/>
  <c r="E9" i="125"/>
  <c r="D9"/>
  <c r="E43" i="164"/>
  <c r="E36"/>
  <c r="D36"/>
  <c r="D31"/>
  <c r="E8"/>
  <c r="L37" i="123"/>
  <c r="K37"/>
  <c r="E42" i="124"/>
  <c r="D42"/>
  <c r="E35"/>
  <c r="D35"/>
  <c r="D30"/>
  <c r="D8"/>
  <c r="O30" i="75"/>
  <c r="O7"/>
  <c r="Q7" s="1"/>
  <c r="O35" i="63"/>
  <c r="N40" i="177"/>
  <c r="N34"/>
  <c r="L8" i="174"/>
  <c r="N44" i="172"/>
  <c r="N39"/>
  <c r="M42" i="46"/>
  <c r="O52" i="178"/>
  <c r="L52"/>
  <c r="M10"/>
  <c r="N9" i="170"/>
  <c r="D45" i="182"/>
  <c r="C37"/>
  <c r="C32"/>
  <c r="C25"/>
  <c r="D7"/>
  <c r="C7"/>
  <c r="N46" i="41"/>
  <c r="M46"/>
  <c r="M39"/>
  <c r="M33"/>
  <c r="M8"/>
  <c r="N38" i="40"/>
  <c r="M38"/>
  <c r="N34" i="169"/>
  <c r="O9" i="38"/>
  <c r="M35" i="35"/>
  <c r="N44" i="165"/>
  <c r="M44"/>
  <c r="M45" i="162"/>
  <c r="K9" i="163"/>
  <c r="P41" i="167"/>
  <c r="M7" i="31"/>
  <c r="N48"/>
  <c r="M51" i="183"/>
  <c r="N48"/>
  <c r="N45"/>
  <c r="M45"/>
  <c r="M33"/>
  <c r="M9"/>
  <c r="O31" i="114"/>
  <c r="N31"/>
  <c r="M45" i="175"/>
  <c r="P48" i="28"/>
  <c r="M11"/>
  <c r="N43" i="25"/>
  <c r="M11" i="100"/>
  <c r="N46" i="21"/>
  <c r="L49" i="19"/>
  <c r="L46"/>
  <c r="L36" i="18"/>
  <c r="M47" i="16"/>
  <c r="M52" i="17"/>
  <c r="M42"/>
  <c r="N48" i="83"/>
  <c r="I39" i="91"/>
  <c r="N11" i="171"/>
  <c r="N8" i="172"/>
  <c r="N7" i="51"/>
  <c r="N8" s="1"/>
  <c r="N7" i="40"/>
  <c r="N8" i="169"/>
  <c r="N7" i="168"/>
  <c r="N8" i="25"/>
  <c r="N8" i="24"/>
  <c r="N11" s="1"/>
  <c r="M9" i="19"/>
  <c r="M9" i="18"/>
  <c r="M11" s="1"/>
  <c r="M8" i="16"/>
  <c r="M10" s="1"/>
  <c r="N12" i="83"/>
  <c r="C57" i="187"/>
  <c r="C56"/>
  <c r="C54"/>
  <c r="C49"/>
  <c r="C47"/>
  <c r="C46"/>
  <c r="C44"/>
  <c r="C43"/>
  <c r="C42"/>
  <c r="C38"/>
  <c r="C37"/>
  <c r="C36"/>
  <c r="C33"/>
  <c r="C32"/>
  <c r="C31"/>
  <c r="C30"/>
  <c r="C29"/>
  <c r="C23"/>
  <c r="C22"/>
  <c r="C20"/>
  <c r="C18"/>
  <c r="C17"/>
  <c r="C14"/>
  <c r="C12"/>
  <c r="C10"/>
  <c r="C9"/>
  <c r="C8"/>
  <c r="C7"/>
  <c r="C6"/>
  <c r="C4"/>
  <c r="E26" i="164"/>
  <c r="E31" s="1"/>
  <c r="N35" i="126" l="1"/>
  <c r="N9"/>
  <c r="N42"/>
  <c r="O42" i="46"/>
  <c r="G35" i="124"/>
  <c r="G42"/>
  <c r="Q30" i="75"/>
  <c r="N8" i="40"/>
  <c r="O7"/>
  <c r="P38"/>
  <c r="R48" i="31"/>
  <c r="M13" i="19"/>
  <c r="N9"/>
  <c r="N13" i="25"/>
  <c r="O10" i="178"/>
  <c r="N9" i="169"/>
  <c r="N9" i="172"/>
  <c r="P7" i="40" l="1"/>
  <c r="P8"/>
  <c r="O9" i="19"/>
  <c r="P13" i="25"/>
  <c r="D47" i="185"/>
  <c r="L13" i="181" l="1"/>
  <c r="N13" s="1"/>
  <c r="F47" i="185"/>
  <c r="O13" i="19"/>
  <c r="L65" i="176"/>
  <c r="K65"/>
  <c r="J65"/>
  <c r="M63"/>
  <c r="M65" s="1"/>
  <c r="L61"/>
  <c r="M60"/>
  <c r="M61" s="1"/>
  <c r="L58"/>
  <c r="N57"/>
  <c r="O57" s="1"/>
  <c r="M56"/>
  <c r="N56" s="1"/>
  <c r="O56" s="1"/>
  <c r="M55"/>
  <c r="N55" s="1"/>
  <c r="M54"/>
  <c r="M53"/>
  <c r="M58" s="1"/>
  <c r="L50"/>
  <c r="K49"/>
  <c r="F49"/>
  <c r="M47"/>
  <c r="L45"/>
  <c r="J45"/>
  <c r="I45"/>
  <c r="H45"/>
  <c r="G45"/>
  <c r="E45"/>
  <c r="C45"/>
  <c r="M43"/>
  <c r="F43"/>
  <c r="M42"/>
  <c r="N40"/>
  <c r="D40"/>
  <c r="D45" s="1"/>
  <c r="M39"/>
  <c r="M38"/>
  <c r="F38"/>
  <c r="F45" s="1"/>
  <c r="M37"/>
  <c r="N37" s="1"/>
  <c r="K37"/>
  <c r="M36"/>
  <c r="M45" s="1"/>
  <c r="L34"/>
  <c r="M32"/>
  <c r="M30"/>
  <c r="M29"/>
  <c r="M27"/>
  <c r="M26"/>
  <c r="M25"/>
  <c r="M24"/>
  <c r="M23"/>
  <c r="M22"/>
  <c r="M21"/>
  <c r="M19"/>
  <c r="J19"/>
  <c r="I19"/>
  <c r="H19"/>
  <c r="G19"/>
  <c r="F19"/>
  <c r="E19"/>
  <c r="D19"/>
  <c r="C19"/>
  <c r="M18"/>
  <c r="M17"/>
  <c r="M16"/>
  <c r="M15"/>
  <c r="M14"/>
  <c r="M8"/>
  <c r="K8"/>
  <c r="M7"/>
  <c r="L7"/>
  <c r="K7"/>
  <c r="J7"/>
  <c r="L6"/>
  <c r="M6" s="1"/>
  <c r="H6"/>
  <c r="G6"/>
  <c r="M5"/>
  <c r="M11" s="1"/>
  <c r="L5"/>
  <c r="L11" s="1"/>
  <c r="K5"/>
  <c r="K10" s="1"/>
  <c r="I5"/>
  <c r="H5"/>
  <c r="G5"/>
  <c r="N45" l="1"/>
  <c r="M9" i="181"/>
  <c r="C29" i="191"/>
  <c r="M34" i="176"/>
  <c r="M50"/>
  <c r="N53"/>
  <c r="L67"/>
  <c r="N58" l="1"/>
  <c r="O53"/>
  <c r="N67"/>
  <c r="M67"/>
  <c r="N17" i="41"/>
  <c r="N17" i="184" l="1"/>
  <c r="N47"/>
  <c r="P47" s="1"/>
  <c r="M47"/>
  <c r="L47"/>
  <c r="L42"/>
  <c r="L41"/>
  <c r="L39"/>
  <c r="L44" s="1"/>
  <c r="L35"/>
  <c r="M35" s="1"/>
  <c r="M36" s="1"/>
  <c r="F34"/>
  <c r="E34"/>
  <c r="N33"/>
  <c r="L33"/>
  <c r="L36" s="1"/>
  <c r="N30"/>
  <c r="L30"/>
  <c r="N28"/>
  <c r="L28"/>
  <c r="N27"/>
  <c r="L27"/>
  <c r="N26"/>
  <c r="L26"/>
  <c r="L25"/>
  <c r="L31" s="1"/>
  <c r="N21"/>
  <c r="N20"/>
  <c r="L20"/>
  <c r="N19"/>
  <c r="L19"/>
  <c r="N18"/>
  <c r="L17"/>
  <c r="N16"/>
  <c r="L16"/>
  <c r="N15"/>
  <c r="L15"/>
  <c r="L14"/>
  <c r="N13"/>
  <c r="L13"/>
  <c r="L23" s="1"/>
  <c r="L7"/>
  <c r="L5"/>
  <c r="L51" i="183"/>
  <c r="K51"/>
  <c r="J51"/>
  <c r="L48"/>
  <c r="M47"/>
  <c r="M48" s="1"/>
  <c r="L43"/>
  <c r="L42"/>
  <c r="L41"/>
  <c r="L45" s="1"/>
  <c r="L37"/>
  <c r="M37" s="1"/>
  <c r="M38" s="1"/>
  <c r="F36"/>
  <c r="E36"/>
  <c r="N35"/>
  <c r="L35"/>
  <c r="L38" s="1"/>
  <c r="L31"/>
  <c r="N30"/>
  <c r="L30"/>
  <c r="N29"/>
  <c r="L29"/>
  <c r="L28"/>
  <c r="M23"/>
  <c r="M22"/>
  <c r="M20"/>
  <c r="N19"/>
  <c r="L19"/>
  <c r="L18"/>
  <c r="M17"/>
  <c r="N16"/>
  <c r="L16"/>
  <c r="N15"/>
  <c r="L15"/>
  <c r="L14"/>
  <c r="N13"/>
  <c r="L13"/>
  <c r="L12"/>
  <c r="L26" s="1"/>
  <c r="L7"/>
  <c r="L5"/>
  <c r="D36" i="182"/>
  <c r="D35"/>
  <c r="D16"/>
  <c r="C43"/>
  <c r="D34"/>
  <c r="D30"/>
  <c r="D29"/>
  <c r="D20"/>
  <c r="D19"/>
  <c r="D18"/>
  <c r="D13"/>
  <c r="D10"/>
  <c r="N35" i="41"/>
  <c r="N39" s="1"/>
  <c r="P39" s="1"/>
  <c r="N31"/>
  <c r="N30"/>
  <c r="N33" s="1"/>
  <c r="N20"/>
  <c r="N19"/>
  <c r="N15"/>
  <c r="C34" i="187" s="1"/>
  <c r="N14" i="41"/>
  <c r="N11"/>
  <c r="N6" i="28"/>
  <c r="M9" i="17"/>
  <c r="N11" i="28" l="1"/>
  <c r="O6"/>
  <c r="F25" i="182"/>
  <c r="P13" i="184"/>
  <c r="O21"/>
  <c r="P21" s="1"/>
  <c r="O26"/>
  <c r="P26" s="1"/>
  <c r="O27"/>
  <c r="P27" s="1"/>
  <c r="O28"/>
  <c r="P28" s="1"/>
  <c r="O30"/>
  <c r="P30" s="1"/>
  <c r="P33"/>
  <c r="O15"/>
  <c r="P15" s="1"/>
  <c r="O16"/>
  <c r="P16" s="1"/>
  <c r="O18"/>
  <c r="P18" s="1"/>
  <c r="O19"/>
  <c r="P19" s="1"/>
  <c r="O20"/>
  <c r="P20" s="1"/>
  <c r="P34"/>
  <c r="P17"/>
  <c r="M12" i="17"/>
  <c r="N26" i="183"/>
  <c r="M51" i="184"/>
  <c r="K60" i="181" s="1"/>
  <c r="D32" i="182"/>
  <c r="N33" i="183"/>
  <c r="L33"/>
  <c r="N23" i="184"/>
  <c r="C55" i="187"/>
  <c r="N31" i="184"/>
  <c r="L9" i="183"/>
  <c r="C35" i="187"/>
  <c r="C45" i="182"/>
  <c r="C49" s="1"/>
  <c r="K61" i="181" s="1"/>
  <c r="D37" i="182"/>
  <c r="C19" i="187"/>
  <c r="M26" i="183"/>
  <c r="M52" s="1"/>
  <c r="K22" i="181" s="1"/>
  <c r="L10" i="184"/>
  <c r="L51" s="1"/>
  <c r="N35"/>
  <c r="L52" i="183"/>
  <c r="N37"/>
  <c r="E18" i="125"/>
  <c r="E16" i="164"/>
  <c r="E25" i="124"/>
  <c r="N20" i="53"/>
  <c r="O20" s="1"/>
  <c r="N19" i="171"/>
  <c r="N23" i="180"/>
  <c r="P23" s="1"/>
  <c r="L25" i="44"/>
  <c r="L16"/>
  <c r="M17" i="178"/>
  <c r="N17" s="1"/>
  <c r="N16" i="169"/>
  <c r="O29" i="38"/>
  <c r="O18"/>
  <c r="N26" i="35"/>
  <c r="N16"/>
  <c r="I12" i="92"/>
  <c r="I54" i="181"/>
  <c r="H54"/>
  <c r="G54"/>
  <c r="I53"/>
  <c r="H53"/>
  <c r="G53"/>
  <c r="E53"/>
  <c r="D53"/>
  <c r="C53"/>
  <c r="J51"/>
  <c r="I51"/>
  <c r="H51"/>
  <c r="G51"/>
  <c r="E51"/>
  <c r="D51"/>
  <c r="C51"/>
  <c r="J50"/>
  <c r="I50"/>
  <c r="H50"/>
  <c r="G50"/>
  <c r="E50"/>
  <c r="D50"/>
  <c r="C50"/>
  <c r="I49"/>
  <c r="H49"/>
  <c r="G49"/>
  <c r="E49"/>
  <c r="D49"/>
  <c r="C49"/>
  <c r="I48"/>
  <c r="H48"/>
  <c r="G48"/>
  <c r="E48"/>
  <c r="D48"/>
  <c r="C48"/>
  <c r="I47"/>
  <c r="H47"/>
  <c r="G47"/>
  <c r="E47"/>
  <c r="D47"/>
  <c r="C47"/>
  <c r="I46"/>
  <c r="H46"/>
  <c r="G46"/>
  <c r="E46"/>
  <c r="D46"/>
  <c r="C46"/>
  <c r="J45"/>
  <c r="I45"/>
  <c r="H45"/>
  <c r="G45"/>
  <c r="E45"/>
  <c r="D45"/>
  <c r="C45"/>
  <c r="J44"/>
  <c r="I44"/>
  <c r="H44"/>
  <c r="G44"/>
  <c r="E44"/>
  <c r="D44"/>
  <c r="C44"/>
  <c r="I43"/>
  <c r="H43"/>
  <c r="G43"/>
  <c r="E43"/>
  <c r="D43"/>
  <c r="C43"/>
  <c r="J40"/>
  <c r="I40"/>
  <c r="H40"/>
  <c r="G40"/>
  <c r="E40"/>
  <c r="D40"/>
  <c r="C40"/>
  <c r="I39"/>
  <c r="H39"/>
  <c r="G39"/>
  <c r="E39"/>
  <c r="D39"/>
  <c r="C39"/>
  <c r="J38"/>
  <c r="I38"/>
  <c r="H38"/>
  <c r="G38"/>
  <c r="E38"/>
  <c r="D38"/>
  <c r="C38"/>
  <c r="I36"/>
  <c r="H36"/>
  <c r="G36"/>
  <c r="E36"/>
  <c r="D36"/>
  <c r="C36"/>
  <c r="I35"/>
  <c r="H35"/>
  <c r="G35"/>
  <c r="E35"/>
  <c r="D35"/>
  <c r="C35"/>
  <c r="J34"/>
  <c r="I32"/>
  <c r="H32"/>
  <c r="G32"/>
  <c r="E32"/>
  <c r="D32"/>
  <c r="C32"/>
  <c r="I31"/>
  <c r="H31"/>
  <c r="G31"/>
  <c r="E31"/>
  <c r="D31"/>
  <c r="C31"/>
  <c r="I30"/>
  <c r="H30"/>
  <c r="G30"/>
  <c r="E30"/>
  <c r="D30"/>
  <c r="C30"/>
  <c r="I29"/>
  <c r="H29"/>
  <c r="G29"/>
  <c r="E29"/>
  <c r="D29"/>
  <c r="C29"/>
  <c r="I28"/>
  <c r="H28"/>
  <c r="G28"/>
  <c r="G27"/>
  <c r="E27"/>
  <c r="D27"/>
  <c r="C27"/>
  <c r="I24"/>
  <c r="H24"/>
  <c r="G24"/>
  <c r="I23"/>
  <c r="H23"/>
  <c r="G23"/>
  <c r="E23"/>
  <c r="D23"/>
  <c r="C23"/>
  <c r="J22"/>
  <c r="I22"/>
  <c r="H22"/>
  <c r="G22"/>
  <c r="E22"/>
  <c r="D22"/>
  <c r="C22"/>
  <c r="I19"/>
  <c r="H19"/>
  <c r="G19"/>
  <c r="E19"/>
  <c r="D19"/>
  <c r="C19"/>
  <c r="I18"/>
  <c r="H18"/>
  <c r="G18"/>
  <c r="E18"/>
  <c r="D18"/>
  <c r="C18"/>
  <c r="I16"/>
  <c r="H16"/>
  <c r="G16"/>
  <c r="E16"/>
  <c r="D16"/>
  <c r="C16"/>
  <c r="I12"/>
  <c r="H12"/>
  <c r="G12"/>
  <c r="E12"/>
  <c r="D12"/>
  <c r="C12"/>
  <c r="I11"/>
  <c r="H11"/>
  <c r="G11"/>
  <c r="F11"/>
  <c r="E11"/>
  <c r="D11"/>
  <c r="C11"/>
  <c r="I10"/>
  <c r="H10"/>
  <c r="G10"/>
  <c r="E10"/>
  <c r="D10"/>
  <c r="C10"/>
  <c r="I9"/>
  <c r="H9"/>
  <c r="G9"/>
  <c r="E9"/>
  <c r="D9"/>
  <c r="C9"/>
  <c r="I8"/>
  <c r="H8"/>
  <c r="G8"/>
  <c r="E8"/>
  <c r="D8"/>
  <c r="C8"/>
  <c r="I7"/>
  <c r="H7"/>
  <c r="G7"/>
  <c r="F7"/>
  <c r="E7"/>
  <c r="D7"/>
  <c r="C7"/>
  <c r="I6"/>
  <c r="H6"/>
  <c r="G6"/>
  <c r="F6"/>
  <c r="E6"/>
  <c r="D6"/>
  <c r="C6"/>
  <c r="E5"/>
  <c r="D5"/>
  <c r="C5"/>
  <c r="H3"/>
  <c r="G3"/>
  <c r="D3"/>
  <c r="C3"/>
  <c r="H2"/>
  <c r="G2"/>
  <c r="F2"/>
  <c r="E2"/>
  <c r="D2"/>
  <c r="C2"/>
  <c r="L26" i="126"/>
  <c r="L18"/>
  <c r="N18" s="1"/>
  <c r="L17"/>
  <c r="N17" s="1"/>
  <c r="L15"/>
  <c r="N15" s="1"/>
  <c r="L12"/>
  <c r="E35" i="125"/>
  <c r="E38" s="1"/>
  <c r="E29"/>
  <c r="E16"/>
  <c r="C53" i="187" s="1"/>
  <c r="E15" i="125"/>
  <c r="E25" s="1"/>
  <c r="E19" i="164"/>
  <c r="C52" i="187"/>
  <c r="E14" i="164"/>
  <c r="E24"/>
  <c r="L27" i="123"/>
  <c r="L30" s="1"/>
  <c r="L21"/>
  <c r="L15"/>
  <c r="L14"/>
  <c r="L11"/>
  <c r="L18" s="1"/>
  <c r="E19" i="124"/>
  <c r="G19" s="1"/>
  <c r="E18"/>
  <c r="G18" s="1"/>
  <c r="E15"/>
  <c r="E14"/>
  <c r="G14" s="1"/>
  <c r="E12"/>
  <c r="G12" s="1"/>
  <c r="E11"/>
  <c r="O33" i="75"/>
  <c r="Q33" s="1"/>
  <c r="O32"/>
  <c r="O22"/>
  <c r="Q22" s="1"/>
  <c r="O21"/>
  <c r="Q21" s="1"/>
  <c r="O14"/>
  <c r="Q14" s="1"/>
  <c r="O10"/>
  <c r="Q10" s="1"/>
  <c r="O9"/>
  <c r="Q9" s="1"/>
  <c r="N38" i="23"/>
  <c r="N30"/>
  <c r="P30" s="1"/>
  <c r="N28"/>
  <c r="N23"/>
  <c r="P23" s="1"/>
  <c r="N22"/>
  <c r="P22" s="1"/>
  <c r="N15"/>
  <c r="P15" s="1"/>
  <c r="N14"/>
  <c r="P14" s="1"/>
  <c r="N12"/>
  <c r="P12" s="1"/>
  <c r="N11"/>
  <c r="N19" l="1"/>
  <c r="P11"/>
  <c r="N31"/>
  <c r="P28"/>
  <c r="P38"/>
  <c r="L23" i="126"/>
  <c r="N23" s="1"/>
  <c r="N12"/>
  <c r="L30"/>
  <c r="N30" s="1"/>
  <c r="N26"/>
  <c r="E23" i="124"/>
  <c r="G11"/>
  <c r="C50" i="187"/>
  <c r="G15" i="124"/>
  <c r="E30"/>
  <c r="F25"/>
  <c r="O34" i="75"/>
  <c r="Q34" s="1"/>
  <c r="Q32"/>
  <c r="M32" i="181"/>
  <c r="P6" i="28"/>
  <c r="F32" i="182"/>
  <c r="M47" i="181"/>
  <c r="P26" i="53"/>
  <c r="P49"/>
  <c r="O17" i="178"/>
  <c r="P23" i="184"/>
  <c r="O35"/>
  <c r="P35" s="1"/>
  <c r="P31"/>
  <c r="O17" i="75"/>
  <c r="D49" i="182"/>
  <c r="E43" i="124"/>
  <c r="E44" i="164"/>
  <c r="N38" i="183"/>
  <c r="N52" s="1"/>
  <c r="N36" i="184"/>
  <c r="J64" i="181"/>
  <c r="L55"/>
  <c r="P31" i="23" l="1"/>
  <c r="P19"/>
  <c r="L22" i="181"/>
  <c r="N22" s="1"/>
  <c r="P52" i="183"/>
  <c r="G23" i="124"/>
  <c r="G25"/>
  <c r="Q17" i="75"/>
  <c r="P11" i="28"/>
  <c r="L61" i="181"/>
  <c r="N61" s="1"/>
  <c r="F49" i="182"/>
  <c r="L43" i="126"/>
  <c r="N51" i="184"/>
  <c r="L60" i="181" s="1"/>
  <c r="O8" i="63"/>
  <c r="O38"/>
  <c r="O29"/>
  <c r="O19"/>
  <c r="O11"/>
  <c r="N28" i="177"/>
  <c r="N27"/>
  <c r="N25"/>
  <c r="N30" s="1"/>
  <c r="N21"/>
  <c r="N18"/>
  <c r="N17"/>
  <c r="N13"/>
  <c r="N12"/>
  <c r="L29" i="174"/>
  <c r="L28"/>
  <c r="L22"/>
  <c r="L14"/>
  <c r="N29" i="172"/>
  <c r="N20"/>
  <c r="N19"/>
  <c r="N12"/>
  <c r="N38" i="51"/>
  <c r="N40" i="53"/>
  <c r="N31"/>
  <c r="N35" s="1"/>
  <c r="N22"/>
  <c r="N21"/>
  <c r="N14"/>
  <c r="N46" i="171"/>
  <c r="N47" s="1"/>
  <c r="N37"/>
  <c r="N36"/>
  <c r="N38" s="1"/>
  <c r="N31"/>
  <c r="N21"/>
  <c r="N20"/>
  <c r="N14"/>
  <c r="N39" i="180"/>
  <c r="P39" s="1"/>
  <c r="N31"/>
  <c r="N25"/>
  <c r="P25" s="1"/>
  <c r="N17"/>
  <c r="P17" s="1"/>
  <c r="N15"/>
  <c r="P15" s="1"/>
  <c r="N12"/>
  <c r="M46" i="46"/>
  <c r="M36"/>
  <c r="O36" s="1"/>
  <c r="M35"/>
  <c r="O35" s="1"/>
  <c r="M33"/>
  <c r="O33" s="1"/>
  <c r="M30"/>
  <c r="O30" s="1"/>
  <c r="M29"/>
  <c r="O29" s="1"/>
  <c r="M22"/>
  <c r="O22" s="1"/>
  <c r="M20"/>
  <c r="O20" s="1"/>
  <c r="M19"/>
  <c r="O19" s="1"/>
  <c r="M16"/>
  <c r="M15"/>
  <c r="O15" s="1"/>
  <c r="M13"/>
  <c r="O13" s="1"/>
  <c r="M12"/>
  <c r="O12" s="1"/>
  <c r="L44" i="44"/>
  <c r="L34"/>
  <c r="L28"/>
  <c r="L27"/>
  <c r="L17"/>
  <c r="L12"/>
  <c r="M38" i="178"/>
  <c r="O38" s="1"/>
  <c r="M37"/>
  <c r="O37" s="1"/>
  <c r="M39"/>
  <c r="M30"/>
  <c r="O30" s="1"/>
  <c r="M29"/>
  <c r="M33" s="1"/>
  <c r="M22"/>
  <c r="O22" s="1"/>
  <c r="M13"/>
  <c r="O13" s="1"/>
  <c r="N34" i="170"/>
  <c r="N37" s="1"/>
  <c r="N28"/>
  <c r="N31" s="1"/>
  <c r="N20"/>
  <c r="N12"/>
  <c r="N12" i="41"/>
  <c r="N26" s="1"/>
  <c r="N29" i="40"/>
  <c r="P29" s="1"/>
  <c r="N19"/>
  <c r="P19" s="1"/>
  <c r="N11"/>
  <c r="P11" s="1"/>
  <c r="N27" i="169"/>
  <c r="N28" s="1"/>
  <c r="N19"/>
  <c r="N17"/>
  <c r="N12"/>
  <c r="N23" s="1"/>
  <c r="O46" i="38"/>
  <c r="O40"/>
  <c r="O31"/>
  <c r="O20"/>
  <c r="N28" i="35"/>
  <c r="N30" s="1"/>
  <c r="N23"/>
  <c r="N17"/>
  <c r="N14"/>
  <c r="C28" i="187" s="1"/>
  <c r="N12" i="35"/>
  <c r="N11"/>
  <c r="N35" i="168"/>
  <c r="N34"/>
  <c r="N31"/>
  <c r="N30"/>
  <c r="N29"/>
  <c r="N27"/>
  <c r="N26"/>
  <c r="N32" s="1"/>
  <c r="N19"/>
  <c r="N16"/>
  <c r="N13"/>
  <c r="N12"/>
  <c r="N11"/>
  <c r="N6"/>
  <c r="N8" s="1"/>
  <c r="N34" i="165"/>
  <c r="N28"/>
  <c r="N21"/>
  <c r="N20"/>
  <c r="N18"/>
  <c r="N13"/>
  <c r="J26" i="93"/>
  <c r="L26" s="1"/>
  <c r="J25"/>
  <c r="L25" s="1"/>
  <c r="J18"/>
  <c r="L18" s="1"/>
  <c r="J16"/>
  <c r="L16" s="1"/>
  <c r="J15"/>
  <c r="L15" s="1"/>
  <c r="J12"/>
  <c r="L12" s="1"/>
  <c r="J11"/>
  <c r="L11" s="1"/>
  <c r="N32" i="162"/>
  <c r="N27"/>
  <c r="N26"/>
  <c r="N20"/>
  <c r="N18"/>
  <c r="N17"/>
  <c r="N14"/>
  <c r="N11"/>
  <c r="L35" i="163"/>
  <c r="L34"/>
  <c r="L36" s="1"/>
  <c r="L31"/>
  <c r="L30"/>
  <c r="L28"/>
  <c r="L27"/>
  <c r="L25"/>
  <c r="L21"/>
  <c r="L20"/>
  <c r="L19"/>
  <c r="L18"/>
  <c r="L15"/>
  <c r="L13"/>
  <c r="L12"/>
  <c r="N26" i="167"/>
  <c r="P26" s="1"/>
  <c r="J33" i="92"/>
  <c r="J29"/>
  <c r="L29" s="1"/>
  <c r="J28"/>
  <c r="L28" s="1"/>
  <c r="J25"/>
  <c r="L25" s="1"/>
  <c r="J23"/>
  <c r="L23" s="1"/>
  <c r="J19"/>
  <c r="L19" s="1"/>
  <c r="J17"/>
  <c r="L17" s="1"/>
  <c r="J16"/>
  <c r="L16" s="1"/>
  <c r="J13"/>
  <c r="L13" s="1"/>
  <c r="J12"/>
  <c r="L12" s="1"/>
  <c r="J7"/>
  <c r="L7" s="1"/>
  <c r="N53" i="41" l="1"/>
  <c r="P53" s="1"/>
  <c r="P26"/>
  <c r="L59" i="181"/>
  <c r="N59" s="1"/>
  <c r="N43" i="126"/>
  <c r="C39" i="187"/>
  <c r="O16" i="46"/>
  <c r="O46"/>
  <c r="G30" i="124"/>
  <c r="P12" i="180"/>
  <c r="J35" i="92"/>
  <c r="L35" s="1"/>
  <c r="L33"/>
  <c r="M18" i="181"/>
  <c r="O29" i="178"/>
  <c r="O39"/>
  <c r="C4" i="206"/>
  <c r="D4" s="1"/>
  <c r="M60" i="181"/>
  <c r="P36" i="184"/>
  <c r="J9" i="92"/>
  <c r="C3" i="206"/>
  <c r="D3" s="1"/>
  <c r="L49" i="44"/>
  <c r="N23" i="170"/>
  <c r="N45" i="169"/>
  <c r="P45" s="1"/>
  <c r="L31" i="44"/>
  <c r="L36"/>
  <c r="N31" i="172"/>
  <c r="M37" i="46"/>
  <c r="N26" i="53"/>
  <c r="N23" i="177"/>
  <c r="N37" i="168"/>
  <c r="O41" i="38"/>
  <c r="O33"/>
  <c r="N41" i="53"/>
  <c r="N26" i="180"/>
  <c r="N39" i="31"/>
  <c r="R39" s="1"/>
  <c r="N38"/>
  <c r="R38" s="1"/>
  <c r="N35"/>
  <c r="R35" s="1"/>
  <c r="N34"/>
  <c r="R34" s="1"/>
  <c r="N31"/>
  <c r="R31" s="1"/>
  <c r="N30"/>
  <c r="R30" s="1"/>
  <c r="N20"/>
  <c r="R20" s="1"/>
  <c r="N19"/>
  <c r="R19" s="1"/>
  <c r="N18"/>
  <c r="R18" s="1"/>
  <c r="N11"/>
  <c r="R11" s="1"/>
  <c r="O23" i="114"/>
  <c r="O26" s="1"/>
  <c r="O20"/>
  <c r="N27" i="116"/>
  <c r="N29" s="1"/>
  <c r="N17"/>
  <c r="N22" s="1"/>
  <c r="M37" i="175"/>
  <c r="M36"/>
  <c r="M33"/>
  <c r="M32"/>
  <c r="M25"/>
  <c r="M24"/>
  <c r="M22"/>
  <c r="M16"/>
  <c r="N39" i="28"/>
  <c r="N47"/>
  <c r="P47" s="1"/>
  <c r="N34"/>
  <c r="P34" s="1"/>
  <c r="N31"/>
  <c r="P31" s="1"/>
  <c r="N30"/>
  <c r="P30" s="1"/>
  <c r="N20"/>
  <c r="P20" s="1"/>
  <c r="N16"/>
  <c r="N15"/>
  <c r="P15" s="1"/>
  <c r="N14"/>
  <c r="P14" s="1"/>
  <c r="N37" i="21"/>
  <c r="N36"/>
  <c r="N39" s="1"/>
  <c r="N31"/>
  <c r="N30"/>
  <c r="N23"/>
  <c r="N22"/>
  <c r="N17"/>
  <c r="N14"/>
  <c r="N26" s="1"/>
  <c r="N35" i="25"/>
  <c r="N34"/>
  <c r="N31"/>
  <c r="N21"/>
  <c r="N17"/>
  <c r="N16"/>
  <c r="N41" i="24"/>
  <c r="N40"/>
  <c r="N43" s="1"/>
  <c r="N37"/>
  <c r="N36"/>
  <c r="N34"/>
  <c r="N27"/>
  <c r="N26"/>
  <c r="N23"/>
  <c r="N22"/>
  <c r="N18"/>
  <c r="C13" i="187" s="1"/>
  <c r="N17" i="24"/>
  <c r="N15"/>
  <c r="N14"/>
  <c r="N38" i="100"/>
  <c r="P38" s="1"/>
  <c r="N37"/>
  <c r="P37" s="1"/>
  <c r="N34"/>
  <c r="P34" s="1"/>
  <c r="N33"/>
  <c r="P33" s="1"/>
  <c r="N32"/>
  <c r="P32" s="1"/>
  <c r="N30"/>
  <c r="P30" s="1"/>
  <c r="N29"/>
  <c r="P29" s="1"/>
  <c r="N27"/>
  <c r="P27" s="1"/>
  <c r="N22"/>
  <c r="P22" s="1"/>
  <c r="N17"/>
  <c r="P17" s="1"/>
  <c r="N14"/>
  <c r="P14" s="1"/>
  <c r="L43" i="59"/>
  <c r="L37"/>
  <c r="N37" s="1"/>
  <c r="L34"/>
  <c r="N34" s="1"/>
  <c r="L25"/>
  <c r="N25" s="1"/>
  <c r="L23"/>
  <c r="L19"/>
  <c r="L18"/>
  <c r="L16"/>
  <c r="L15"/>
  <c r="M37" i="19"/>
  <c r="O37" s="1"/>
  <c r="M36"/>
  <c r="M31"/>
  <c r="O31" s="1"/>
  <c r="M30"/>
  <c r="O30" s="1"/>
  <c r="M21"/>
  <c r="O21" s="1"/>
  <c r="M20"/>
  <c r="O20" s="1"/>
  <c r="M17"/>
  <c r="O17" s="1"/>
  <c r="M16"/>
  <c r="M39" i="18"/>
  <c r="M41" s="1"/>
  <c r="M24"/>
  <c r="M23"/>
  <c r="M17"/>
  <c r="M28" s="1"/>
  <c r="M38" i="16"/>
  <c r="M37"/>
  <c r="M32"/>
  <c r="M31"/>
  <c r="M22"/>
  <c r="M21"/>
  <c r="M16"/>
  <c r="M35" i="17"/>
  <c r="M34"/>
  <c r="M23"/>
  <c r="M18"/>
  <c r="N51" i="83"/>
  <c r="N34"/>
  <c r="N24"/>
  <c r="N23"/>
  <c r="N19"/>
  <c r="N18"/>
  <c r="N15"/>
  <c r="I30" i="91"/>
  <c r="I33" s="1"/>
  <c r="I27"/>
  <c r="I26"/>
  <c r="L34" i="169"/>
  <c r="M33"/>
  <c r="L41"/>
  <c r="M39"/>
  <c r="M38"/>
  <c r="K38"/>
  <c r="K39" s="1"/>
  <c r="J38"/>
  <c r="I38"/>
  <c r="H38"/>
  <c r="G38"/>
  <c r="F38"/>
  <c r="E38"/>
  <c r="D38"/>
  <c r="C38"/>
  <c r="J34" i="174"/>
  <c r="J33"/>
  <c r="K33" s="1"/>
  <c r="M11" i="31"/>
  <c r="M12"/>
  <c r="N60" i="181" l="1"/>
  <c r="P22" i="116"/>
  <c r="O37" i="46"/>
  <c r="M55" i="181"/>
  <c r="N55" s="1"/>
  <c r="G43" i="124"/>
  <c r="P26" i="180"/>
  <c r="L9" i="92"/>
  <c r="M26" i="19"/>
  <c r="O16"/>
  <c r="M39"/>
  <c r="O39" s="1"/>
  <c r="O36"/>
  <c r="C15" i="187"/>
  <c r="P16" i="28"/>
  <c r="N40"/>
  <c r="P40" s="1"/>
  <c r="P39"/>
  <c r="O33" i="178"/>
  <c r="P51" i="184"/>
  <c r="L44" i="59"/>
  <c r="N43"/>
  <c r="C11" i="187"/>
  <c r="N19" i="59"/>
  <c r="N39" i="116"/>
  <c r="P39" s="1"/>
  <c r="N40" i="100"/>
  <c r="P40" s="1"/>
  <c r="N36" i="25"/>
  <c r="N26" i="28"/>
  <c r="M28" i="175"/>
  <c r="M39"/>
  <c r="M41" i="169"/>
  <c r="C5" i="187"/>
  <c r="C6" i="206"/>
  <c r="D6" s="1"/>
  <c r="N49" i="53"/>
  <c r="M40" i="16"/>
  <c r="N41" i="177"/>
  <c r="P41" s="1"/>
  <c r="N36" i="28"/>
  <c r="P49"/>
  <c r="N41" i="31"/>
  <c r="L33" i="174"/>
  <c r="L37" s="1"/>
  <c r="N6" i="63"/>
  <c r="M29" i="31"/>
  <c r="M46"/>
  <c r="M39"/>
  <c r="M35"/>
  <c r="M34"/>
  <c r="M31"/>
  <c r="M30"/>
  <c r="M20"/>
  <c r="M18"/>
  <c r="M16"/>
  <c r="N16" s="1"/>
  <c r="Q16" s="1"/>
  <c r="M15"/>
  <c r="L51" i="17"/>
  <c r="L45"/>
  <c r="L41"/>
  <c r="L40"/>
  <c r="L39"/>
  <c r="L34"/>
  <c r="L33"/>
  <c r="L25"/>
  <c r="L24"/>
  <c r="L23"/>
  <c r="L21"/>
  <c r="M21" s="1"/>
  <c r="L18"/>
  <c r="L17"/>
  <c r="L5"/>
  <c r="N23" i="38"/>
  <c r="N24"/>
  <c r="D18" i="124"/>
  <c r="D20"/>
  <c r="I24" i="93"/>
  <c r="I17"/>
  <c r="M7" i="162"/>
  <c r="M27" i="40"/>
  <c r="M14" i="169"/>
  <c r="R16" i="31" l="1"/>
  <c r="R41"/>
  <c r="O26" i="19"/>
  <c r="P36" i="28"/>
  <c r="L18" i="181"/>
  <c r="N18" s="1"/>
  <c r="P26" i="28"/>
  <c r="N44" i="59"/>
  <c r="N27" i="40"/>
  <c r="M8" i="162"/>
  <c r="J24" i="93"/>
  <c r="M30" i="17"/>
  <c r="J17" i="93"/>
  <c r="N29" i="31"/>
  <c r="M36"/>
  <c r="M33" i="17"/>
  <c r="M37" s="1"/>
  <c r="L42"/>
  <c r="L52"/>
  <c r="N8" i="63"/>
  <c r="M18" i="24"/>
  <c r="M14" i="21"/>
  <c r="L7" i="17"/>
  <c r="K26" i="19"/>
  <c r="K46"/>
  <c r="J49"/>
  <c r="J21" i="93" l="1"/>
  <c r="L17"/>
  <c r="J28"/>
  <c r="L28" s="1"/>
  <c r="L24"/>
  <c r="N32" i="40"/>
  <c r="N36" i="31"/>
  <c r="R29"/>
  <c r="L12" i="17"/>
  <c r="M28" i="171"/>
  <c r="N28" s="1"/>
  <c r="M20" i="165"/>
  <c r="M40" i="83"/>
  <c r="L26" i="18"/>
  <c r="M40" i="25"/>
  <c r="J45" i="93" l="1"/>
  <c r="L21"/>
  <c r="P32" i="40"/>
  <c r="P27"/>
  <c r="R36" i="31"/>
  <c r="L28" i="181"/>
  <c r="N28" s="1"/>
  <c r="L45" i="93"/>
  <c r="N32" i="171"/>
  <c r="M6" i="25"/>
  <c r="K30" i="163"/>
  <c r="J30"/>
  <c r="K31"/>
  <c r="J31"/>
  <c r="D21" i="124"/>
  <c r="M22" i="165"/>
  <c r="M29"/>
  <c r="L36" i="181" l="1"/>
  <c r="N36" s="1"/>
  <c r="I7" i="93"/>
  <c r="M23" i="28"/>
  <c r="I8" i="93" l="1"/>
  <c r="M7" i="167"/>
  <c r="D38" i="119"/>
  <c r="C38"/>
  <c r="E35"/>
  <c r="D35"/>
  <c r="C35"/>
  <c r="F33"/>
  <c r="E33"/>
  <c r="D33"/>
  <c r="C33"/>
  <c r="D31"/>
  <c r="C31"/>
  <c r="F30"/>
  <c r="E30"/>
  <c r="D30"/>
  <c r="C30"/>
  <c r="F29"/>
  <c r="E29"/>
  <c r="D29"/>
  <c r="C29"/>
  <c r="F26"/>
  <c r="F19"/>
  <c r="D19"/>
  <c r="C9"/>
  <c r="E5"/>
  <c r="C5"/>
  <c r="D14" i="124"/>
  <c r="N20" i="75"/>
  <c r="M7" i="170"/>
  <c r="M19" i="177"/>
  <c r="M31" i="100"/>
  <c r="M4" i="168"/>
  <c r="O20" i="75" l="1"/>
  <c r="K17" i="126"/>
  <c r="D21" i="164"/>
  <c r="M28" i="168"/>
  <c r="I7" i="92"/>
  <c r="I9" s="1"/>
  <c r="O23" i="75" l="1"/>
  <c r="O35" s="1"/>
  <c r="L54" i="181" s="1"/>
  <c r="P20" i="75"/>
  <c r="J54" i="59"/>
  <c r="K53"/>
  <c r="K54" s="1"/>
  <c r="J51"/>
  <c r="K50"/>
  <c r="K49"/>
  <c r="K47"/>
  <c r="L47" s="1"/>
  <c r="J44"/>
  <c r="K43"/>
  <c r="K44" s="1"/>
  <c r="J40"/>
  <c r="K39"/>
  <c r="K37"/>
  <c r="K34"/>
  <c r="I34"/>
  <c r="H34"/>
  <c r="G34"/>
  <c r="F34"/>
  <c r="E34"/>
  <c r="D34"/>
  <c r="C34"/>
  <c r="J32"/>
  <c r="K26"/>
  <c r="K25"/>
  <c r="K23"/>
  <c r="I21"/>
  <c r="I44" s="1"/>
  <c r="H21"/>
  <c r="H44" s="1"/>
  <c r="G21"/>
  <c r="G44" s="1"/>
  <c r="F21"/>
  <c r="F44" s="1"/>
  <c r="E21"/>
  <c r="E44" s="1"/>
  <c r="D21"/>
  <c r="D44" s="1"/>
  <c r="C21"/>
  <c r="C44" s="1"/>
  <c r="K19"/>
  <c r="K18"/>
  <c r="K17"/>
  <c r="L17" s="1"/>
  <c r="N17" s="1"/>
  <c r="K16"/>
  <c r="K15"/>
  <c r="K32" s="1"/>
  <c r="J12"/>
  <c r="D12"/>
  <c r="D11"/>
  <c r="I5"/>
  <c r="H5"/>
  <c r="G5"/>
  <c r="F5"/>
  <c r="K4"/>
  <c r="K12" s="1"/>
  <c r="I3"/>
  <c r="H3"/>
  <c r="Q20" i="75" l="1"/>
  <c r="N47" i="59"/>
  <c r="L40"/>
  <c r="L50"/>
  <c r="N50" s="1"/>
  <c r="L49"/>
  <c r="K51"/>
  <c r="K40"/>
  <c r="L26"/>
  <c r="M26" s="1"/>
  <c r="J58"/>
  <c r="Q23" i="75" l="1"/>
  <c r="L51" i="59"/>
  <c r="N40"/>
  <c r="N26"/>
  <c r="L32"/>
  <c r="K58"/>
  <c r="M54" i="181" l="1"/>
  <c r="N54" s="1"/>
  <c r="Q35" i="75"/>
  <c r="N49" i="59"/>
  <c r="N32"/>
  <c r="L58"/>
  <c r="L11" i="181" s="1"/>
  <c r="K11" i="107"/>
  <c r="K11" i="181"/>
  <c r="L7" i="18"/>
  <c r="G2" i="119"/>
  <c r="G3"/>
  <c r="G4"/>
  <c r="H4"/>
  <c r="G5"/>
  <c r="H5"/>
  <c r="G6"/>
  <c r="H6"/>
  <c r="G7"/>
  <c r="H7"/>
  <c r="L5" i="16" s="1"/>
  <c r="L10" s="1"/>
  <c r="G8" i="119"/>
  <c r="H8"/>
  <c r="L5" i="18" s="1"/>
  <c r="L11" s="1"/>
  <c r="D9" i="119"/>
  <c r="E9"/>
  <c r="F9"/>
  <c r="H9"/>
  <c r="L5" i="19" s="1"/>
  <c r="G10" i="119"/>
  <c r="H10"/>
  <c r="M5" i="21" s="1"/>
  <c r="G11" i="119"/>
  <c r="H11"/>
  <c r="H12"/>
  <c r="G13"/>
  <c r="H13"/>
  <c r="G14"/>
  <c r="H14"/>
  <c r="H15"/>
  <c r="G16"/>
  <c r="L4" i="175"/>
  <c r="G17" i="119"/>
  <c r="G18"/>
  <c r="H18"/>
  <c r="G19"/>
  <c r="H19"/>
  <c r="H20"/>
  <c r="H21"/>
  <c r="G22"/>
  <c r="H22"/>
  <c r="H23"/>
  <c r="G24"/>
  <c r="H24"/>
  <c r="G25"/>
  <c r="H25"/>
  <c r="G26"/>
  <c r="H26"/>
  <c r="H27"/>
  <c r="G28"/>
  <c r="H28"/>
  <c r="G29"/>
  <c r="H29"/>
  <c r="G30"/>
  <c r="H30"/>
  <c r="M4" i="37" s="1"/>
  <c r="G31" i="119"/>
  <c r="H31"/>
  <c r="N5" i="38" s="1"/>
  <c r="G32" i="119"/>
  <c r="H32"/>
  <c r="M5" i="169" s="1"/>
  <c r="G33" i="119"/>
  <c r="H33"/>
  <c r="M4" i="40" s="1"/>
  <c r="M8" s="1"/>
  <c r="C34" i="119"/>
  <c r="D34"/>
  <c r="D54" s="1"/>
  <c r="E34"/>
  <c r="F34"/>
  <c r="G34" s="1"/>
  <c r="G35"/>
  <c r="H35"/>
  <c r="M5" i="170" s="1"/>
  <c r="M9" s="1"/>
  <c r="G36" i="119"/>
  <c r="H36"/>
  <c r="L6" i="178" s="1"/>
  <c r="G37" i="119"/>
  <c r="H37"/>
  <c r="G38"/>
  <c r="H38"/>
  <c r="L5" i="46" s="1"/>
  <c r="G39" i="119"/>
  <c r="H39"/>
  <c r="M5" i="180" s="1"/>
  <c r="G40" i="119"/>
  <c r="H40"/>
  <c r="G41"/>
  <c r="H41"/>
  <c r="G42"/>
  <c r="H42"/>
  <c r="G43"/>
  <c r="H43"/>
  <c r="G44"/>
  <c r="M5" i="172"/>
  <c r="G45" i="119"/>
  <c r="H46"/>
  <c r="G47"/>
  <c r="H47"/>
  <c r="G48"/>
  <c r="H48"/>
  <c r="N3" i="75" s="1"/>
  <c r="G49" i="119"/>
  <c r="H49"/>
  <c r="G50"/>
  <c r="H50"/>
  <c r="G51"/>
  <c r="H51"/>
  <c r="D5" i="164" s="1"/>
  <c r="D8" s="1"/>
  <c r="G52" i="119"/>
  <c r="H52"/>
  <c r="G53"/>
  <c r="H53"/>
  <c r="C54"/>
  <c r="E54"/>
  <c r="N51" i="59" l="1"/>
  <c r="M11" i="181"/>
  <c r="M8" i="37"/>
  <c r="F54" i="119"/>
  <c r="M9" i="172"/>
  <c r="M9" i="169"/>
  <c r="L13" i="175"/>
  <c r="M11" i="21"/>
  <c r="K5" i="174"/>
  <c r="M4" i="165"/>
  <c r="H34" i="119"/>
  <c r="G9"/>
  <c r="H54"/>
  <c r="G54"/>
  <c r="L48" i="162"/>
  <c r="L45"/>
  <c r="N11" i="181" l="1"/>
  <c r="N58" i="59"/>
  <c r="M49" i="37"/>
  <c r="M46" i="53"/>
  <c r="L41" i="167" l="1"/>
  <c r="M47" i="162"/>
  <c r="M48" s="1"/>
  <c r="I40" i="93"/>
  <c r="I18"/>
  <c r="J42" i="44"/>
  <c r="N19" i="114"/>
  <c r="L35" i="17"/>
  <c r="L46"/>
  <c r="L47"/>
  <c r="L48"/>
  <c r="M15" i="83"/>
  <c r="M16"/>
  <c r="M17"/>
  <c r="N17" s="1"/>
  <c r="M18"/>
  <c r="M19"/>
  <c r="M21"/>
  <c r="N21" s="1"/>
  <c r="M22"/>
  <c r="M23"/>
  <c r="M24"/>
  <c r="M25"/>
  <c r="M26"/>
  <c r="M27"/>
  <c r="M33"/>
  <c r="M34"/>
  <c r="M35"/>
  <c r="M36"/>
  <c r="M39"/>
  <c r="M41"/>
  <c r="M45"/>
  <c r="M47"/>
  <c r="L34" i="75"/>
  <c r="N33"/>
  <c r="N32"/>
  <c r="M32"/>
  <c r="M34" s="1"/>
  <c r="M48" i="17" l="1"/>
  <c r="M49" s="1"/>
  <c r="N30" i="83"/>
  <c r="N34" i="75"/>
  <c r="O19" i="114"/>
  <c r="O21" s="1"/>
  <c r="L37" i="17"/>
  <c r="L49"/>
  <c r="M48" i="83"/>
  <c r="M42"/>
  <c r="N37"/>
  <c r="M37"/>
  <c r="M30"/>
  <c r="C5" i="190"/>
  <c r="C58" s="1"/>
  <c r="M18" i="168"/>
  <c r="M14"/>
  <c r="M42"/>
  <c r="M41"/>
  <c r="M43"/>
  <c r="M19" i="31"/>
  <c r="M25"/>
  <c r="M47"/>
  <c r="M22"/>
  <c r="M38"/>
  <c r="M38" i="28"/>
  <c r="M29"/>
  <c r="M34" i="168"/>
  <c r="M25"/>
  <c r="M16"/>
  <c r="M23" i="31"/>
  <c r="L6" i="181" l="1"/>
  <c r="N6" s="1"/>
  <c r="M44" i="168"/>
  <c r="N14"/>
  <c r="N18"/>
  <c r="N23" i="31"/>
  <c r="Q23" s="1"/>
  <c r="M41"/>
  <c r="M48"/>
  <c r="M26"/>
  <c r="N25"/>
  <c r="N52" i="83"/>
  <c r="N29" i="75"/>
  <c r="K39" i="126"/>
  <c r="K32"/>
  <c r="K26"/>
  <c r="K18"/>
  <c r="K16"/>
  <c r="K15"/>
  <c r="K12"/>
  <c r="D44" i="125"/>
  <c r="D43"/>
  <c r="D42"/>
  <c r="D41"/>
  <c r="D37"/>
  <c r="D35"/>
  <c r="D32"/>
  <c r="D29"/>
  <c r="D28"/>
  <c r="D22"/>
  <c r="D16"/>
  <c r="D15"/>
  <c r="D14"/>
  <c r="C53" i="191" s="1"/>
  <c r="D40" i="164"/>
  <c r="D19"/>
  <c r="D15"/>
  <c r="D14"/>
  <c r="D13"/>
  <c r="C52" i="191" s="1"/>
  <c r="D11" i="164"/>
  <c r="K27" i="123"/>
  <c r="K21"/>
  <c r="K20"/>
  <c r="K17"/>
  <c r="K16"/>
  <c r="K15"/>
  <c r="K14"/>
  <c r="K11"/>
  <c r="D19" i="124"/>
  <c r="D15"/>
  <c r="D13"/>
  <c r="C50" i="191" s="1"/>
  <c r="D12" i="124"/>
  <c r="D11"/>
  <c r="L6" i="19"/>
  <c r="L13" s="1"/>
  <c r="N28" i="75"/>
  <c r="N26"/>
  <c r="N22"/>
  <c r="M30" i="23"/>
  <c r="M23"/>
  <c r="M14"/>
  <c r="M13"/>
  <c r="M11"/>
  <c r="N38" i="63"/>
  <c r="N34"/>
  <c r="N29"/>
  <c r="N19"/>
  <c r="N18"/>
  <c r="N11"/>
  <c r="M38" i="177"/>
  <c r="M37"/>
  <c r="M40" s="1"/>
  <c r="M29"/>
  <c r="M28"/>
  <c r="M25"/>
  <c r="M21"/>
  <c r="M17"/>
  <c r="M14"/>
  <c r="M12"/>
  <c r="K36" i="174"/>
  <c r="K35"/>
  <c r="K29"/>
  <c r="K28"/>
  <c r="K24"/>
  <c r="K22"/>
  <c r="M41" i="172"/>
  <c r="M35"/>
  <c r="M30"/>
  <c r="M29"/>
  <c r="M28"/>
  <c r="M20"/>
  <c r="M19"/>
  <c r="M18"/>
  <c r="N18" s="1"/>
  <c r="M17"/>
  <c r="M16"/>
  <c r="M12"/>
  <c r="M29" i="51"/>
  <c r="M20"/>
  <c r="M16"/>
  <c r="M11"/>
  <c r="M47" i="53"/>
  <c r="M40"/>
  <c r="M34"/>
  <c r="M31"/>
  <c r="M24"/>
  <c r="M23"/>
  <c r="M22"/>
  <c r="M21"/>
  <c r="M15"/>
  <c r="M14"/>
  <c r="M46" i="171"/>
  <c r="M43"/>
  <c r="M42"/>
  <c r="M37"/>
  <c r="M36"/>
  <c r="M31"/>
  <c r="M22"/>
  <c r="M21"/>
  <c r="M20"/>
  <c r="M14"/>
  <c r="M38" i="180"/>
  <c r="M37"/>
  <c r="M31"/>
  <c r="M25"/>
  <c r="M17"/>
  <c r="M16"/>
  <c r="N16" s="1"/>
  <c r="O16" s="1"/>
  <c r="M15"/>
  <c r="M12"/>
  <c r="L45" i="46"/>
  <c r="L44"/>
  <c r="L41"/>
  <c r="L36"/>
  <c r="L35"/>
  <c r="L34"/>
  <c r="L33"/>
  <c r="L30"/>
  <c r="L29"/>
  <c r="L28"/>
  <c r="L23"/>
  <c r="L22"/>
  <c r="L20"/>
  <c r="L19"/>
  <c r="L18"/>
  <c r="M18" s="1"/>
  <c r="L17"/>
  <c r="L16"/>
  <c r="L15"/>
  <c r="L14"/>
  <c r="L13"/>
  <c r="L12"/>
  <c r="K44" i="44"/>
  <c r="K40"/>
  <c r="K35"/>
  <c r="K34"/>
  <c r="K30"/>
  <c r="K29"/>
  <c r="K27"/>
  <c r="K20"/>
  <c r="L20" s="1"/>
  <c r="K19"/>
  <c r="K17"/>
  <c r="K15"/>
  <c r="K12"/>
  <c r="L43" i="178"/>
  <c r="L42"/>
  <c r="L38"/>
  <c r="L37"/>
  <c r="L36"/>
  <c r="L32"/>
  <c r="L29"/>
  <c r="L22"/>
  <c r="L21"/>
  <c r="L20"/>
  <c r="L18"/>
  <c r="L16"/>
  <c r="L13"/>
  <c r="M43" i="170"/>
  <c r="M42"/>
  <c r="M34"/>
  <c r="M30"/>
  <c r="M28"/>
  <c r="M22"/>
  <c r="M20"/>
  <c r="M18"/>
  <c r="M12"/>
  <c r="M12" i="41"/>
  <c r="M26" s="1"/>
  <c r="M45" i="40"/>
  <c r="M44"/>
  <c r="M43"/>
  <c r="M41"/>
  <c r="M29"/>
  <c r="M23"/>
  <c r="M19"/>
  <c r="M16"/>
  <c r="M11"/>
  <c r="M31" i="169"/>
  <c r="M34" s="1"/>
  <c r="M27"/>
  <c r="M20"/>
  <c r="M19"/>
  <c r="M17"/>
  <c r="M15"/>
  <c r="M12"/>
  <c r="N40" i="38"/>
  <c r="N37"/>
  <c r="N31"/>
  <c r="N20"/>
  <c r="N12"/>
  <c r="M38" i="35"/>
  <c r="M29"/>
  <c r="M28"/>
  <c r="M23"/>
  <c r="M22"/>
  <c r="N22" s="1"/>
  <c r="M21"/>
  <c r="M20"/>
  <c r="M17"/>
  <c r="M15"/>
  <c r="M14"/>
  <c r="M12"/>
  <c r="M11"/>
  <c r="M35" i="168"/>
  <c r="M31"/>
  <c r="M30"/>
  <c r="M29"/>
  <c r="M27"/>
  <c r="M26"/>
  <c r="M20"/>
  <c r="M19"/>
  <c r="M15"/>
  <c r="N15" s="1"/>
  <c r="M13"/>
  <c r="M12"/>
  <c r="M11"/>
  <c r="M40" i="165"/>
  <c r="M34"/>
  <c r="M30"/>
  <c r="M28"/>
  <c r="M21"/>
  <c r="M18"/>
  <c r="M17"/>
  <c r="M15"/>
  <c r="M13"/>
  <c r="I38" i="93"/>
  <c r="I37"/>
  <c r="I30"/>
  <c r="I27"/>
  <c r="I26"/>
  <c r="I25"/>
  <c r="I16"/>
  <c r="I15"/>
  <c r="I14"/>
  <c r="I12"/>
  <c r="I11"/>
  <c r="M39" i="162"/>
  <c r="M42" s="1"/>
  <c r="M29"/>
  <c r="M28"/>
  <c r="M27"/>
  <c r="M26"/>
  <c r="M25"/>
  <c r="M20"/>
  <c r="M19"/>
  <c r="M17"/>
  <c r="M15"/>
  <c r="M11"/>
  <c r="K28" i="163"/>
  <c r="K42"/>
  <c r="K41"/>
  <c r="K40"/>
  <c r="K35"/>
  <c r="K34"/>
  <c r="K39"/>
  <c r="K26"/>
  <c r="L26" s="1"/>
  <c r="L32" s="1"/>
  <c r="K25"/>
  <c r="K22"/>
  <c r="K21"/>
  <c r="K20"/>
  <c r="K19"/>
  <c r="K18"/>
  <c r="K17"/>
  <c r="L17" s="1"/>
  <c r="K16"/>
  <c r="K15"/>
  <c r="K14"/>
  <c r="C23" i="191" s="1"/>
  <c r="K13" i="163"/>
  <c r="K12"/>
  <c r="M39" i="167"/>
  <c r="M38"/>
  <c r="M31"/>
  <c r="M30"/>
  <c r="M26"/>
  <c r="M25"/>
  <c r="M20"/>
  <c r="M19"/>
  <c r="M14"/>
  <c r="M11"/>
  <c r="I39" i="92"/>
  <c r="I42" s="1"/>
  <c r="I33"/>
  <c r="I29"/>
  <c r="I28"/>
  <c r="I25"/>
  <c r="I24"/>
  <c r="J24" s="1"/>
  <c r="I23"/>
  <c r="I31" s="1"/>
  <c r="I20"/>
  <c r="I19"/>
  <c r="I18"/>
  <c r="I17"/>
  <c r="I16"/>
  <c r="I15"/>
  <c r="J15" s="1"/>
  <c r="L15" s="1"/>
  <c r="I14"/>
  <c r="I13"/>
  <c r="N12" i="114"/>
  <c r="M27" i="116"/>
  <c r="L44" i="175"/>
  <c r="L43"/>
  <c r="L42"/>
  <c r="L37"/>
  <c r="L33"/>
  <c r="L26"/>
  <c r="L25"/>
  <c r="L24"/>
  <c r="L22"/>
  <c r="L16"/>
  <c r="M46" i="28"/>
  <c r="M45"/>
  <c r="M39"/>
  <c r="M35"/>
  <c r="M47"/>
  <c r="M34"/>
  <c r="M31"/>
  <c r="M30"/>
  <c r="M22"/>
  <c r="M21"/>
  <c r="M20"/>
  <c r="M19"/>
  <c r="M18"/>
  <c r="M17"/>
  <c r="M16"/>
  <c r="M15"/>
  <c r="M14"/>
  <c r="M42" i="25"/>
  <c r="M41"/>
  <c r="M39"/>
  <c r="M35"/>
  <c r="M31"/>
  <c r="M24"/>
  <c r="M21"/>
  <c r="M19"/>
  <c r="M18"/>
  <c r="M16"/>
  <c r="M46" i="24"/>
  <c r="M41"/>
  <c r="M37"/>
  <c r="M26"/>
  <c r="M25"/>
  <c r="N25" s="1"/>
  <c r="M24"/>
  <c r="M22"/>
  <c r="M19"/>
  <c r="M16"/>
  <c r="N16" s="1"/>
  <c r="M15"/>
  <c r="M14"/>
  <c r="M46" i="100"/>
  <c r="M38"/>
  <c r="M37"/>
  <c r="M34"/>
  <c r="M33"/>
  <c r="M32"/>
  <c r="M30"/>
  <c r="M29"/>
  <c r="M28"/>
  <c r="N28" s="1"/>
  <c r="M27"/>
  <c r="M35" s="1"/>
  <c r="M24"/>
  <c r="M22"/>
  <c r="M20"/>
  <c r="N20" s="1"/>
  <c r="M19"/>
  <c r="M17"/>
  <c r="M14"/>
  <c r="M45" i="21"/>
  <c r="M44"/>
  <c r="M37"/>
  <c r="M33"/>
  <c r="M31"/>
  <c r="M25"/>
  <c r="M23"/>
  <c r="M22"/>
  <c r="M19"/>
  <c r="L37" i="19"/>
  <c r="L31"/>
  <c r="L22"/>
  <c r="L21"/>
  <c r="L20"/>
  <c r="L19"/>
  <c r="L16"/>
  <c r="L48" i="18"/>
  <c r="L47"/>
  <c r="L46"/>
  <c r="L45"/>
  <c r="L39"/>
  <c r="L24"/>
  <c r="L23"/>
  <c r="L22"/>
  <c r="L20"/>
  <c r="L17"/>
  <c r="L14"/>
  <c r="L46" i="16"/>
  <c r="L45"/>
  <c r="L38"/>
  <c r="L32"/>
  <c r="L25"/>
  <c r="L24"/>
  <c r="L23"/>
  <c r="L21"/>
  <c r="L17"/>
  <c r="L13"/>
  <c r="H37" i="91"/>
  <c r="H27"/>
  <c r="H21"/>
  <c r="H31" i="92"/>
  <c r="H21"/>
  <c r="L30" i="162"/>
  <c r="L24" i="172"/>
  <c r="J30"/>
  <c r="I30"/>
  <c r="H30"/>
  <c r="G30"/>
  <c r="F30"/>
  <c r="E30"/>
  <c r="D30"/>
  <c r="C30"/>
  <c r="M47" i="171"/>
  <c r="L47"/>
  <c r="K47"/>
  <c r="J47"/>
  <c r="J52" i="178"/>
  <c r="K52"/>
  <c r="J45" i="107"/>
  <c r="J44"/>
  <c r="J39"/>
  <c r="J38"/>
  <c r="J36"/>
  <c r="J34"/>
  <c r="J30"/>
  <c r="J19"/>
  <c r="M25" i="46" l="1"/>
  <c r="N18"/>
  <c r="N25" i="100"/>
  <c r="P20"/>
  <c r="N35"/>
  <c r="P35" s="1"/>
  <c r="P28"/>
  <c r="M25"/>
  <c r="P16" i="180"/>
  <c r="J31" i="92"/>
  <c r="L31" s="1"/>
  <c r="L24"/>
  <c r="N49" i="31"/>
  <c r="R25"/>
  <c r="R23"/>
  <c r="M45" i="18"/>
  <c r="M49" s="1"/>
  <c r="L49"/>
  <c r="M43" i="25"/>
  <c r="I21" i="92"/>
  <c r="N25" i="167"/>
  <c r="M28"/>
  <c r="M34"/>
  <c r="N30"/>
  <c r="M41"/>
  <c r="K23" i="163"/>
  <c r="K36"/>
  <c r="I28" i="93"/>
  <c r="I41"/>
  <c r="N24" i="35"/>
  <c r="M30"/>
  <c r="M43"/>
  <c r="M23" i="169"/>
  <c r="M46" i="40"/>
  <c r="K49" i="44"/>
  <c r="L37" i="46"/>
  <c r="L42"/>
  <c r="N24" i="172"/>
  <c r="M39"/>
  <c r="O18" i="63"/>
  <c r="K37" i="174"/>
  <c r="K23" i="126"/>
  <c r="L47" i="16"/>
  <c r="L28" i="18"/>
  <c r="L41"/>
  <c r="N49" i="100"/>
  <c r="P49" s="1"/>
  <c r="M40"/>
  <c r="M48"/>
  <c r="M49" s="1"/>
  <c r="J20" i="92"/>
  <c r="I35"/>
  <c r="I43" s="1"/>
  <c r="M23" i="167"/>
  <c r="N19"/>
  <c r="L23" i="163"/>
  <c r="K43"/>
  <c r="N15" i="162"/>
  <c r="N19"/>
  <c r="N25"/>
  <c r="N30" s="1"/>
  <c r="M30"/>
  <c r="I21" i="93"/>
  <c r="I33"/>
  <c r="M28" i="169"/>
  <c r="M32" i="40"/>
  <c r="N43"/>
  <c r="K23" i="44"/>
  <c r="L23"/>
  <c r="K36"/>
  <c r="K42"/>
  <c r="L25" i="46"/>
  <c r="M28"/>
  <c r="L31"/>
  <c r="M24" i="172"/>
  <c r="M31"/>
  <c r="M44"/>
  <c r="M32" i="168"/>
  <c r="D23" i="124"/>
  <c r="C58" i="191"/>
  <c r="N30" i="75"/>
  <c r="L45" i="175"/>
  <c r="M46" i="21"/>
  <c r="N20" i="168"/>
  <c r="M37"/>
  <c r="M22"/>
  <c r="K35" i="126"/>
  <c r="K30"/>
  <c r="K42"/>
  <c r="M37" i="170"/>
  <c r="N43"/>
  <c r="N42"/>
  <c r="M44"/>
  <c r="M20" i="178"/>
  <c r="N20" s="1"/>
  <c r="N25" s="1"/>
  <c r="N53" s="1"/>
  <c r="M44"/>
  <c r="L44"/>
  <c r="L39"/>
  <c r="N17" i="165"/>
  <c r="M41"/>
  <c r="L23" i="181"/>
  <c r="M49" i="31"/>
  <c r="D24" i="164"/>
  <c r="D43"/>
  <c r="D44" s="1"/>
  <c r="M26" i="28"/>
  <c r="M36"/>
  <c r="M40"/>
  <c r="M48"/>
  <c r="H39" i="91"/>
  <c r="D38" i="125"/>
  <c r="D45"/>
  <c r="D25"/>
  <c r="E33"/>
  <c r="D33"/>
  <c r="L20" i="123"/>
  <c r="L25" s="1"/>
  <c r="K25"/>
  <c r="K30"/>
  <c r="K18"/>
  <c r="N35" i="63"/>
  <c r="N41" i="38"/>
  <c r="N33"/>
  <c r="M53" i="41"/>
  <c r="K38" i="181" s="1"/>
  <c r="J54" i="107"/>
  <c r="O44" i="178" l="1"/>
  <c r="K43" i="126"/>
  <c r="M31" i="46"/>
  <c r="N28"/>
  <c r="O18"/>
  <c r="P25" i="100"/>
  <c r="N46" i="40"/>
  <c r="O43"/>
  <c r="N34" i="167"/>
  <c r="P34" s="1"/>
  <c r="P30"/>
  <c r="P19"/>
  <c r="N28"/>
  <c r="P25"/>
  <c r="J21" i="92"/>
  <c r="L21" s="1"/>
  <c r="L20"/>
  <c r="R26" i="31"/>
  <c r="O20" i="178"/>
  <c r="J43" i="92"/>
  <c r="L43" s="1"/>
  <c r="M45" i="172"/>
  <c r="L54" i="44"/>
  <c r="N54" s="1"/>
  <c r="N45" i="172"/>
  <c r="N44" i="35"/>
  <c r="N42" i="167"/>
  <c r="P42" s="1"/>
  <c r="L50" i="18"/>
  <c r="I45" i="93"/>
  <c r="L44" i="163"/>
  <c r="M50" i="18"/>
  <c r="N44" i="170"/>
  <c r="D43" i="124"/>
  <c r="N45" i="168"/>
  <c r="E46" i="125"/>
  <c r="N45" i="170"/>
  <c r="M49" i="28"/>
  <c r="D46" i="125"/>
  <c r="L57" i="181"/>
  <c r="N57" s="1"/>
  <c r="L49"/>
  <c r="N49" s="1"/>
  <c r="M47" i="46"/>
  <c r="L44" i="181" s="1"/>
  <c r="L39"/>
  <c r="N39" s="1"/>
  <c r="L26"/>
  <c r="N26" s="1"/>
  <c r="L24"/>
  <c r="N24" s="1"/>
  <c r="L8"/>
  <c r="N8" s="1"/>
  <c r="N7" i="38"/>
  <c r="M27" i="24"/>
  <c r="O25" i="46" l="1"/>
  <c r="O31"/>
  <c r="O28"/>
  <c r="L30" i="181"/>
  <c r="N30" s="1"/>
  <c r="P45" i="168"/>
  <c r="M45" i="181"/>
  <c r="P43" i="40"/>
  <c r="P28" i="167"/>
  <c r="P23"/>
  <c r="M23" i="181"/>
  <c r="R49" i="31"/>
  <c r="M40" i="181"/>
  <c r="K55"/>
  <c r="N9" i="38"/>
  <c r="L58" i="181"/>
  <c r="N58" s="1"/>
  <c r="L25"/>
  <c r="N25" s="1"/>
  <c r="L12"/>
  <c r="N12" s="1"/>
  <c r="D38" i="126"/>
  <c r="H36"/>
  <c r="G36"/>
  <c r="F36"/>
  <c r="E36"/>
  <c r="D36"/>
  <c r="I35"/>
  <c r="I31"/>
  <c r="I24"/>
  <c r="J23"/>
  <c r="I16"/>
  <c r="J9"/>
  <c r="H9"/>
  <c r="G9"/>
  <c r="F9"/>
  <c r="E9"/>
  <c r="D9"/>
  <c r="G7"/>
  <c r="F7"/>
  <c r="E7"/>
  <c r="D7"/>
  <c r="I6"/>
  <c r="H6"/>
  <c r="I4"/>
  <c r="H4"/>
  <c r="H7" s="1"/>
  <c r="C45" i="125"/>
  <c r="C9"/>
  <c r="C19" s="1"/>
  <c r="C8"/>
  <c r="C23" i="124"/>
  <c r="C8"/>
  <c r="M6" i="167"/>
  <c r="M29" i="25"/>
  <c r="N23" i="181" l="1"/>
  <c r="P46" i="40"/>
  <c r="N29" i="25"/>
  <c r="M8" i="167"/>
  <c r="I36" i="126"/>
  <c r="J23" i="44"/>
  <c r="M44" i="181" l="1"/>
  <c r="M42" i="167"/>
  <c r="N32" i="25"/>
  <c r="K58" i="181"/>
  <c r="K59"/>
  <c r="K53" i="107"/>
  <c r="L53" s="1"/>
  <c r="K52"/>
  <c r="L52" s="1"/>
  <c r="K49"/>
  <c r="L49" s="1"/>
  <c r="M9" i="165"/>
  <c r="N44" i="181" l="1"/>
  <c r="N47" i="25"/>
  <c r="L33" i="178"/>
  <c r="M6" i="35"/>
  <c r="J5" i="163" l="1"/>
  <c r="M5" i="83"/>
  <c r="M12" s="1"/>
  <c r="N5" i="114"/>
  <c r="N9" s="1"/>
  <c r="M4" i="35"/>
  <c r="M8" s="1"/>
  <c r="K5" i="44"/>
  <c r="K9" s="1"/>
  <c r="M5" i="171"/>
  <c r="M5" i="53"/>
  <c r="M4" i="51"/>
  <c r="M5" i="177"/>
  <c r="M9" s="1"/>
  <c r="M5" i="23"/>
  <c r="M8" s="1"/>
  <c r="K5" i="123"/>
  <c r="K8" s="1"/>
  <c r="K38" s="1"/>
  <c r="H5" i="91"/>
  <c r="H10" s="1"/>
  <c r="M5" i="116"/>
  <c r="M11" s="1"/>
  <c r="M4" i="25"/>
  <c r="M13" s="1"/>
  <c r="M4" i="24"/>
  <c r="M51" i="83"/>
  <c r="L48"/>
  <c r="L51"/>
  <c r="K51"/>
  <c r="L26" i="17"/>
  <c r="K52"/>
  <c r="J42" i="163"/>
  <c r="J41"/>
  <c r="J40"/>
  <c r="J43" s="1"/>
  <c r="J35"/>
  <c r="J34"/>
  <c r="J36" s="1"/>
  <c r="J29"/>
  <c r="J27"/>
  <c r="J25"/>
  <c r="J18"/>
  <c r="J17"/>
  <c r="J12"/>
  <c r="J23" s="1"/>
  <c r="J9"/>
  <c r="M6" i="168"/>
  <c r="M21" i="170"/>
  <c r="M17"/>
  <c r="H17" i="93"/>
  <c r="M26" i="53"/>
  <c r="L46" i="46"/>
  <c r="K46"/>
  <c r="L8" i="178"/>
  <c r="L14"/>
  <c r="N15" i="38"/>
  <c r="M7"/>
  <c r="L22" i="162"/>
  <c r="M40" i="51"/>
  <c r="N40" s="1"/>
  <c r="M17"/>
  <c r="M14" i="180"/>
  <c r="N14" s="1"/>
  <c r="P14" s="1"/>
  <c r="M13"/>
  <c r="N13" s="1"/>
  <c r="N37" i="63"/>
  <c r="N28"/>
  <c r="O28" s="1"/>
  <c r="M16" i="177"/>
  <c r="M28" i="51"/>
  <c r="N28" s="1"/>
  <c r="M27"/>
  <c r="N27" s="1"/>
  <c r="M19"/>
  <c r="M17" i="171"/>
  <c r="N17" s="1"/>
  <c r="N25" s="1"/>
  <c r="M26" i="170"/>
  <c r="M17" i="40"/>
  <c r="M13" i="35"/>
  <c r="M24" s="1"/>
  <c r="M33" i="165"/>
  <c r="M35" s="1"/>
  <c r="M26"/>
  <c r="M19"/>
  <c r="M14"/>
  <c r="L19" i="16"/>
  <c r="M19" s="1"/>
  <c r="H14" i="91"/>
  <c r="J5" i="174"/>
  <c r="K28" i="44"/>
  <c r="L46" i="40"/>
  <c r="P20" i="180" l="1"/>
  <c r="P13"/>
  <c r="K31" i="44"/>
  <c r="N17" i="40"/>
  <c r="M24"/>
  <c r="M47" s="1"/>
  <c r="N52" i="171"/>
  <c r="P52" s="1"/>
  <c r="N45" i="180"/>
  <c r="P45" s="1"/>
  <c r="M44" i="35"/>
  <c r="M8" i="168"/>
  <c r="M45" s="1"/>
  <c r="K54" i="44"/>
  <c r="M31" i="170"/>
  <c r="M23"/>
  <c r="L25" i="178"/>
  <c r="L10"/>
  <c r="L53" s="1"/>
  <c r="N26" i="165"/>
  <c r="N31" s="1"/>
  <c r="P31" s="1"/>
  <c r="I14" i="91"/>
  <c r="I22" s="1"/>
  <c r="H22"/>
  <c r="L30" i="17"/>
  <c r="L53" s="1"/>
  <c r="M52" i="83"/>
  <c r="O39" i="63"/>
  <c r="N39"/>
  <c r="O15" i="38"/>
  <c r="N26"/>
  <c r="L5" i="123"/>
  <c r="N5" s="1"/>
  <c r="N42" i="51"/>
  <c r="N31"/>
  <c r="N33" i="165"/>
  <c r="N35" s="1"/>
  <c r="L34" i="181"/>
  <c r="N34" s="1"/>
  <c r="J32" i="163"/>
  <c r="J44"/>
  <c r="L26" i="25"/>
  <c r="I21" i="1"/>
  <c r="L21" s="1"/>
  <c r="H21"/>
  <c r="I7"/>
  <c r="L7" s="1"/>
  <c r="H7"/>
  <c r="N14" i="75"/>
  <c r="N10"/>
  <c r="N9"/>
  <c r="N21"/>
  <c r="M28" i="23"/>
  <c r="M22"/>
  <c r="M21"/>
  <c r="M15"/>
  <c r="M12"/>
  <c r="K42" i="46"/>
  <c r="K37"/>
  <c r="F32"/>
  <c r="K31"/>
  <c r="J30"/>
  <c r="I30"/>
  <c r="H30"/>
  <c r="G30"/>
  <c r="F30"/>
  <c r="E30"/>
  <c r="D30"/>
  <c r="C30"/>
  <c r="K25"/>
  <c r="J25"/>
  <c r="J20"/>
  <c r="J15"/>
  <c r="I15"/>
  <c r="I23" s="1"/>
  <c r="H15"/>
  <c r="H23" s="1"/>
  <c r="G15"/>
  <c r="G23" s="1"/>
  <c r="F15"/>
  <c r="F23" s="1"/>
  <c r="E15"/>
  <c r="E23" s="1"/>
  <c r="D15"/>
  <c r="D23" s="1"/>
  <c r="C15"/>
  <c r="C23" s="1"/>
  <c r="L7"/>
  <c r="L9" s="1"/>
  <c r="K7"/>
  <c r="K5"/>
  <c r="M39" i="180"/>
  <c r="L39"/>
  <c r="M32"/>
  <c r="L32"/>
  <c r="K29"/>
  <c r="M26"/>
  <c r="L26"/>
  <c r="J26"/>
  <c r="I26"/>
  <c r="H26"/>
  <c r="G26"/>
  <c r="F26"/>
  <c r="E26"/>
  <c r="D26"/>
  <c r="C26"/>
  <c r="K25"/>
  <c r="M20"/>
  <c r="L20"/>
  <c r="M7"/>
  <c r="L7"/>
  <c r="I7"/>
  <c r="F7"/>
  <c r="E7"/>
  <c r="D7"/>
  <c r="C7"/>
  <c r="J6"/>
  <c r="L5"/>
  <c r="K5"/>
  <c r="J4"/>
  <c r="H4"/>
  <c r="H7" s="1"/>
  <c r="G4"/>
  <c r="G7" s="1"/>
  <c r="L19" i="167"/>
  <c r="L28"/>
  <c r="I24"/>
  <c r="L8"/>
  <c r="M26" i="114"/>
  <c r="H30" i="91"/>
  <c r="H33" s="1"/>
  <c r="H26"/>
  <c r="H25"/>
  <c r="I25" s="1"/>
  <c r="I28" s="1"/>
  <c r="K27" i="163"/>
  <c r="K44" i="178"/>
  <c r="F44"/>
  <c r="D43"/>
  <c r="K39"/>
  <c r="K33"/>
  <c r="K25"/>
  <c r="K10"/>
  <c r="L5" i="177"/>
  <c r="M32"/>
  <c r="M34" s="1"/>
  <c r="M27"/>
  <c r="M26"/>
  <c r="M30" s="1"/>
  <c r="M18"/>
  <c r="M15"/>
  <c r="M13"/>
  <c r="L34"/>
  <c r="L40"/>
  <c r="L30"/>
  <c r="L23"/>
  <c r="K40"/>
  <c r="H35"/>
  <c r="G35"/>
  <c r="F35"/>
  <c r="E35"/>
  <c r="D35"/>
  <c r="K34"/>
  <c r="I34"/>
  <c r="I31"/>
  <c r="K30"/>
  <c r="I24"/>
  <c r="K23"/>
  <c r="J23"/>
  <c r="H19"/>
  <c r="G19"/>
  <c r="F19"/>
  <c r="E19"/>
  <c r="D19"/>
  <c r="I15"/>
  <c r="K9"/>
  <c r="J9"/>
  <c r="H9"/>
  <c r="G9"/>
  <c r="F9"/>
  <c r="E9"/>
  <c r="D9"/>
  <c r="G7"/>
  <c r="F7"/>
  <c r="E7"/>
  <c r="D7"/>
  <c r="I6"/>
  <c r="H6"/>
  <c r="I4"/>
  <c r="H4"/>
  <c r="H7" s="1"/>
  <c r="K45" i="175"/>
  <c r="C45"/>
  <c r="K39"/>
  <c r="C39"/>
  <c r="L36"/>
  <c r="K34"/>
  <c r="C34"/>
  <c r="L32"/>
  <c r="L31"/>
  <c r="K28"/>
  <c r="C28"/>
  <c r="L23"/>
  <c r="L19"/>
  <c r="J17"/>
  <c r="I17"/>
  <c r="H17"/>
  <c r="G17"/>
  <c r="F17"/>
  <c r="E17"/>
  <c r="D17"/>
  <c r="K13"/>
  <c r="C13"/>
  <c r="J10"/>
  <c r="I10"/>
  <c r="F10"/>
  <c r="E10"/>
  <c r="D10"/>
  <c r="G6"/>
  <c r="H6" s="1"/>
  <c r="H3"/>
  <c r="G3"/>
  <c r="G10" s="1"/>
  <c r="L26" i="53"/>
  <c r="M27" i="165"/>
  <c r="M31" s="1"/>
  <c r="M16"/>
  <c r="N16" s="1"/>
  <c r="M6"/>
  <c r="M10" s="1"/>
  <c r="M32" i="162"/>
  <c r="M18"/>
  <c r="M16"/>
  <c r="N16" s="1"/>
  <c r="N22" s="1"/>
  <c r="M14"/>
  <c r="N23" i="114"/>
  <c r="N26" s="1"/>
  <c r="N20"/>
  <c r="N15"/>
  <c r="N13"/>
  <c r="M31" i="116"/>
  <c r="M26"/>
  <c r="M25"/>
  <c r="M29" s="1"/>
  <c r="M21"/>
  <c r="M17"/>
  <c r="M34" i="25"/>
  <c r="M30"/>
  <c r="M22"/>
  <c r="M17"/>
  <c r="M40" i="24"/>
  <c r="M36"/>
  <c r="M35"/>
  <c r="N35" s="1"/>
  <c r="M23"/>
  <c r="M20"/>
  <c r="N20" s="1"/>
  <c r="M17"/>
  <c r="M36" i="21"/>
  <c r="M30"/>
  <c r="M29"/>
  <c r="M17"/>
  <c r="L36" i="19"/>
  <c r="L30"/>
  <c r="L29"/>
  <c r="L17"/>
  <c r="L37" i="16"/>
  <c r="L31"/>
  <c r="L30"/>
  <c r="L22"/>
  <c r="L16"/>
  <c r="J36" i="174"/>
  <c r="J35"/>
  <c r="D33"/>
  <c r="H31"/>
  <c r="G31"/>
  <c r="F31"/>
  <c r="E31"/>
  <c r="D31"/>
  <c r="I30"/>
  <c r="J28"/>
  <c r="J27"/>
  <c r="I26"/>
  <c r="J24"/>
  <c r="J22"/>
  <c r="J21"/>
  <c r="K21" s="1"/>
  <c r="J20"/>
  <c r="I19"/>
  <c r="K17"/>
  <c r="J17"/>
  <c r="H17"/>
  <c r="G17"/>
  <c r="F17"/>
  <c r="E17"/>
  <c r="D17"/>
  <c r="J15"/>
  <c r="K15" s="1"/>
  <c r="L15" s="1"/>
  <c r="K14"/>
  <c r="J14"/>
  <c r="J13"/>
  <c r="I13"/>
  <c r="J12"/>
  <c r="K12" s="1"/>
  <c r="J11"/>
  <c r="J18" s="1"/>
  <c r="H8"/>
  <c r="G8"/>
  <c r="F8"/>
  <c r="E8"/>
  <c r="D8"/>
  <c r="K7"/>
  <c r="J7"/>
  <c r="G7"/>
  <c r="F7"/>
  <c r="E7"/>
  <c r="D7"/>
  <c r="I6"/>
  <c r="H6"/>
  <c r="J8"/>
  <c r="I4"/>
  <c r="H4"/>
  <c r="H7" s="1"/>
  <c r="L44" i="172"/>
  <c r="K44"/>
  <c r="L39"/>
  <c r="K39"/>
  <c r="F37"/>
  <c r="E37"/>
  <c r="J32"/>
  <c r="I32"/>
  <c r="H32"/>
  <c r="G32"/>
  <c r="F32"/>
  <c r="E32"/>
  <c r="D32"/>
  <c r="C32"/>
  <c r="K31"/>
  <c r="L27"/>
  <c r="L31" s="1"/>
  <c r="K24"/>
  <c r="J16"/>
  <c r="I16"/>
  <c r="H16"/>
  <c r="G16"/>
  <c r="D16"/>
  <c r="C16"/>
  <c r="F12"/>
  <c r="F16" s="1"/>
  <c r="E12"/>
  <c r="E16" s="1"/>
  <c r="G6"/>
  <c r="L5"/>
  <c r="L9" s="1"/>
  <c r="K5"/>
  <c r="K9" s="1"/>
  <c r="J5"/>
  <c r="I5"/>
  <c r="H5"/>
  <c r="M44" i="171"/>
  <c r="L44"/>
  <c r="M38"/>
  <c r="L38"/>
  <c r="F34"/>
  <c r="M32"/>
  <c r="L32"/>
  <c r="K32"/>
  <c r="J31"/>
  <c r="I31"/>
  <c r="H31"/>
  <c r="G31"/>
  <c r="F31"/>
  <c r="E31"/>
  <c r="D31"/>
  <c r="C31"/>
  <c r="K28"/>
  <c r="M25"/>
  <c r="L25"/>
  <c r="K19"/>
  <c r="M7"/>
  <c r="L7"/>
  <c r="K6"/>
  <c r="J6"/>
  <c r="H6"/>
  <c r="L5"/>
  <c r="L11" s="1"/>
  <c r="K4"/>
  <c r="J4"/>
  <c r="H4"/>
  <c r="F4"/>
  <c r="L44" i="170"/>
  <c r="F44"/>
  <c r="L37"/>
  <c r="L31"/>
  <c r="L23"/>
  <c r="L9"/>
  <c r="M44" i="169"/>
  <c r="L44"/>
  <c r="K29"/>
  <c r="J29"/>
  <c r="I29"/>
  <c r="H29"/>
  <c r="G29"/>
  <c r="F29"/>
  <c r="E29"/>
  <c r="D29"/>
  <c r="C29"/>
  <c r="L28"/>
  <c r="K26"/>
  <c r="L23"/>
  <c r="J18"/>
  <c r="I18"/>
  <c r="H18"/>
  <c r="G18"/>
  <c r="F18"/>
  <c r="E18"/>
  <c r="D18"/>
  <c r="C18"/>
  <c r="K15"/>
  <c r="L9"/>
  <c r="J39"/>
  <c r="I39"/>
  <c r="H39"/>
  <c r="G39"/>
  <c r="F39"/>
  <c r="E39"/>
  <c r="D39"/>
  <c r="C39"/>
  <c r="G7"/>
  <c r="F7"/>
  <c r="E7"/>
  <c r="D7"/>
  <c r="C7"/>
  <c r="K6"/>
  <c r="J6"/>
  <c r="H6"/>
  <c r="K4"/>
  <c r="J4"/>
  <c r="I4"/>
  <c r="I7" s="1"/>
  <c r="H4"/>
  <c r="L44" i="168"/>
  <c r="K39"/>
  <c r="L37"/>
  <c r="J37"/>
  <c r="I37"/>
  <c r="H37"/>
  <c r="G37"/>
  <c r="F37"/>
  <c r="E37"/>
  <c r="C37"/>
  <c r="K34"/>
  <c r="L32"/>
  <c r="D26"/>
  <c r="D37" s="1"/>
  <c r="L22"/>
  <c r="K20"/>
  <c r="K25" s="1"/>
  <c r="J20"/>
  <c r="I20"/>
  <c r="H20"/>
  <c r="G20"/>
  <c r="C20"/>
  <c r="F20"/>
  <c r="E20"/>
  <c r="D20"/>
  <c r="J12"/>
  <c r="H12"/>
  <c r="C12"/>
  <c r="I9"/>
  <c r="I12" s="1"/>
  <c r="G9"/>
  <c r="G12" s="1"/>
  <c r="F9"/>
  <c r="D9"/>
  <c r="D12" s="1"/>
  <c r="F12"/>
  <c r="E12"/>
  <c r="K7"/>
  <c r="J7"/>
  <c r="I7"/>
  <c r="H7"/>
  <c r="F7"/>
  <c r="E7"/>
  <c r="D7"/>
  <c r="C7"/>
  <c r="L4"/>
  <c r="L8" s="1"/>
  <c r="G4"/>
  <c r="G7" s="1"/>
  <c r="L34" i="167"/>
  <c r="N5" i="75"/>
  <c r="M38" i="23"/>
  <c r="O25" i="178" l="1"/>
  <c r="M53"/>
  <c r="O53" s="1"/>
  <c r="M45" i="169"/>
  <c r="K8" i="174"/>
  <c r="L21"/>
  <c r="M32" i="24"/>
  <c r="M26" i="25"/>
  <c r="M32"/>
  <c r="M22" i="116"/>
  <c r="M34"/>
  <c r="M39" s="1"/>
  <c r="O15" i="114"/>
  <c r="O16" s="1"/>
  <c r="M9" i="180"/>
  <c r="N47" i="40"/>
  <c r="J7" i="180"/>
  <c r="L9"/>
  <c r="L12" i="174"/>
  <c r="L27" i="16"/>
  <c r="M30"/>
  <c r="M35" s="1"/>
  <c r="L35"/>
  <c r="L40"/>
  <c r="P32" i="24"/>
  <c r="N38"/>
  <c r="M43"/>
  <c r="M36" i="25"/>
  <c r="M22" i="162"/>
  <c r="K32" i="163"/>
  <c r="K44" s="1"/>
  <c r="J37" i="174"/>
  <c r="M11" i="171"/>
  <c r="L8" i="123"/>
  <c r="N8" s="1"/>
  <c r="C2" i="206"/>
  <c r="N7" i="75"/>
  <c r="N23"/>
  <c r="N17"/>
  <c r="M23" i="177"/>
  <c r="M41" s="1"/>
  <c r="L28" i="175"/>
  <c r="M31"/>
  <c r="L34"/>
  <c r="L39"/>
  <c r="M26" i="21"/>
  <c r="N29"/>
  <c r="N34" s="1"/>
  <c r="M34"/>
  <c r="M39"/>
  <c r="M45" i="170"/>
  <c r="M24" i="165"/>
  <c r="M45" s="1"/>
  <c r="L38" i="123"/>
  <c r="H28" i="91"/>
  <c r="H40" s="1"/>
  <c r="L26" i="19"/>
  <c r="M29"/>
  <c r="L34"/>
  <c r="L39"/>
  <c r="M19" i="23"/>
  <c r="N21"/>
  <c r="M26"/>
  <c r="M31"/>
  <c r="N16" i="114"/>
  <c r="N21"/>
  <c r="N32" s="1"/>
  <c r="L2" i="181"/>
  <c r="N2" s="1"/>
  <c r="K2"/>
  <c r="L3"/>
  <c r="N3" s="1"/>
  <c r="K3"/>
  <c r="O26" i="38"/>
  <c r="L45" i="181"/>
  <c r="N45" s="1"/>
  <c r="K9" i="46"/>
  <c r="K47" s="1"/>
  <c r="L40" i="181"/>
  <c r="N40" s="1"/>
  <c r="L37"/>
  <c r="J7" i="169"/>
  <c r="I40" i="91"/>
  <c r="L43" i="181"/>
  <c r="N43" s="1"/>
  <c r="L17"/>
  <c r="N17" s="1"/>
  <c r="L47"/>
  <c r="N47" s="1"/>
  <c r="L5"/>
  <c r="N5" s="1"/>
  <c r="L31"/>
  <c r="N31" s="1"/>
  <c r="L46"/>
  <c r="N46" s="1"/>
  <c r="N43" i="51"/>
  <c r="L48" i="181" s="1"/>
  <c r="N48" s="1"/>
  <c r="L20"/>
  <c r="N20" s="1"/>
  <c r="L23" i="167"/>
  <c r="K2" i="107"/>
  <c r="L2" s="1"/>
  <c r="K3"/>
  <c r="L3" s="1"/>
  <c r="L52" i="171"/>
  <c r="L9" i="177"/>
  <c r="L41" s="1"/>
  <c r="L47" i="46"/>
  <c r="M52" i="171"/>
  <c r="K46" i="181" s="1"/>
  <c r="L45" i="170"/>
  <c r="K46" i="175"/>
  <c r="C46"/>
  <c r="K13" i="174"/>
  <c r="K18" s="1"/>
  <c r="J25"/>
  <c r="K20"/>
  <c r="J30"/>
  <c r="K27"/>
  <c r="H7" i="169"/>
  <c r="K31" i="180"/>
  <c r="L45"/>
  <c r="L42" i="167"/>
  <c r="K36" i="107"/>
  <c r="L36" s="1"/>
  <c r="K53" i="178"/>
  <c r="K41" i="177"/>
  <c r="I35"/>
  <c r="H10" i="175"/>
  <c r="I31" i="174"/>
  <c r="J38"/>
  <c r="K45" i="172"/>
  <c r="L45"/>
  <c r="H6"/>
  <c r="F36" i="171"/>
  <c r="K33"/>
  <c r="L45" i="169"/>
  <c r="C38" i="168"/>
  <c r="H38"/>
  <c r="J38"/>
  <c r="E38"/>
  <c r="G38"/>
  <c r="I38"/>
  <c r="K40"/>
  <c r="D38"/>
  <c r="F38"/>
  <c r="L45"/>
  <c r="L56" i="181" l="1"/>
  <c r="N56" s="1"/>
  <c r="N38" i="123"/>
  <c r="N26" i="23"/>
  <c r="P26" s="1"/>
  <c r="P21"/>
  <c r="M39"/>
  <c r="K47" i="107" s="1"/>
  <c r="L47" s="1"/>
  <c r="P17" i="40"/>
  <c r="M34" i="19"/>
  <c r="O34" s="1"/>
  <c r="O29"/>
  <c r="L53"/>
  <c r="L27" i="174"/>
  <c r="L30" s="1"/>
  <c r="K30"/>
  <c r="N39" i="23"/>
  <c r="M53" i="19"/>
  <c r="O53" s="1"/>
  <c r="M47" i="25"/>
  <c r="M48" i="16"/>
  <c r="L7" i="181" s="1"/>
  <c r="N7" s="1"/>
  <c r="L20" i="174"/>
  <c r="L25" s="1"/>
  <c r="K25"/>
  <c r="O32" i="114"/>
  <c r="N45" i="165"/>
  <c r="P45" s="1"/>
  <c r="L48" i="16"/>
  <c r="K38" i="174"/>
  <c r="D2" i="206"/>
  <c r="C7"/>
  <c r="D7" s="1"/>
  <c r="N35" i="75"/>
  <c r="L46" i="175"/>
  <c r="K16" i="107" s="1"/>
  <c r="L16" s="1"/>
  <c r="M34" i="175"/>
  <c r="N47" i="21"/>
  <c r="M47"/>
  <c r="K40" i="107"/>
  <c r="L40" s="1"/>
  <c r="O47" i="38"/>
  <c r="L35" i="181" s="1"/>
  <c r="N35" s="1"/>
  <c r="L51"/>
  <c r="N51" s="1"/>
  <c r="L13" i="174"/>
  <c r="L18" s="1"/>
  <c r="L10" i="181"/>
  <c r="N10" s="1"/>
  <c r="L9"/>
  <c r="N9" s="1"/>
  <c r="K39"/>
  <c r="K53"/>
  <c r="K44"/>
  <c r="K19"/>
  <c r="L4"/>
  <c r="N4" s="1"/>
  <c r="K32" i="107"/>
  <c r="L32" s="1"/>
  <c r="K36" i="181"/>
  <c r="K40"/>
  <c r="L38"/>
  <c r="N38" s="1"/>
  <c r="M45" i="180"/>
  <c r="K38" i="107"/>
  <c r="L38" s="1"/>
  <c r="K35"/>
  <c r="L35" s="1"/>
  <c r="K19"/>
  <c r="F32" i="171"/>
  <c r="F36" i="169"/>
  <c r="M42" i="51"/>
  <c r="M38"/>
  <c r="M31"/>
  <c r="M24"/>
  <c r="M6"/>
  <c r="M48" i="53"/>
  <c r="M41"/>
  <c r="M35"/>
  <c r="M9"/>
  <c r="N46" i="38"/>
  <c r="L34" i="116"/>
  <c r="L22"/>
  <c r="L50" i="24"/>
  <c r="L49"/>
  <c r="L48"/>
  <c r="L47"/>
  <c r="L46"/>
  <c r="M49"/>
  <c r="N49" s="1"/>
  <c r="M48"/>
  <c r="M34"/>
  <c r="M6"/>
  <c r="L44" i="165"/>
  <c r="L41"/>
  <c r="L35"/>
  <c r="K34"/>
  <c r="D34"/>
  <c r="K32"/>
  <c r="L31"/>
  <c r="K28"/>
  <c r="J27"/>
  <c r="I27"/>
  <c r="H27"/>
  <c r="G27"/>
  <c r="F27"/>
  <c r="E27"/>
  <c r="D27"/>
  <c r="C27"/>
  <c r="L24"/>
  <c r="J22"/>
  <c r="I22"/>
  <c r="H22"/>
  <c r="G22"/>
  <c r="F22"/>
  <c r="E22"/>
  <c r="D22"/>
  <c r="C22"/>
  <c r="K21"/>
  <c r="K22" s="1"/>
  <c r="J19"/>
  <c r="I19"/>
  <c r="H19"/>
  <c r="E19"/>
  <c r="D19"/>
  <c r="C19"/>
  <c r="F18"/>
  <c r="F19" s="1"/>
  <c r="G16"/>
  <c r="G19" s="1"/>
  <c r="K18"/>
  <c r="L6"/>
  <c r="L10" s="1"/>
  <c r="H5"/>
  <c r="J4"/>
  <c r="H4"/>
  <c r="C28" i="107"/>
  <c r="D28"/>
  <c r="E28"/>
  <c r="G28"/>
  <c r="H28"/>
  <c r="I28"/>
  <c r="C24" i="164"/>
  <c r="C8"/>
  <c r="L53" i="181" l="1"/>
  <c r="N53" s="1"/>
  <c r="P39" i="23"/>
  <c r="L29" i="181"/>
  <c r="P24" i="40"/>
  <c r="L21" i="181"/>
  <c r="N21" s="1"/>
  <c r="M11" i="24"/>
  <c r="N48"/>
  <c r="M50"/>
  <c r="L38" i="174"/>
  <c r="M38" i="24"/>
  <c r="M11" i="53"/>
  <c r="M8" i="51"/>
  <c r="B5" i="207"/>
  <c r="C5" s="1"/>
  <c r="D4" s="1"/>
  <c r="D5" s="1"/>
  <c r="D9" i="206"/>
  <c r="M46" i="175"/>
  <c r="N47" i="38"/>
  <c r="K22" i="107"/>
  <c r="L22" s="1"/>
  <c r="K25" i="181"/>
  <c r="K9"/>
  <c r="K43" i="107"/>
  <c r="L43" s="1"/>
  <c r="K49" i="181"/>
  <c r="K45" i="107"/>
  <c r="L45" s="1"/>
  <c r="K51" i="181"/>
  <c r="K48" i="107"/>
  <c r="K54" i="181"/>
  <c r="K39" i="107"/>
  <c r="L39" s="1"/>
  <c r="K45" i="181"/>
  <c r="K30" i="107"/>
  <c r="L30" s="1"/>
  <c r="L19"/>
  <c r="L48"/>
  <c r="M49" i="53"/>
  <c r="K37" i="107"/>
  <c r="L37" s="1"/>
  <c r="K17"/>
  <c r="K9"/>
  <c r="L9" s="1"/>
  <c r="M43" i="51"/>
  <c r="K35" i="165"/>
  <c r="L45"/>
  <c r="D39" i="163"/>
  <c r="H37"/>
  <c r="G37"/>
  <c r="F37"/>
  <c r="E37"/>
  <c r="D37"/>
  <c r="I36"/>
  <c r="I33"/>
  <c r="I24"/>
  <c r="H22"/>
  <c r="G22"/>
  <c r="F22"/>
  <c r="E22"/>
  <c r="D22"/>
  <c r="I17"/>
  <c r="H9"/>
  <c r="G9"/>
  <c r="F9"/>
  <c r="E9"/>
  <c r="D9"/>
  <c r="G7"/>
  <c r="F7"/>
  <c r="E7"/>
  <c r="D7"/>
  <c r="I6"/>
  <c r="H6"/>
  <c r="I4"/>
  <c r="H4"/>
  <c r="L37" i="162"/>
  <c r="L42" s="1"/>
  <c r="L33"/>
  <c r="L8"/>
  <c r="L36" i="28"/>
  <c r="L48"/>
  <c r="L40"/>
  <c r="L26"/>
  <c r="H35" i="92"/>
  <c r="L43" i="35"/>
  <c r="L38" i="40"/>
  <c r="L32"/>
  <c r="L24"/>
  <c r="L8"/>
  <c r="J53" i="44"/>
  <c r="J31"/>
  <c r="L38" i="23"/>
  <c r="L31"/>
  <c r="L26"/>
  <c r="L19"/>
  <c r="L8"/>
  <c r="K38"/>
  <c r="D34"/>
  <c r="H32"/>
  <c r="G32"/>
  <c r="F32"/>
  <c r="E32"/>
  <c r="D32"/>
  <c r="K31"/>
  <c r="I31"/>
  <c r="I27"/>
  <c r="K26"/>
  <c r="I20"/>
  <c r="K19"/>
  <c r="J19"/>
  <c r="H18"/>
  <c r="G18"/>
  <c r="F18"/>
  <c r="E18"/>
  <c r="D18"/>
  <c r="I13"/>
  <c r="K8"/>
  <c r="J8"/>
  <c r="H8"/>
  <c r="G8"/>
  <c r="F8"/>
  <c r="E8"/>
  <c r="D8"/>
  <c r="G7"/>
  <c r="F7"/>
  <c r="E7"/>
  <c r="D7"/>
  <c r="I6"/>
  <c r="H6"/>
  <c r="I4"/>
  <c r="H4"/>
  <c r="H7" s="1"/>
  <c r="D33" i="123"/>
  <c r="H31"/>
  <c r="G31"/>
  <c r="F31"/>
  <c r="E31"/>
  <c r="D31"/>
  <c r="I30"/>
  <c r="I26"/>
  <c r="I19"/>
  <c r="H17"/>
  <c r="G17"/>
  <c r="F17"/>
  <c r="E17"/>
  <c r="D17"/>
  <c r="I13"/>
  <c r="J18"/>
  <c r="H8"/>
  <c r="G8"/>
  <c r="F8"/>
  <c r="E8"/>
  <c r="D8"/>
  <c r="G7"/>
  <c r="F7"/>
  <c r="E7"/>
  <c r="D7"/>
  <c r="I6"/>
  <c r="H6"/>
  <c r="J8"/>
  <c r="I4"/>
  <c r="H4"/>
  <c r="M26" i="38"/>
  <c r="M33"/>
  <c r="M46"/>
  <c r="M41"/>
  <c r="M5"/>
  <c r="L35" i="41"/>
  <c r="L44"/>
  <c r="L42"/>
  <c r="L31"/>
  <c r="L30"/>
  <c r="L29"/>
  <c r="L33" s="1"/>
  <c r="L22"/>
  <c r="L20"/>
  <c r="L19"/>
  <c r="L17"/>
  <c r="L15"/>
  <c r="L14"/>
  <c r="L26" s="1"/>
  <c r="L11"/>
  <c r="L6"/>
  <c r="L4"/>
  <c r="L8"/>
  <c r="L46"/>
  <c r="L39"/>
  <c r="K12" i="17"/>
  <c r="J9" i="44"/>
  <c r="J36"/>
  <c r="G22" i="91"/>
  <c r="G10"/>
  <c r="M21" i="114"/>
  <c r="M16"/>
  <c r="M9"/>
  <c r="H41" i="93"/>
  <c r="H33"/>
  <c r="H28"/>
  <c r="H21"/>
  <c r="H8"/>
  <c r="H9" i="92"/>
  <c r="L48" i="31"/>
  <c r="L41"/>
  <c r="L36"/>
  <c r="L26"/>
  <c r="L7"/>
  <c r="L29" i="116"/>
  <c r="L11"/>
  <c r="H29"/>
  <c r="H22"/>
  <c r="H11"/>
  <c r="F13"/>
  <c r="F25" s="1"/>
  <c r="G13"/>
  <c r="G5"/>
  <c r="E13"/>
  <c r="D13"/>
  <c r="C13"/>
  <c r="K48" i="28"/>
  <c r="K40"/>
  <c r="K26"/>
  <c r="K11"/>
  <c r="L4"/>
  <c r="L11" s="1"/>
  <c r="J15"/>
  <c r="I9"/>
  <c r="I10"/>
  <c r="I11"/>
  <c r="H15"/>
  <c r="G15"/>
  <c r="F15"/>
  <c r="E15"/>
  <c r="D15"/>
  <c r="C15"/>
  <c r="G6"/>
  <c r="I4"/>
  <c r="H4"/>
  <c r="L43" i="25"/>
  <c r="L36"/>
  <c r="L32"/>
  <c r="L6"/>
  <c r="L13" s="1"/>
  <c r="K30"/>
  <c r="K26"/>
  <c r="K24"/>
  <c r="K4"/>
  <c r="K6"/>
  <c r="F15"/>
  <c r="F8"/>
  <c r="J15"/>
  <c r="J4"/>
  <c r="J6"/>
  <c r="I15"/>
  <c r="I4"/>
  <c r="I8" s="1"/>
  <c r="H15"/>
  <c r="H6"/>
  <c r="H8" s="1"/>
  <c r="G15"/>
  <c r="G4"/>
  <c r="G8" s="1"/>
  <c r="E15"/>
  <c r="E8"/>
  <c r="D21"/>
  <c r="D15"/>
  <c r="D8"/>
  <c r="C15"/>
  <c r="C8"/>
  <c r="L43" i="24"/>
  <c r="L34"/>
  <c r="L38" s="1"/>
  <c r="L32"/>
  <c r="L6"/>
  <c r="L11" s="1"/>
  <c r="K34"/>
  <c r="K22"/>
  <c r="K6"/>
  <c r="K9" s="1"/>
  <c r="F33"/>
  <c r="E33"/>
  <c r="J23"/>
  <c r="I23"/>
  <c r="H23"/>
  <c r="G23"/>
  <c r="F23"/>
  <c r="E23"/>
  <c r="D23"/>
  <c r="C23"/>
  <c r="J14"/>
  <c r="I14"/>
  <c r="H14"/>
  <c r="G14"/>
  <c r="F14"/>
  <c r="E14"/>
  <c r="D14"/>
  <c r="C14"/>
  <c r="J4"/>
  <c r="J6"/>
  <c r="I8"/>
  <c r="H8"/>
  <c r="G8"/>
  <c r="F8"/>
  <c r="E8"/>
  <c r="D8"/>
  <c r="C8"/>
  <c r="K35" i="41"/>
  <c r="K31"/>
  <c r="K23"/>
  <c r="K16"/>
  <c r="K3"/>
  <c r="K5"/>
  <c r="J28"/>
  <c r="J29" s="1"/>
  <c r="I28"/>
  <c r="I29" s="1"/>
  <c r="H28"/>
  <c r="H29" s="1"/>
  <c r="G28"/>
  <c r="G29" s="1"/>
  <c r="F28"/>
  <c r="F29" s="1"/>
  <c r="E28"/>
  <c r="E29" s="1"/>
  <c r="D28"/>
  <c r="D29" s="1"/>
  <c r="C28"/>
  <c r="C29" s="1"/>
  <c r="J6"/>
  <c r="J4"/>
  <c r="H4"/>
  <c r="L30" i="35"/>
  <c r="L35"/>
  <c r="L24"/>
  <c r="L6"/>
  <c r="L48" i="53"/>
  <c r="L41"/>
  <c r="L35"/>
  <c r="L9"/>
  <c r="L11" s="1"/>
  <c r="L40" i="100"/>
  <c r="L48"/>
  <c r="L35"/>
  <c r="L25"/>
  <c r="L11"/>
  <c r="J11"/>
  <c r="J25"/>
  <c r="J35"/>
  <c r="J40"/>
  <c r="J48"/>
  <c r="I39"/>
  <c r="I20"/>
  <c r="H39"/>
  <c r="H20"/>
  <c r="G39"/>
  <c r="G20"/>
  <c r="F39"/>
  <c r="F20"/>
  <c r="E39"/>
  <c r="E20"/>
  <c r="D39"/>
  <c r="D20"/>
  <c r="C39"/>
  <c r="C20"/>
  <c r="I27"/>
  <c r="H27"/>
  <c r="G27"/>
  <c r="F27"/>
  <c r="E27"/>
  <c r="D27"/>
  <c r="C27"/>
  <c r="D11"/>
  <c r="D10"/>
  <c r="I4"/>
  <c r="I6"/>
  <c r="H4"/>
  <c r="H6"/>
  <c r="G6"/>
  <c r="F6"/>
  <c r="L39" i="21"/>
  <c r="L46"/>
  <c r="L34"/>
  <c r="L26"/>
  <c r="L11"/>
  <c r="K11"/>
  <c r="K26"/>
  <c r="K34"/>
  <c r="K39"/>
  <c r="K46"/>
  <c r="J20"/>
  <c r="J38"/>
  <c r="I38"/>
  <c r="I20"/>
  <c r="H38"/>
  <c r="H20"/>
  <c r="G38"/>
  <c r="G20"/>
  <c r="F38"/>
  <c r="F20"/>
  <c r="E38"/>
  <c r="E20"/>
  <c r="D38"/>
  <c r="D20"/>
  <c r="C38"/>
  <c r="C20"/>
  <c r="J28"/>
  <c r="I28"/>
  <c r="H28"/>
  <c r="G28"/>
  <c r="F28"/>
  <c r="E28"/>
  <c r="D28"/>
  <c r="C28"/>
  <c r="D11"/>
  <c r="D10"/>
  <c r="I4"/>
  <c r="I6"/>
  <c r="H4"/>
  <c r="H6"/>
  <c r="G6"/>
  <c r="F6"/>
  <c r="J6"/>
  <c r="J4"/>
  <c r="K13" i="19"/>
  <c r="K34"/>
  <c r="K39"/>
  <c r="K53" s="1"/>
  <c r="J38"/>
  <c r="J39"/>
  <c r="I38"/>
  <c r="I39"/>
  <c r="H38"/>
  <c r="H39"/>
  <c r="G38"/>
  <c r="F38"/>
  <c r="F39" s="1"/>
  <c r="E38"/>
  <c r="D38"/>
  <c r="C38"/>
  <c r="J28"/>
  <c r="I28"/>
  <c r="H28"/>
  <c r="G28"/>
  <c r="F28"/>
  <c r="E28"/>
  <c r="D28"/>
  <c r="C28"/>
  <c r="D13"/>
  <c r="D12"/>
  <c r="I4"/>
  <c r="I7"/>
  <c r="H4"/>
  <c r="H7"/>
  <c r="G7"/>
  <c r="F7"/>
  <c r="J7"/>
  <c r="J4"/>
  <c r="K41" i="18"/>
  <c r="K49"/>
  <c r="K36"/>
  <c r="K28"/>
  <c r="K11"/>
  <c r="J20"/>
  <c r="J40"/>
  <c r="I40"/>
  <c r="I20"/>
  <c r="H40"/>
  <c r="H20"/>
  <c r="G40"/>
  <c r="G20"/>
  <c r="G41" s="1"/>
  <c r="F40"/>
  <c r="F20"/>
  <c r="E40"/>
  <c r="E20"/>
  <c r="E41" s="1"/>
  <c r="D40"/>
  <c r="D20"/>
  <c r="C40"/>
  <c r="C20"/>
  <c r="C41" s="1"/>
  <c r="J30"/>
  <c r="I30"/>
  <c r="H30"/>
  <c r="G30"/>
  <c r="F30"/>
  <c r="E30"/>
  <c r="D30"/>
  <c r="C30"/>
  <c r="D11"/>
  <c r="I4"/>
  <c r="I6"/>
  <c r="H4"/>
  <c r="H6"/>
  <c r="G6"/>
  <c r="F6"/>
  <c r="J6"/>
  <c r="J4"/>
  <c r="K40" i="16"/>
  <c r="K47"/>
  <c r="K35"/>
  <c r="K27"/>
  <c r="K10"/>
  <c r="J19"/>
  <c r="J39"/>
  <c r="I39"/>
  <c r="I19"/>
  <c r="H39"/>
  <c r="H19"/>
  <c r="G39"/>
  <c r="G19"/>
  <c r="F39"/>
  <c r="F19"/>
  <c r="E39"/>
  <c r="E19"/>
  <c r="D39"/>
  <c r="D19"/>
  <c r="C39"/>
  <c r="C19"/>
  <c r="J29"/>
  <c r="I29"/>
  <c r="H29"/>
  <c r="G29"/>
  <c r="F29"/>
  <c r="E29"/>
  <c r="D29"/>
  <c r="C29"/>
  <c r="D10"/>
  <c r="I4"/>
  <c r="I6"/>
  <c r="H4"/>
  <c r="H6"/>
  <c r="G6"/>
  <c r="F6"/>
  <c r="J6"/>
  <c r="J4"/>
  <c r="K42" i="17"/>
  <c r="K49"/>
  <c r="K37"/>
  <c r="K30"/>
  <c r="H4"/>
  <c r="I4"/>
  <c r="J4"/>
  <c r="F6"/>
  <c r="G6"/>
  <c r="H6"/>
  <c r="I6"/>
  <c r="J6"/>
  <c r="C8"/>
  <c r="D8"/>
  <c r="E8"/>
  <c r="F8"/>
  <c r="G8"/>
  <c r="D11"/>
  <c r="D12"/>
  <c r="C21"/>
  <c r="D21"/>
  <c r="E21"/>
  <c r="F21"/>
  <c r="G21"/>
  <c r="H21"/>
  <c r="I21"/>
  <c r="J21"/>
  <c r="C32"/>
  <c r="D32"/>
  <c r="E32"/>
  <c r="F32"/>
  <c r="G32"/>
  <c r="H32"/>
  <c r="I32"/>
  <c r="J32"/>
  <c r="C41"/>
  <c r="D41"/>
  <c r="E41"/>
  <c r="F41"/>
  <c r="G41"/>
  <c r="H41"/>
  <c r="I41"/>
  <c r="J41"/>
  <c r="C42"/>
  <c r="D42"/>
  <c r="E42"/>
  <c r="F42"/>
  <c r="G42"/>
  <c r="H42"/>
  <c r="I42"/>
  <c r="J42"/>
  <c r="L42" i="83"/>
  <c r="L37"/>
  <c r="L30"/>
  <c r="L12"/>
  <c r="K30"/>
  <c r="K42"/>
  <c r="K37"/>
  <c r="K7"/>
  <c r="K12" s="1"/>
  <c r="J42"/>
  <c r="I42"/>
  <c r="H42"/>
  <c r="G42"/>
  <c r="K5" i="40"/>
  <c r="K3"/>
  <c r="M8" i="63"/>
  <c r="M39"/>
  <c r="K32" i="35"/>
  <c r="K10"/>
  <c r="K17" s="1"/>
  <c r="K4"/>
  <c r="L35" i="38"/>
  <c r="L29"/>
  <c r="L17"/>
  <c r="L4"/>
  <c r="L6"/>
  <c r="K28" i="53"/>
  <c r="K19"/>
  <c r="M5" i="75"/>
  <c r="L6" i="51"/>
  <c r="M7" i="75"/>
  <c r="K31" i="31"/>
  <c r="K26"/>
  <c r="K19"/>
  <c r="G15" i="92"/>
  <c r="G23"/>
  <c r="G19"/>
  <c r="G7"/>
  <c r="G8" s="1"/>
  <c r="I48" i="107"/>
  <c r="H48"/>
  <c r="G48"/>
  <c r="I47"/>
  <c r="H47"/>
  <c r="G47"/>
  <c r="E47"/>
  <c r="D47"/>
  <c r="C47"/>
  <c r="J46" i="83"/>
  <c r="I46"/>
  <c r="H46"/>
  <c r="G46"/>
  <c r="F46"/>
  <c r="E46"/>
  <c r="D46"/>
  <c r="C46"/>
  <c r="J37"/>
  <c r="J30"/>
  <c r="J12"/>
  <c r="L16" i="114"/>
  <c r="L15"/>
  <c r="L4"/>
  <c r="L6"/>
  <c r="L39" i="63"/>
  <c r="L35"/>
  <c r="L30"/>
  <c r="L24"/>
  <c r="L8"/>
  <c r="M14"/>
  <c r="M17"/>
  <c r="M19"/>
  <c r="M20"/>
  <c r="M35"/>
  <c r="M27"/>
  <c r="M29"/>
  <c r="L42" i="51"/>
  <c r="L24"/>
  <c r="K42"/>
  <c r="K24"/>
  <c r="L31"/>
  <c r="K31"/>
  <c r="L38"/>
  <c r="K38"/>
  <c r="L4"/>
  <c r="K8"/>
  <c r="M17" i="75"/>
  <c r="M30"/>
  <c r="L7"/>
  <c r="L30"/>
  <c r="M23"/>
  <c r="L23"/>
  <c r="L17"/>
  <c r="K16" i="40"/>
  <c r="K34"/>
  <c r="K29"/>
  <c r="J4"/>
  <c r="J6"/>
  <c r="J4" i="35"/>
  <c r="J13"/>
  <c r="J24"/>
  <c r="J32"/>
  <c r="J12" i="114"/>
  <c r="J9"/>
  <c r="J7"/>
  <c r="I12"/>
  <c r="I9"/>
  <c r="I7"/>
  <c r="H12"/>
  <c r="H9"/>
  <c r="H4"/>
  <c r="H7" s="1"/>
  <c r="G12"/>
  <c r="G9"/>
  <c r="G7"/>
  <c r="F12"/>
  <c r="F9"/>
  <c r="F7"/>
  <c r="E12"/>
  <c r="E9"/>
  <c r="E7"/>
  <c r="D9"/>
  <c r="D7"/>
  <c r="C12"/>
  <c r="C9"/>
  <c r="C7"/>
  <c r="I37" i="83"/>
  <c r="I30"/>
  <c r="I12"/>
  <c r="H37"/>
  <c r="H30"/>
  <c r="H12"/>
  <c r="G37"/>
  <c r="G30"/>
  <c r="G7"/>
  <c r="G12" s="1"/>
  <c r="F24" i="91"/>
  <c r="K25" i="75"/>
  <c r="K20"/>
  <c r="K14"/>
  <c r="K8"/>
  <c r="F13" i="92"/>
  <c r="J26" i="40"/>
  <c r="J27" s="1"/>
  <c r="I37" i="181" s="1"/>
  <c r="J22" i="53"/>
  <c r="K38" i="63"/>
  <c r="K13"/>
  <c r="K6"/>
  <c r="K39" s="1"/>
  <c r="I52" i="181" s="1"/>
  <c r="J25" i="75"/>
  <c r="J20"/>
  <c r="J14"/>
  <c r="J8"/>
  <c r="E13" i="92"/>
  <c r="I24" i="35"/>
  <c r="I32"/>
  <c r="I13"/>
  <c r="I26" i="40"/>
  <c r="I27" s="1"/>
  <c r="H37" i="181" s="1"/>
  <c r="I22" i="53"/>
  <c r="J38" i="63"/>
  <c r="J13"/>
  <c r="D24" i="91"/>
  <c r="I25" i="75"/>
  <c r="I20"/>
  <c r="I14"/>
  <c r="I8"/>
  <c r="D13" i="92"/>
  <c r="D5"/>
  <c r="H24" i="35"/>
  <c r="H32"/>
  <c r="H13"/>
  <c r="H4"/>
  <c r="H26" i="40"/>
  <c r="H4"/>
  <c r="H27"/>
  <c r="G37" i="181" s="1"/>
  <c r="H22" i="53"/>
  <c r="I38" i="63"/>
  <c r="I13"/>
  <c r="E21"/>
  <c r="F21" s="1"/>
  <c r="E31"/>
  <c r="F31" s="1"/>
  <c r="H31" s="1"/>
  <c r="E14"/>
  <c r="F14" s="1"/>
  <c r="E13"/>
  <c r="F22" i="53"/>
  <c r="E22"/>
  <c r="F26" i="40"/>
  <c r="F27" s="1"/>
  <c r="E37" i="181" s="1"/>
  <c r="E26" i="40"/>
  <c r="E27" s="1"/>
  <c r="D37" i="181" s="1"/>
  <c r="D26" i="40"/>
  <c r="D27" s="1"/>
  <c r="C37" i="181" s="1"/>
  <c r="F24" i="35"/>
  <c r="F32"/>
  <c r="F13"/>
  <c r="E24"/>
  <c r="E32"/>
  <c r="E13"/>
  <c r="D32"/>
  <c r="D24"/>
  <c r="D13"/>
  <c r="K4" i="38"/>
  <c r="I6" i="107"/>
  <c r="I7"/>
  <c r="I8"/>
  <c r="I9"/>
  <c r="I10"/>
  <c r="I11"/>
  <c r="I12"/>
  <c r="I13"/>
  <c r="I15"/>
  <c r="I16"/>
  <c r="I19"/>
  <c r="I20"/>
  <c r="I21"/>
  <c r="I25"/>
  <c r="I26"/>
  <c r="I29"/>
  <c r="I31"/>
  <c r="I32"/>
  <c r="I34"/>
  <c r="I35"/>
  <c r="I36"/>
  <c r="I37"/>
  <c r="I38"/>
  <c r="I39"/>
  <c r="I41"/>
  <c r="I42"/>
  <c r="I43"/>
  <c r="I44"/>
  <c r="I45"/>
  <c r="H2"/>
  <c r="H3"/>
  <c r="H6"/>
  <c r="H7"/>
  <c r="H8"/>
  <c r="H9"/>
  <c r="H10"/>
  <c r="H11"/>
  <c r="H13"/>
  <c r="H15"/>
  <c r="H16"/>
  <c r="H19"/>
  <c r="H20"/>
  <c r="H21"/>
  <c r="H25"/>
  <c r="H26"/>
  <c r="H27"/>
  <c r="H29"/>
  <c r="H31"/>
  <c r="H34"/>
  <c r="H35"/>
  <c r="H36"/>
  <c r="H37"/>
  <c r="H39"/>
  <c r="H41"/>
  <c r="H42"/>
  <c r="H43"/>
  <c r="H44"/>
  <c r="H45"/>
  <c r="G2"/>
  <c r="G3"/>
  <c r="G6"/>
  <c r="G7"/>
  <c r="G8"/>
  <c r="G9"/>
  <c r="G10"/>
  <c r="G11"/>
  <c r="G12"/>
  <c r="G13"/>
  <c r="G15"/>
  <c r="G16"/>
  <c r="G19"/>
  <c r="G20"/>
  <c r="G21"/>
  <c r="G24"/>
  <c r="G25"/>
  <c r="G26"/>
  <c r="G29"/>
  <c r="G31"/>
  <c r="G33"/>
  <c r="G34"/>
  <c r="G35"/>
  <c r="G36"/>
  <c r="G37"/>
  <c r="G38"/>
  <c r="G39"/>
  <c r="G41"/>
  <c r="G42"/>
  <c r="G43"/>
  <c r="G44"/>
  <c r="G45"/>
  <c r="F6"/>
  <c r="F7"/>
  <c r="F11"/>
  <c r="E5"/>
  <c r="D3"/>
  <c r="C2"/>
  <c r="E45"/>
  <c r="D45"/>
  <c r="C45"/>
  <c r="E44"/>
  <c r="D44"/>
  <c r="C44"/>
  <c r="E43"/>
  <c r="D43"/>
  <c r="C43"/>
  <c r="E42"/>
  <c r="D42"/>
  <c r="C42"/>
  <c r="E41"/>
  <c r="D41"/>
  <c r="C41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D32"/>
  <c r="E31"/>
  <c r="D31"/>
  <c r="C31"/>
  <c r="E29"/>
  <c r="D29"/>
  <c r="C29"/>
  <c r="D27"/>
  <c r="E26"/>
  <c r="D26"/>
  <c r="C26"/>
  <c r="E24"/>
  <c r="D24"/>
  <c r="C24"/>
  <c r="E20"/>
  <c r="D20"/>
  <c r="C20"/>
  <c r="E19"/>
  <c r="D19"/>
  <c r="C19"/>
  <c r="E16"/>
  <c r="D16"/>
  <c r="C16"/>
  <c r="E15"/>
  <c r="D15"/>
  <c r="C15"/>
  <c r="E13"/>
  <c r="D13"/>
  <c r="C13"/>
  <c r="E12"/>
  <c r="E11"/>
  <c r="D11"/>
  <c r="C11"/>
  <c r="E10"/>
  <c r="D10"/>
  <c r="C10"/>
  <c r="E9"/>
  <c r="D9"/>
  <c r="C9"/>
  <c r="E8"/>
  <c r="D8"/>
  <c r="C8"/>
  <c r="E7"/>
  <c r="D7"/>
  <c r="C7"/>
  <c r="E6"/>
  <c r="D6"/>
  <c r="C6"/>
  <c r="D5"/>
  <c r="C5"/>
  <c r="C3"/>
  <c r="J13" i="31"/>
  <c r="K25" i="38"/>
  <c r="K19"/>
  <c r="K13"/>
  <c r="K6"/>
  <c r="J15" i="53"/>
  <c r="J34" i="51"/>
  <c r="J18"/>
  <c r="J9"/>
  <c r="I15" i="53"/>
  <c r="I28" i="31"/>
  <c r="I9"/>
  <c r="I13" s="1"/>
  <c r="J4" i="38"/>
  <c r="J25"/>
  <c r="J19"/>
  <c r="J13"/>
  <c r="I34" i="51"/>
  <c r="I18"/>
  <c r="I9"/>
  <c r="E4" i="91"/>
  <c r="E24"/>
  <c r="E25" s="1"/>
  <c r="H13" i="31"/>
  <c r="H4"/>
  <c r="I4" i="38"/>
  <c r="I25"/>
  <c r="I19"/>
  <c r="I13"/>
  <c r="H15" i="53"/>
  <c r="H34" i="51"/>
  <c r="H25"/>
  <c r="H18"/>
  <c r="H9"/>
  <c r="D18" i="1"/>
  <c r="D21" s="1"/>
  <c r="F3" i="181" s="1"/>
  <c r="C4" i="1"/>
  <c r="C21"/>
  <c r="E3" i="181" s="1"/>
  <c r="F38" i="51"/>
  <c r="F34"/>
  <c r="F18"/>
  <c r="F9"/>
  <c r="E34"/>
  <c r="E18"/>
  <c r="E9"/>
  <c r="D34"/>
  <c r="D25"/>
  <c r="D18"/>
  <c r="D9"/>
  <c r="F15" i="53"/>
  <c r="E15"/>
  <c r="D22"/>
  <c r="D15"/>
  <c r="F13" i="31"/>
  <c r="E13"/>
  <c r="D13"/>
  <c r="C13"/>
  <c r="G13"/>
  <c r="F36"/>
  <c r="D23" i="1"/>
  <c r="M27"/>
  <c r="M32"/>
  <c r="M52"/>
  <c r="M54"/>
  <c r="C13" i="35"/>
  <c r="G13"/>
  <c r="G4"/>
  <c r="C24"/>
  <c r="G24"/>
  <c r="C32"/>
  <c r="G32"/>
  <c r="F36"/>
  <c r="C26" i="40"/>
  <c r="C27" s="1"/>
  <c r="G26"/>
  <c r="G27"/>
  <c r="F7" i="83"/>
  <c r="C52"/>
  <c r="D52"/>
  <c r="E52"/>
  <c r="F52"/>
  <c r="F55" s="1"/>
  <c r="G4" i="53"/>
  <c r="C15"/>
  <c r="G15"/>
  <c r="C22"/>
  <c r="G22"/>
  <c r="F41"/>
  <c r="F44"/>
  <c r="C9" i="51"/>
  <c r="G9"/>
  <c r="C18"/>
  <c r="G18"/>
  <c r="C25"/>
  <c r="E25"/>
  <c r="G25"/>
  <c r="C34"/>
  <c r="G34"/>
  <c r="F48"/>
  <c r="H5" i="63"/>
  <c r="H6"/>
  <c r="G7"/>
  <c r="H7" s="1"/>
  <c r="H8"/>
  <c r="H9"/>
  <c r="H11"/>
  <c r="C13"/>
  <c r="G13"/>
  <c r="H14"/>
  <c r="H16"/>
  <c r="H17"/>
  <c r="H18"/>
  <c r="H19"/>
  <c r="H20"/>
  <c r="H24"/>
  <c r="H25"/>
  <c r="H26"/>
  <c r="H27"/>
  <c r="H28"/>
  <c r="H29"/>
  <c r="H30"/>
  <c r="H32"/>
  <c r="H33"/>
  <c r="H35"/>
  <c r="H36"/>
  <c r="H37"/>
  <c r="C38"/>
  <c r="G38"/>
  <c r="D39"/>
  <c r="F46"/>
  <c r="F41" i="23"/>
  <c r="H4" i="75"/>
  <c r="C8"/>
  <c r="D8"/>
  <c r="E8"/>
  <c r="F8"/>
  <c r="G8"/>
  <c r="H8"/>
  <c r="C14"/>
  <c r="D14"/>
  <c r="E14"/>
  <c r="F14"/>
  <c r="G14"/>
  <c r="H14"/>
  <c r="C20"/>
  <c r="E20"/>
  <c r="F20"/>
  <c r="G20"/>
  <c r="H20"/>
  <c r="C25"/>
  <c r="D25"/>
  <c r="E25"/>
  <c r="F25"/>
  <c r="G25"/>
  <c r="H25"/>
  <c r="N29" i="181" l="1"/>
  <c r="M37"/>
  <c r="M64" s="1"/>
  <c r="P47" i="40"/>
  <c r="N50" i="24"/>
  <c r="K35" i="53"/>
  <c r="K36" i="41"/>
  <c r="J8" i="25"/>
  <c r="H7" i="123"/>
  <c r="M51" i="24"/>
  <c r="L19" i="181"/>
  <c r="N19" s="1"/>
  <c r="L53" i="41"/>
  <c r="C39" i="63"/>
  <c r="E38"/>
  <c r="L50" i="181"/>
  <c r="N50" s="1"/>
  <c r="K25" i="107"/>
  <c r="L25" s="1"/>
  <c r="K28" i="181"/>
  <c r="K20" i="107"/>
  <c r="L20" s="1"/>
  <c r="K23" i="181"/>
  <c r="H39" i="116"/>
  <c r="K20" i="181"/>
  <c r="K15" i="107"/>
  <c r="L15" s="1"/>
  <c r="K18" i="181"/>
  <c r="K12"/>
  <c r="K47" i="21"/>
  <c r="C39"/>
  <c r="G39"/>
  <c r="I39"/>
  <c r="J39"/>
  <c r="H8" i="17"/>
  <c r="K23" i="107"/>
  <c r="L23" s="1"/>
  <c r="K26" i="181"/>
  <c r="K6" i="107"/>
  <c r="L6" s="1"/>
  <c r="K6" i="181"/>
  <c r="I34"/>
  <c r="K21" i="107"/>
  <c r="L21" s="1"/>
  <c r="K24" i="181"/>
  <c r="K33" i="107"/>
  <c r="K37" i="181"/>
  <c r="K42" i="107"/>
  <c r="L42" s="1"/>
  <c r="K48" i="181"/>
  <c r="K8" i="107"/>
  <c r="K8" i="181"/>
  <c r="K10" i="107"/>
  <c r="L10" s="1"/>
  <c r="K10" i="181"/>
  <c r="K4" i="107"/>
  <c r="L4" s="1"/>
  <c r="K4" i="181"/>
  <c r="K18" i="107"/>
  <c r="L18" s="1"/>
  <c r="K21" i="181"/>
  <c r="K43"/>
  <c r="K34"/>
  <c r="K26" i="107"/>
  <c r="L26" s="1"/>
  <c r="K29" i="181"/>
  <c r="K28" i="107"/>
  <c r="L28" s="1"/>
  <c r="K31" i="181"/>
  <c r="K31" i="107"/>
  <c r="L31" s="1"/>
  <c r="K35" i="181"/>
  <c r="K41" i="107"/>
  <c r="L41" s="1"/>
  <c r="K47" i="181"/>
  <c r="K57"/>
  <c r="K7" i="107"/>
  <c r="L7" s="1"/>
  <c r="K7" i="181"/>
  <c r="K5" i="107"/>
  <c r="L5" s="1"/>
  <c r="K5" i="181"/>
  <c r="K44" i="107"/>
  <c r="L44" s="1"/>
  <c r="K50" i="181"/>
  <c r="F41" i="18"/>
  <c r="L33" i="107"/>
  <c r="L17"/>
  <c r="D33"/>
  <c r="D25" i="91"/>
  <c r="G4" i="181" s="1"/>
  <c r="M35" i="75"/>
  <c r="L36" i="38"/>
  <c r="K52" i="83"/>
  <c r="I8" i="17"/>
  <c r="F40" i="16"/>
  <c r="H40"/>
  <c r="I40"/>
  <c r="J40"/>
  <c r="I41" i="18"/>
  <c r="J41"/>
  <c r="F40" i="100"/>
  <c r="H40"/>
  <c r="I40"/>
  <c r="J49"/>
  <c r="L8" i="35"/>
  <c r="K39" i="23"/>
  <c r="L39" i="116"/>
  <c r="N14" i="63"/>
  <c r="M24"/>
  <c r="E34" i="181"/>
  <c r="L8" i="107"/>
  <c r="L49" i="100"/>
  <c r="M32" i="114"/>
  <c r="D40" i="16"/>
  <c r="E40"/>
  <c r="K51" i="107"/>
  <c r="L51" s="1"/>
  <c r="F13" i="63"/>
  <c r="N27"/>
  <c r="O27" s="1"/>
  <c r="N20"/>
  <c r="N17"/>
  <c r="O17" s="1"/>
  <c r="H13"/>
  <c r="I39"/>
  <c r="G52" i="181" s="1"/>
  <c r="E30" i="107"/>
  <c r="G34" i="181"/>
  <c r="H34"/>
  <c r="G30" i="107"/>
  <c r="C34" i="181"/>
  <c r="L11" i="107"/>
  <c r="M9" i="38"/>
  <c r="M47" s="1"/>
  <c r="L52" i="83"/>
  <c r="D41" i="18"/>
  <c r="H41"/>
  <c r="K50"/>
  <c r="K53" i="17"/>
  <c r="L8" i="51"/>
  <c r="I52" i="83"/>
  <c r="H5" i="181" s="1"/>
  <c r="G52" i="83"/>
  <c r="F5" i="181" s="1"/>
  <c r="H52" i="83"/>
  <c r="G5" i="181" s="1"/>
  <c r="J52" i="83"/>
  <c r="I5" i="181" s="1"/>
  <c r="J54" i="44"/>
  <c r="L8" i="114"/>
  <c r="D39" i="19"/>
  <c r="E39"/>
  <c r="C39"/>
  <c r="G39"/>
  <c r="F38" i="63"/>
  <c r="H21"/>
  <c r="G46" i="107"/>
  <c r="J39" i="63"/>
  <c r="H52" i="181" s="1"/>
  <c r="E39" i="63"/>
  <c r="D52" i="181" s="1"/>
  <c r="M30" i="63"/>
  <c r="L43"/>
  <c r="D40" i="100"/>
  <c r="E40"/>
  <c r="C40"/>
  <c r="G40"/>
  <c r="L49" i="53"/>
  <c r="L49" i="31"/>
  <c r="L39" i="23"/>
  <c r="L35" i="75"/>
  <c r="L47" i="40"/>
  <c r="L44" i="35"/>
  <c r="H45" i="93"/>
  <c r="L34" i="162"/>
  <c r="L49" s="1"/>
  <c r="M33"/>
  <c r="K35" i="31"/>
  <c r="C25" i="116"/>
  <c r="D25"/>
  <c r="E25"/>
  <c r="G25"/>
  <c r="F29" i="25"/>
  <c r="E17" i="181" s="1"/>
  <c r="K10" i="25"/>
  <c r="K31" s="1"/>
  <c r="D29"/>
  <c r="C17" i="181" s="1"/>
  <c r="E29" i="25"/>
  <c r="D17" i="181" s="1"/>
  <c r="C14" i="107"/>
  <c r="F30" i="25"/>
  <c r="F31" s="1"/>
  <c r="E14" i="107"/>
  <c r="G29" i="25"/>
  <c r="I29"/>
  <c r="H17" i="181" s="1"/>
  <c r="C29" i="25"/>
  <c r="H29"/>
  <c r="G17" i="181" s="1"/>
  <c r="J29" i="25"/>
  <c r="I17" i="181" s="1"/>
  <c r="L47" i="25"/>
  <c r="J8" i="24"/>
  <c r="L51"/>
  <c r="E39" i="21"/>
  <c r="F39"/>
  <c r="K48" i="16"/>
  <c r="C40"/>
  <c r="G40"/>
  <c r="H7" i="163"/>
  <c r="I37"/>
  <c r="L49" i="28"/>
  <c r="I15"/>
  <c r="D39" i="21"/>
  <c r="H39"/>
  <c r="L47"/>
  <c r="K43" i="51"/>
  <c r="H43" i="92"/>
  <c r="G24"/>
  <c r="H33" i="107"/>
  <c r="C30"/>
  <c r="D34" i="181"/>
  <c r="I32" i="23"/>
  <c r="I31" i="123"/>
  <c r="D12" i="107"/>
  <c r="F25" i="91"/>
  <c r="I4" i="181" s="1"/>
  <c r="E2" i="107"/>
  <c r="D2"/>
  <c r="F3"/>
  <c r="F2"/>
  <c r="C12"/>
  <c r="E32"/>
  <c r="C33"/>
  <c r="C40"/>
  <c r="D40"/>
  <c r="E40"/>
  <c r="D46"/>
  <c r="G32"/>
  <c r="G4"/>
  <c r="H32"/>
  <c r="C27"/>
  <c r="D30"/>
  <c r="H5"/>
  <c r="I27"/>
  <c r="G39" i="63"/>
  <c r="E3" i="107"/>
  <c r="C32"/>
  <c r="E33"/>
  <c r="G40"/>
  <c r="H46"/>
  <c r="H40"/>
  <c r="H38"/>
  <c r="H12"/>
  <c r="I46"/>
  <c r="I40"/>
  <c r="I33"/>
  <c r="F5"/>
  <c r="G27"/>
  <c r="G5"/>
  <c r="I30"/>
  <c r="F26" i="116"/>
  <c r="F27" s="1"/>
  <c r="L43" i="51"/>
  <c r="L17" i="114"/>
  <c r="N37" i="181" l="1"/>
  <c r="N51" i="24"/>
  <c r="N33" i="162"/>
  <c r="N34" s="1"/>
  <c r="M34"/>
  <c r="M49" s="1"/>
  <c r="O30" i="63"/>
  <c r="N30"/>
  <c r="O14"/>
  <c r="O24" s="1"/>
  <c r="N24"/>
  <c r="I4" i="107"/>
  <c r="H30"/>
  <c r="K14"/>
  <c r="L14" s="1"/>
  <c r="K17" i="181"/>
  <c r="K56"/>
  <c r="K13" i="107"/>
  <c r="L13" s="1"/>
  <c r="K16" i="181"/>
  <c r="K50" i="107"/>
  <c r="L50" s="1"/>
  <c r="I5"/>
  <c r="F39" i="63"/>
  <c r="E52" i="181" s="1"/>
  <c r="H38" i="63"/>
  <c r="M43"/>
  <c r="K27" i="181"/>
  <c r="D14" i="107"/>
  <c r="I14"/>
  <c r="G14"/>
  <c r="H14"/>
  <c r="E27"/>
  <c r="L16" i="181" l="1"/>
  <c r="P51" i="24"/>
  <c r="N49" i="162"/>
  <c r="O43" i="63"/>
  <c r="L52" i="181" s="1"/>
  <c r="N52" s="1"/>
  <c r="N43" i="63"/>
  <c r="K52" i="181" s="1"/>
  <c r="H39" i="63"/>
  <c r="K34" i="107"/>
  <c r="L34" s="1"/>
  <c r="K24"/>
  <c r="K46"/>
  <c r="L46" s="1"/>
  <c r="E46"/>
  <c r="N16" i="181" l="1"/>
  <c r="L27"/>
  <c r="N27" s="1"/>
  <c r="L24" i="107"/>
  <c r="K12" l="1"/>
  <c r="L12" l="1"/>
  <c r="K30" i="181" l="1"/>
  <c r="K27" i="107"/>
  <c r="L27" l="1"/>
  <c r="K29" l="1"/>
  <c r="K54" s="1"/>
  <c r="K32" i="181"/>
  <c r="K64" s="1"/>
  <c r="L29" i="107" l="1"/>
  <c r="L54"/>
  <c r="L32" i="181" l="1"/>
  <c r="N32" l="1"/>
  <c r="L64"/>
  <c r="D14" i="197" l="1"/>
  <c r="K29" i="212"/>
  <c r="K42"/>
  <c r="K21" i="40"/>
  <c r="K35"/>
  <c r="K49" i="28"/>
  <c r="K36"/>
</calcChain>
</file>

<file path=xl/comments1.xml><?xml version="1.0" encoding="utf-8"?>
<comments xmlns="http://schemas.openxmlformats.org/spreadsheetml/2006/main">
  <authors>
    <author>xx</author>
  </authors>
  <commentList>
    <comment ref="Q26" authorId="0">
      <text/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P4" authorId="0">
      <text>
        <r>
          <rPr>
            <b/>
            <sz val="26"/>
            <color indexed="81"/>
            <rFont val="Tahoma"/>
            <family val="2"/>
          </rPr>
          <t>User:
A8,4B,6D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P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b/>
            <sz val="22"/>
            <color indexed="81"/>
            <rFont val="Tahoma"/>
            <family val="2"/>
          </rPr>
          <t xml:space="preserve">
5A,10B,5C,5D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P7" authorId="0">
      <text>
        <r>
          <rPr>
            <sz val="16"/>
            <color indexed="81"/>
            <rFont val="Tahoma"/>
            <family val="2"/>
          </rPr>
          <t>User:
14 Qof x600,000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P7" authorId="0">
      <text>
        <r>
          <rPr>
            <b/>
            <sz val="16"/>
            <color indexed="81"/>
            <rFont val="Tahoma"/>
            <family val="2"/>
          </rPr>
          <t>User:</t>
        </r>
        <r>
          <rPr>
            <sz val="16"/>
            <color indexed="81"/>
            <rFont val="Tahoma"/>
            <family val="2"/>
          </rPr>
          <t xml:space="preserve">
15Qofx$200</t>
        </r>
      </text>
    </comment>
  </commentList>
</comments>
</file>

<file path=xl/sharedStrings.xml><?xml version="1.0" encoding="utf-8"?>
<sst xmlns="http://schemas.openxmlformats.org/spreadsheetml/2006/main" count="7326" uniqueCount="1285">
  <si>
    <t xml:space="preserve">M/Xige </t>
  </si>
  <si>
    <t xml:space="preserve">Faahfaahin </t>
  </si>
  <si>
    <t>Miis 2001</t>
  </si>
  <si>
    <t xml:space="preserve">Faraqa </t>
  </si>
  <si>
    <t xml:space="preserve"> </t>
  </si>
  <si>
    <t xml:space="preserve">Sub Total </t>
  </si>
  <si>
    <t>Qasriga Madaxtooyadda</t>
  </si>
  <si>
    <t>1a</t>
  </si>
  <si>
    <t>Golaha Guurtida</t>
  </si>
  <si>
    <t>Golaha Wakiiladda</t>
  </si>
  <si>
    <t>Maxkamada Sare</t>
  </si>
  <si>
    <t>Xeerilaalinta Guud</t>
  </si>
  <si>
    <t>Hay'adda Shaqaalaha</t>
  </si>
  <si>
    <t>Hanti-dhawrka Guud</t>
  </si>
  <si>
    <t>8a</t>
  </si>
  <si>
    <t>Guddiga Qandaraaska</t>
  </si>
  <si>
    <t>W.Arrimaha Dibada</t>
  </si>
  <si>
    <t>W.Cadaaladda</t>
  </si>
  <si>
    <t>10a</t>
  </si>
  <si>
    <t>Ciidanka Asluubta</t>
  </si>
  <si>
    <t>10b</t>
  </si>
  <si>
    <t>Maxkamada Hoose</t>
  </si>
  <si>
    <t>11a</t>
  </si>
  <si>
    <t>Ciidanka Booliska</t>
  </si>
  <si>
    <t>13a</t>
  </si>
  <si>
    <t>Ciidanka Qaranka</t>
  </si>
  <si>
    <t>N.D.C.</t>
  </si>
  <si>
    <t xml:space="preserve">Total </t>
  </si>
  <si>
    <t>M/Xige</t>
  </si>
  <si>
    <t>Faahfaahin</t>
  </si>
  <si>
    <t>1.1.0.</t>
  </si>
  <si>
    <t>Kharashka Shaqaalaha</t>
  </si>
  <si>
    <t>Mushaharka Shaqaalaha joogtada ah</t>
  </si>
  <si>
    <t>Mushaharka Shaqaalaha aan J/ahayn</t>
  </si>
  <si>
    <t>Gunnada Guri &amp; Xil</t>
  </si>
  <si>
    <t>1.2.0.</t>
  </si>
  <si>
    <t>Kharashka Hawsha Socota</t>
  </si>
  <si>
    <t>Kharashka Qalabka Hawsha</t>
  </si>
  <si>
    <t>Habeen Dhaxyada ( Travelling Allowance)</t>
  </si>
  <si>
    <t>Isticmaalka Boosaha &amp; Isgaadhsiinta</t>
  </si>
  <si>
    <t>Isticmaalka Nalka &amp; Biyaha</t>
  </si>
  <si>
    <t xml:space="preserve">Barnaamijyada Hawlaha Shaqada                               </t>
  </si>
  <si>
    <t>Grand Total</t>
  </si>
  <si>
    <t>Miis 200</t>
  </si>
  <si>
    <t xml:space="preserve">Madax </t>
  </si>
  <si>
    <t>Madax</t>
  </si>
  <si>
    <t xml:space="preserve">  </t>
  </si>
  <si>
    <t>Kh.Maamulka</t>
  </si>
  <si>
    <t>Miis 2002</t>
  </si>
  <si>
    <t>Rev 2001</t>
  </si>
  <si>
    <t>e</t>
  </si>
  <si>
    <t>Magaca Wasaaradda/ Hay'ada</t>
  </si>
  <si>
    <t>Miis 2003</t>
  </si>
  <si>
    <t>Faraqa</t>
  </si>
  <si>
    <t xml:space="preserve">Martiqaadyada &amp; Munaasibadaha </t>
  </si>
  <si>
    <t>Daryeelka Baabuurta &amp; Mishiinada iwm.</t>
  </si>
  <si>
    <t>Hay'adda NERAD</t>
  </si>
  <si>
    <t>Miis. 2003</t>
  </si>
  <si>
    <t>A</t>
  </si>
  <si>
    <t>B</t>
  </si>
  <si>
    <t>C</t>
  </si>
  <si>
    <t>D</t>
  </si>
  <si>
    <t>Miis 2005</t>
  </si>
  <si>
    <t>Faraq</t>
  </si>
  <si>
    <t>Miis.2005</t>
  </si>
  <si>
    <t>Miis .2005</t>
  </si>
  <si>
    <t xml:space="preserve">Isugeyn </t>
  </si>
  <si>
    <t>Ciidanka Qaranka.</t>
  </si>
  <si>
    <t>Faraqa.</t>
  </si>
  <si>
    <t>Miis 2006</t>
  </si>
  <si>
    <t>Miis. 2006</t>
  </si>
  <si>
    <t>Miis.2006</t>
  </si>
  <si>
    <t>Miis. 2005</t>
  </si>
  <si>
    <t>Madax.</t>
  </si>
  <si>
    <t>Faahfaahin.</t>
  </si>
  <si>
    <t>10A</t>
  </si>
  <si>
    <t>1B</t>
  </si>
  <si>
    <t>1A</t>
  </si>
  <si>
    <t>11B</t>
  </si>
  <si>
    <t>Ciidanka Ilaaladda Xeebaha.</t>
  </si>
  <si>
    <t>11b</t>
  </si>
  <si>
    <t>12a</t>
  </si>
  <si>
    <t>Somaliland National T.V.</t>
  </si>
  <si>
    <t>Daaweynta &amp; Caafimaadka.</t>
  </si>
  <si>
    <t>Guddiga Doorshooyinka Qaranka.</t>
  </si>
  <si>
    <t>1b</t>
  </si>
  <si>
    <t>Guddiga Qaranka La Dagaalanka Aids-ka</t>
  </si>
  <si>
    <t>Guddiga Qandaraaska Qaranka.</t>
  </si>
  <si>
    <t>Wasaaradda Maaliyadda.</t>
  </si>
  <si>
    <t>Wasaaradda Xanaanadda Xoolaha.</t>
  </si>
  <si>
    <t>Guddiga Doorshooyinka Qaranka</t>
  </si>
  <si>
    <t>Hay'adda Miino-Saarka Qaranka.</t>
  </si>
  <si>
    <t xml:space="preserve">Wasaaradda Duulista </t>
  </si>
  <si>
    <t>Wasaaradda Hawlaha Guud &amp; Guryaha.</t>
  </si>
  <si>
    <t>Wasaaradda Diinta &amp; Awaafta</t>
  </si>
  <si>
    <t>Wasaaradda Boostadda &amp; Isgaadhsiinta.</t>
  </si>
  <si>
    <t>Wasaaradda Beeraha</t>
  </si>
  <si>
    <t>Wasaaradda Kaluumaysiga &amp; H/Xeebaha.</t>
  </si>
  <si>
    <t>Wasaaradda Macdanta &amp; Biyaha</t>
  </si>
  <si>
    <t>Wasaaradda Maaliyadda</t>
  </si>
  <si>
    <t>Wasaaradda Qorshaynta Qaranka</t>
  </si>
  <si>
    <t>Wasaaradda Gaashandhiga</t>
  </si>
  <si>
    <t>Wasaaradda Warfaafinta &amp; Wacyigelinta.</t>
  </si>
  <si>
    <t>Wasaaradda Arrimaha Gudaha</t>
  </si>
  <si>
    <t>Wasaaradda Cadaaladda</t>
  </si>
  <si>
    <t>Wasaaradda Arrimaha Dibada</t>
  </si>
  <si>
    <t>Wasaaradda Madaxtooyadda</t>
  </si>
  <si>
    <t>Hanti-dhawrka Guud Qaranka.</t>
  </si>
  <si>
    <t>Hay'adda Shaqaalaha Dawladda.</t>
  </si>
  <si>
    <t>Xeerilaalinta Guud Qaranka.</t>
  </si>
  <si>
    <t>Qasriga Madaxtooyadda JSL.</t>
  </si>
  <si>
    <t>M.Xigeenka JSL.</t>
  </si>
  <si>
    <t>Hay'adda N.D.C.</t>
  </si>
  <si>
    <t>W.Boostadda &amp; Isgaadhsiinta.</t>
  </si>
  <si>
    <t>W.Warfaafinta &amp; Wacyigelinta.</t>
  </si>
  <si>
    <t>Golaha Guurtida JSL.</t>
  </si>
  <si>
    <t>Golaha Wakiiladda JSL.</t>
  </si>
  <si>
    <t>Madax-weyne ku-.Xigeenka JSL.</t>
  </si>
  <si>
    <t>Qasriga Madaxtooyaddan JSL.</t>
  </si>
  <si>
    <t>Sub-Total:</t>
  </si>
  <si>
    <t>Kharashka Nabad-gelyadda.</t>
  </si>
  <si>
    <t>Hay'adda NERAD.</t>
  </si>
  <si>
    <t>Grand Total:</t>
  </si>
  <si>
    <t>Total.</t>
  </si>
  <si>
    <t>Wasaaradda Beeraha.</t>
  </si>
  <si>
    <t>Commission-ka La Dagaalanka Aids-ka.</t>
  </si>
  <si>
    <t>W.Arrimaha Gudaha.</t>
  </si>
  <si>
    <t>W.Boosta &amp; Isgaadhsiinta.</t>
  </si>
  <si>
    <t>Miis.2007</t>
  </si>
  <si>
    <t>-</t>
  </si>
  <si>
    <t>Miis. 2007</t>
  </si>
  <si>
    <t>Miis. 2007.</t>
  </si>
  <si>
    <t xml:space="preserve">Total  </t>
  </si>
  <si>
    <t>Gunno.</t>
  </si>
  <si>
    <t xml:space="preserve">Wasaaradda Ganacsiga </t>
  </si>
  <si>
    <t>Miis. 2008</t>
  </si>
  <si>
    <t>Daawadda.</t>
  </si>
  <si>
    <t>Miis. 2008.</t>
  </si>
  <si>
    <t>Miis.2007.</t>
  </si>
  <si>
    <t>W.Waxbarashada.</t>
  </si>
  <si>
    <t>Wasaaradda Arrimaha Gudaha.</t>
  </si>
  <si>
    <t>W.Ganacsiga.</t>
  </si>
  <si>
    <t>Gunnada Guri &amp; Xil (L/B/W)</t>
  </si>
  <si>
    <t>Miis. 2009</t>
  </si>
  <si>
    <t>Miis. 2009.</t>
  </si>
  <si>
    <t>Miis.2009.</t>
  </si>
  <si>
    <t>Miis.2009</t>
  </si>
  <si>
    <t>Miis. 2007( A )</t>
  </si>
  <si>
    <t xml:space="preserve">Miis. 2008. </t>
  </si>
  <si>
    <t>W.Arrimaha Dibada.</t>
  </si>
  <si>
    <t>W.Madaxtooyadda.</t>
  </si>
  <si>
    <t>W.Caafimaadka.</t>
  </si>
  <si>
    <t xml:space="preserve">Noolka Safarada Gudaha. </t>
  </si>
  <si>
    <t>Noolka Safaradda Dibadda.</t>
  </si>
  <si>
    <t>Tababarka &amp; Imtixaanadda.</t>
  </si>
  <si>
    <t>Iibsiga Alaabta Xafiisyadda (Stationery).</t>
  </si>
  <si>
    <t>Iibsiga Wargeysyadda &amp; Bugaagta.</t>
  </si>
  <si>
    <t>Dhismayaasha Cusub.</t>
  </si>
  <si>
    <t>Daryeelka &amp; Dib-udhiska Dhismayaasha.</t>
  </si>
  <si>
    <t>Kh. Iibsiga Adeega Qalabka Hawsha.</t>
  </si>
  <si>
    <t>Dharka &amp; Dirayska.</t>
  </si>
  <si>
    <t>Batroolka, Naafatadda &amp; Saliidaha.</t>
  </si>
  <si>
    <t>Daabacaadda Documentiga Lacagta.</t>
  </si>
  <si>
    <t>Ijaarka Gaadiika, Xaf. &amp; Guryaha.</t>
  </si>
  <si>
    <t>Kharashyadda yar yar ee Xafiisyadda</t>
  </si>
  <si>
    <t>Kharashka Joogtaynta Maamulka.</t>
  </si>
  <si>
    <t>Miis. 2010</t>
  </si>
  <si>
    <t>Laanta Socdaalka.</t>
  </si>
  <si>
    <t>Gunno Ciideed.</t>
  </si>
  <si>
    <t>Khidmadda Baanka.</t>
  </si>
  <si>
    <t>Kharashka Gaarka ah.</t>
  </si>
  <si>
    <t>Kh. Bilicda Xafiisyadda &amp; Guryaha.</t>
  </si>
  <si>
    <t>Kharashka Qalabka Raaga ee Hawsha.</t>
  </si>
  <si>
    <t>Hantidda Raagta.</t>
  </si>
  <si>
    <t>Qalabka Xafiisyadda &amp; Guryaha.</t>
  </si>
  <si>
    <t>Gaadiidka &amp; Mishiinadda.</t>
  </si>
  <si>
    <t>Qalabka Nalka &amp; Biyaha.</t>
  </si>
  <si>
    <t>Qalabaka Boosaha &amp; Isgaadhsiinta.</t>
  </si>
  <si>
    <t>Daryeelka Qal. Gaadiidka, Mish. Iwm.</t>
  </si>
  <si>
    <t>Daryeelka Xaf. Guryaha &amp; Bakhaaradda.</t>
  </si>
  <si>
    <t>Miis. 2010.</t>
  </si>
  <si>
    <t>Daryeelka Qal. Xafiisyadda &amp; Guryaha.</t>
  </si>
  <si>
    <t>Miis.2010.</t>
  </si>
  <si>
    <t>Isticmaalka Nalka &amp; Biyaha.</t>
  </si>
  <si>
    <t>Kharashyadda yar yar ee Xafiisyadda.</t>
  </si>
  <si>
    <t xml:space="preserve">Martiqaadyada &amp; Munaasibadaha. </t>
  </si>
  <si>
    <t>Isticmaalka Boosaha &amp; Isgaadhsiinta.</t>
  </si>
  <si>
    <t>noolka safarada dibada.</t>
  </si>
  <si>
    <t>Habeen Dhaxyada ( Travelling Allowance).</t>
  </si>
  <si>
    <t>Kharashka Hawlaha shaqada.</t>
  </si>
  <si>
    <t>Gunno Gaareed.</t>
  </si>
  <si>
    <t>Ijaarka Guryaha &amp; Xafiisyadda.</t>
  </si>
  <si>
    <t>KH. Bilicda Xafiisyadda &amp; Guryaha.</t>
  </si>
  <si>
    <t>Kh. Dhiiri-gelinta &amp; Abaalmarinta.</t>
  </si>
  <si>
    <t>Kh. Hawlaha Miino Saarka.</t>
  </si>
  <si>
    <t>Kh. Isticmaalka Nalka &amp; Biyaha.</t>
  </si>
  <si>
    <t xml:space="preserve">Noolka Safarada Gudaha </t>
  </si>
  <si>
    <t>Noolk Safaradda Dibadda</t>
  </si>
  <si>
    <t xml:space="preserve">Tobobarka iyo Imitixaanadda </t>
  </si>
  <si>
    <t>Marti-qaadka iyo munaasibadaha</t>
  </si>
  <si>
    <t>Kharashka Nabad Galyada</t>
  </si>
  <si>
    <t xml:space="preserve">Dharka iyo Dirayska </t>
  </si>
  <si>
    <t>Baatroolka Naafatada iyo saliida</t>
  </si>
  <si>
    <t>Qalabka Alaabta Xafiiska(office stationery)</t>
  </si>
  <si>
    <t>Buugaagta,Wargeysyada iyo Daabacaadda</t>
  </si>
  <si>
    <t>Kharashka Qalabka Raaga ee Howsha</t>
  </si>
  <si>
    <t>Hantida Raagta</t>
  </si>
  <si>
    <t>Qalabka Xafiiska iyo Guryaha</t>
  </si>
  <si>
    <t>Daryeelka iyo Dib u-dhiska Dhismayasha</t>
  </si>
  <si>
    <t>Daryeelka Qalabka Xafiisyada iyo Guryaha</t>
  </si>
  <si>
    <t>Grant  Total</t>
  </si>
  <si>
    <t>Liiltirka.</t>
  </si>
  <si>
    <t>Ijaarka Guryaha, Xafiisyadda &amp; Gaadiidka.</t>
  </si>
  <si>
    <t>Daryeelka Qalabka Gaadiidka, Mishiinadda I.W.M</t>
  </si>
  <si>
    <t>Qalabka Nalka Iyo Biyaha.</t>
  </si>
  <si>
    <t>Kharashka yar yar ee Xafiisyada</t>
  </si>
  <si>
    <t>10D</t>
  </si>
  <si>
    <t>10C</t>
  </si>
  <si>
    <t>Barnaamijyadda Hawlaha Shaqo.</t>
  </si>
  <si>
    <t>Daawaynta &amp; Caafimaadka.</t>
  </si>
  <si>
    <t>Ciidanka Illaaladda Madaxtooyadda.</t>
  </si>
  <si>
    <t>11A</t>
  </si>
  <si>
    <t>12A</t>
  </si>
  <si>
    <t>10B</t>
  </si>
  <si>
    <t>11C</t>
  </si>
  <si>
    <t>Guddiga Xaquuqal Insaanka Qaranka.</t>
  </si>
  <si>
    <t>Guddiga Dib u habaynta Shuruucda.</t>
  </si>
  <si>
    <t>Guddiga Baadhista Xasuuqii.</t>
  </si>
  <si>
    <t>Ciidanka Booliska.</t>
  </si>
  <si>
    <t>W.Diinta &amp; Awaafta.</t>
  </si>
  <si>
    <t>W.Gaashandhiga.</t>
  </si>
  <si>
    <t>Maxkamada Hoose.</t>
  </si>
  <si>
    <t>Ciidanka Asluubta.</t>
  </si>
  <si>
    <t>Maxkamada Sare.</t>
  </si>
  <si>
    <t>Guddiga La Dagaalanka Aides-ka.</t>
  </si>
  <si>
    <t>10B.</t>
  </si>
  <si>
    <t>13A.</t>
  </si>
  <si>
    <t>10c</t>
  </si>
  <si>
    <t>Guddiga Xaquuqal Insaanka.</t>
  </si>
  <si>
    <t>10d</t>
  </si>
  <si>
    <t>11c</t>
  </si>
  <si>
    <t>Guddiga Baadhistii Xasuuqii.</t>
  </si>
  <si>
    <t>Liiltirka</t>
  </si>
  <si>
    <t>10c.</t>
  </si>
  <si>
    <t>10d.</t>
  </si>
  <si>
    <t>11c.</t>
  </si>
  <si>
    <t>Faraq.</t>
  </si>
  <si>
    <t>2.1.1.1.</t>
  </si>
  <si>
    <t>2.0.0.0.</t>
  </si>
  <si>
    <t>2.1.0.0.</t>
  </si>
  <si>
    <t>Kharashka Shaqaalaha.</t>
  </si>
  <si>
    <t>2.1.1.2.</t>
  </si>
  <si>
    <t>2.1.1.3.</t>
  </si>
  <si>
    <t>2.1.1.4.</t>
  </si>
  <si>
    <t>2.1.1.5.</t>
  </si>
  <si>
    <t>2.1.2.0.</t>
  </si>
  <si>
    <t>Kharashka Adeega Shaqaalaha.</t>
  </si>
  <si>
    <t>2.1.2.1.</t>
  </si>
  <si>
    <t>2.1.2.3.</t>
  </si>
  <si>
    <t>2.1.2.2.</t>
  </si>
  <si>
    <t>Hawl-gab</t>
  </si>
  <si>
    <t>Caymiska shaqaalaha.</t>
  </si>
  <si>
    <t>2.2.0.0.</t>
  </si>
  <si>
    <t>Isticmaalka Alaabta iyo Adeega Hawsha.</t>
  </si>
  <si>
    <t>Kharashka Isticmaalka Adeega Hawsha.</t>
  </si>
  <si>
    <t>2.2.1.0.</t>
  </si>
  <si>
    <t>2.2.1.1.</t>
  </si>
  <si>
    <t>2.2.1.2.</t>
  </si>
  <si>
    <t>2.2.1.3.</t>
  </si>
  <si>
    <t>2.2.1.4.</t>
  </si>
  <si>
    <t>2.2.1.5.</t>
  </si>
  <si>
    <t>2.2.1.6.</t>
  </si>
  <si>
    <t>2.2.1.7.</t>
  </si>
  <si>
    <t>2.2.1.8.</t>
  </si>
  <si>
    <t>2.2.1.9.</t>
  </si>
  <si>
    <t>2.2.1.12.</t>
  </si>
  <si>
    <t>2.2.1.34.</t>
  </si>
  <si>
    <t>2.2.1.32.</t>
  </si>
  <si>
    <t>Kharashka Isticmaalka Alaabta Hawsha.</t>
  </si>
  <si>
    <t>2.2.2.0.</t>
  </si>
  <si>
    <t>2.2.2.1.</t>
  </si>
  <si>
    <t>2.2.2.2.</t>
  </si>
  <si>
    <t>2.2.2.3.</t>
  </si>
  <si>
    <t>2.2.2.4.</t>
  </si>
  <si>
    <t>2.2.2.5.</t>
  </si>
  <si>
    <t>2.2.3.0.</t>
  </si>
  <si>
    <t>2.2.3.1.</t>
  </si>
  <si>
    <t>Daryeelka Xafiisyadda &amp; Guryaha.</t>
  </si>
  <si>
    <t>2.2.3.2.</t>
  </si>
  <si>
    <t>2.2.3.14.</t>
  </si>
  <si>
    <t>Daryeelka Hantidda kale ee Dawladda.</t>
  </si>
  <si>
    <t>Iibsiga Alaabta.</t>
  </si>
  <si>
    <t>Iibsiga Hantidda Raagta.</t>
  </si>
  <si>
    <t>2.3.0.0.</t>
  </si>
  <si>
    <t>2.3.1.0.</t>
  </si>
  <si>
    <t>2.3.1.3.</t>
  </si>
  <si>
    <t>2.3.1.4.</t>
  </si>
  <si>
    <t>Miis. 2011.</t>
  </si>
  <si>
    <t>2.2.2.9.</t>
  </si>
  <si>
    <t>Miis. 2011</t>
  </si>
  <si>
    <t>Mis. 2011</t>
  </si>
  <si>
    <t>Dhismayaasha Cusub</t>
  </si>
  <si>
    <t>2.2.1.13</t>
  </si>
  <si>
    <t>Kharashka Markhaatiyaasha &amp; Dambi-baadhista</t>
  </si>
  <si>
    <t>2.2.1.15</t>
  </si>
  <si>
    <t>Kharashka Qareenka Saboolka</t>
  </si>
  <si>
    <t>2.2.1.1</t>
  </si>
  <si>
    <t>Qalabka Xafiisyada &amp; Guryaha</t>
  </si>
  <si>
    <t>2.2.1.2</t>
  </si>
  <si>
    <t>Gaadiidka &amp; Mishiinada</t>
  </si>
  <si>
    <t>Mis. 2010</t>
  </si>
  <si>
    <t>2.2.1.14</t>
  </si>
  <si>
    <t>Kharashka Lama filaanka ah &amp; Gurmadka</t>
  </si>
  <si>
    <t>Raashinka &amp; Wixii Raaca</t>
  </si>
  <si>
    <t>Daawada</t>
  </si>
  <si>
    <t>Gogosha &amp; Maacuunka</t>
  </si>
  <si>
    <t>2.2.2.8.</t>
  </si>
  <si>
    <t>2.2.1.23.</t>
  </si>
  <si>
    <t>Kh. Faaf reebka iyo Fidinta Diinta.</t>
  </si>
  <si>
    <t>2.2.1.19</t>
  </si>
  <si>
    <t>Kh. Baadhista iyo R/Raaca Taariikhda duugan</t>
  </si>
  <si>
    <t>2.2.1.37</t>
  </si>
  <si>
    <t>Kharashka dhiiri-gelinta &amp; Abaalmarinta.</t>
  </si>
  <si>
    <t>2.2.3.4.</t>
  </si>
  <si>
    <t>Daryeelka Wadooyinka &amp; Biriijyadda.</t>
  </si>
  <si>
    <t>Miis.2011.</t>
  </si>
  <si>
    <t>2.2.3.6.</t>
  </si>
  <si>
    <t>Daryeelka Garoomadda Dayuuraadaha.</t>
  </si>
  <si>
    <t>2.2.1.20</t>
  </si>
  <si>
    <t>Kh. Daryeelka Ugaadha &amp; Duurjoonta.</t>
  </si>
  <si>
    <t>2.2.1.29</t>
  </si>
  <si>
    <t>miis. 2011.</t>
  </si>
  <si>
    <t>kharashka garsoorka</t>
  </si>
  <si>
    <t>2.2.1.15.</t>
  </si>
  <si>
    <t>kharshka qareenka saboolka</t>
  </si>
  <si>
    <t>2.2.1.37.</t>
  </si>
  <si>
    <t>2.2.2.7.</t>
  </si>
  <si>
    <t>Raashinka &amp; wixii raaca.</t>
  </si>
  <si>
    <t>2.3.2.0</t>
  </si>
  <si>
    <t>Kharashka Gaarka aha.</t>
  </si>
  <si>
    <t>2.2.1.38.</t>
  </si>
  <si>
    <t xml:space="preserve">kharashka abaalmarinta iyo dhiirigalinta </t>
  </si>
  <si>
    <t>2.2.1.30.</t>
  </si>
  <si>
    <t>Kh. Lama filaanka iyo Gurmadka.</t>
  </si>
  <si>
    <t>2.3.1.12.</t>
  </si>
  <si>
    <t>Iibsiga Gogosha iyo Maacuunka.</t>
  </si>
  <si>
    <t>Qalabka Xafiisyada &amp; Guryaha.</t>
  </si>
  <si>
    <t>Gaadiidka &amp; Mishiinada.</t>
  </si>
  <si>
    <t>2.3.1.11.</t>
  </si>
  <si>
    <t xml:space="preserve">Iibsiga Qalabka Khasnadda Lacagta </t>
  </si>
  <si>
    <t>2.2.1.29.</t>
  </si>
  <si>
    <t>Kh. Bilicda Xafiisyadda.</t>
  </si>
  <si>
    <t>Daawaynta &amp; Caafimaaka.</t>
  </si>
  <si>
    <t>Kabka Miisaaniyadda (Q. Raashinka).</t>
  </si>
  <si>
    <t>Miis.2010</t>
  </si>
  <si>
    <t>Kharashka Safaaradaha &amp; Qunsuliyadaha</t>
  </si>
  <si>
    <t>Dhiiri-galinta &amp; Abaalmarinta</t>
  </si>
  <si>
    <t>Miis.2011</t>
  </si>
  <si>
    <t>2.2.1.16</t>
  </si>
  <si>
    <t>Noolka &amp;Sahaysiinta Maxaabiista</t>
  </si>
  <si>
    <t>Kabka Miisaaniyadda (Qiimaha Raashinka )</t>
  </si>
  <si>
    <t>Iibsiga Qalabka Jeelasha</t>
  </si>
  <si>
    <t>Miis 2010</t>
  </si>
  <si>
    <t>Miis 2011</t>
  </si>
  <si>
    <t xml:space="preserve">Kh.Qareenka Saboolka </t>
  </si>
  <si>
    <t>Kh.Garsoorayaasha Ciidan/Dadweyne</t>
  </si>
  <si>
    <t>2.2.1.23</t>
  </si>
  <si>
    <t>Kh.Fidinta Maamulka</t>
  </si>
  <si>
    <t>Kabka Miisaniyadda(Qiimaha Raashin )</t>
  </si>
  <si>
    <t>Mushaharka Shaqaalaha Ciidamadda  joogtada ah</t>
  </si>
  <si>
    <t xml:space="preserve">Kh.Noolka iyo Sahaysiinta Maxaabiista </t>
  </si>
  <si>
    <t>Mushaharka Shaqaalaha  joogtada ah</t>
  </si>
  <si>
    <t>2.3.1.7</t>
  </si>
  <si>
    <t>Qalabka Adeega Idaacadda</t>
  </si>
  <si>
    <t>2.2.1.10.</t>
  </si>
  <si>
    <t>2.2.1.11</t>
  </si>
  <si>
    <t>Lacag celinta Sannadihii hore.</t>
  </si>
  <si>
    <t>Daabacaadda Documents-ka Lacagta.</t>
  </si>
  <si>
    <t>2.2.2.11</t>
  </si>
  <si>
    <t>Lambaradda Gaadiidka ee dib u sii iibinta.</t>
  </si>
  <si>
    <t>Khasnadaha Lacagta.</t>
  </si>
  <si>
    <t>2.3.2.0.</t>
  </si>
  <si>
    <t>2.3.2.1.</t>
  </si>
  <si>
    <t>Xafiisyadda &amp; Guryaha Kale ee Dawladda.</t>
  </si>
  <si>
    <t>2.2.1.38</t>
  </si>
  <si>
    <t>2.2.1.21.</t>
  </si>
  <si>
    <t xml:space="preserve">Soo saarista Daarasadka &amp; Tij. Tamarka Warsh. </t>
  </si>
  <si>
    <t>2.2.3.5.</t>
  </si>
  <si>
    <t>2.3.1.2</t>
  </si>
  <si>
    <t>2.3.1.1</t>
  </si>
  <si>
    <t>2.2.3.3.</t>
  </si>
  <si>
    <t>Daryeelka Ceelasha.</t>
  </si>
  <si>
    <t>2.2.1.39.</t>
  </si>
  <si>
    <t>Kaalmooyinka Guud.</t>
  </si>
  <si>
    <t>2.2.1.26.</t>
  </si>
  <si>
    <t>Kharashka Dakhli Ururinta.</t>
  </si>
  <si>
    <t>2.2.1.28.</t>
  </si>
  <si>
    <t>Kh. Bilicda Xafiisyada &amp; Guryaha.</t>
  </si>
  <si>
    <t>2.2.1.31.</t>
  </si>
  <si>
    <t>Mushahar.</t>
  </si>
  <si>
    <t>ICT. Commission.</t>
  </si>
  <si>
    <t>Grand Total.</t>
  </si>
  <si>
    <t>W. Shaqadda &amp; Arrimaha Bulshadda.</t>
  </si>
  <si>
    <t>Madaxtooyadda.</t>
  </si>
  <si>
    <t>W/Ganacsiga, Wershadaha &amp; Dalxiiska.</t>
  </si>
  <si>
    <t>W.Macdanta, Biyaha &amp; Tamarta.</t>
  </si>
  <si>
    <t>W/X/Xoolaha H/Reer Miyiga &amp; Deegaanka.</t>
  </si>
  <si>
    <t>W/Ciyaaraha, Dhalinyaradda &amp; Dhaqanka.</t>
  </si>
  <si>
    <t>W/Kalluumaysiga Kh/Badda &amp; M/Dekeddaha.</t>
  </si>
  <si>
    <t>W.Qorshaynta Qaranka &amp; Horumarinta.</t>
  </si>
  <si>
    <t>W.Hawlaha Guud &amp; Gaadiidka.</t>
  </si>
  <si>
    <t>W.Waxbarashada &amp; Tacliinta Sare.</t>
  </si>
  <si>
    <t xml:space="preserve">Wasaaradda Caafimaadka. </t>
  </si>
  <si>
    <t>Wasaaradda Cadaaladda &amp; Garsoorka.</t>
  </si>
  <si>
    <t xml:space="preserve"> WFP. Commission.</t>
  </si>
  <si>
    <t xml:space="preserve"> Commission-ka Qurba Jooga.</t>
  </si>
  <si>
    <t xml:space="preserve">Wasaaradda Duulista &amp; Hawadda. </t>
  </si>
  <si>
    <t>`</t>
  </si>
  <si>
    <t>Iibsiga Qalabka Nalka &amp; Biyaha.</t>
  </si>
  <si>
    <t>2.2.3.9.</t>
  </si>
  <si>
    <t>Dar. Qalabka Boosaha &amp; Isgaadhsiinta.</t>
  </si>
  <si>
    <t>Iibsiga Qalabka Boosaha &amp; Isgaadhsiinta.</t>
  </si>
  <si>
    <t>Iibsiga Gaadiidka &amp; Miishanada</t>
  </si>
  <si>
    <t>Daryeelka Hoosooyinka Wershadaha.</t>
  </si>
  <si>
    <t>Iibsiga Qasnaddaha Lacagta.</t>
  </si>
  <si>
    <t>Iibsiga gogosha &amp; Maacuunka.</t>
  </si>
  <si>
    <t>Noolka Safarada Gudaha</t>
  </si>
  <si>
    <t xml:space="preserve">               </t>
  </si>
  <si>
    <t>Iibsiga Gaadiidka &amp; Mishiinada</t>
  </si>
  <si>
    <t>Raashinka Cisbitaalada</t>
  </si>
  <si>
    <t>2.2.2.16.</t>
  </si>
  <si>
    <t>2.2.3.11.</t>
  </si>
  <si>
    <t>Daryeelka Cisbitaalada Lababka $ MCHyada</t>
  </si>
  <si>
    <t>2.6.3.1.</t>
  </si>
  <si>
    <t>2.2.1.6</t>
  </si>
  <si>
    <t>Tobobarka &amp; Imtixaanada</t>
  </si>
  <si>
    <t>Noolka Safarada Debadda</t>
  </si>
  <si>
    <t>Ijaarka Gaadiidka Xafiisyada &amp; Guryaha</t>
  </si>
  <si>
    <t>2.2.1.7</t>
  </si>
  <si>
    <t>Martiqaadyada &amp; Munaasabadaha</t>
  </si>
  <si>
    <t xml:space="preserve">Dharka &amp; Dirayska </t>
  </si>
  <si>
    <t>Laababka</t>
  </si>
  <si>
    <t>Ijaarka Xafiisyadda &amp; Gaadiidka.</t>
  </si>
  <si>
    <t>Daryeelka Gaadiidka &amp; Miishanada</t>
  </si>
  <si>
    <t>Iibsiga Gaadiidka 3(Hilux)</t>
  </si>
  <si>
    <t>2.2.2.17.</t>
  </si>
  <si>
    <t>2.3.2.1</t>
  </si>
  <si>
    <t>Xafiisyada &amp; Guryaha Kale ee Dawladda</t>
  </si>
  <si>
    <t>Gunnada Guri &amp; Xil.</t>
  </si>
  <si>
    <t>Iibsiga Hantidda Kale ee Dawladda.</t>
  </si>
  <si>
    <t>Noolka Safarad Debadda</t>
  </si>
  <si>
    <t>Iibsiga Daawadda.</t>
  </si>
  <si>
    <t>Noolka Safaradda Gudaha.</t>
  </si>
  <si>
    <t>Ijaarka B/buurta &amp; Xafiisyadda &amp; Guryaha.</t>
  </si>
  <si>
    <t>2.2.1.13.</t>
  </si>
  <si>
    <t>11D</t>
  </si>
  <si>
    <t>2.2.1.16.</t>
  </si>
  <si>
    <t>Kh. Sahaysiinta Maxaabiista.</t>
  </si>
  <si>
    <t>Dharka iyo Dirayska.</t>
  </si>
  <si>
    <t>Noolka Safaradda Gudaha</t>
  </si>
  <si>
    <t>Kharashka Nabadgalyada</t>
  </si>
  <si>
    <t>Kharashka Gaarka Ah</t>
  </si>
  <si>
    <t>2.2.1.36.</t>
  </si>
  <si>
    <t>Kharashka Isticmaalka Hawsha Kale</t>
  </si>
  <si>
    <t>Xafiisyadda &amp; Guryaha kale  ee Dawladda</t>
  </si>
  <si>
    <t>Kharashka Baadhista Khayraatka Dalka.</t>
  </si>
  <si>
    <t>2.3.1.14.</t>
  </si>
  <si>
    <t>Iibsiga Qalabka Kaluumaysiga &amp; Doonya.</t>
  </si>
  <si>
    <t>Raashinka &amp; Wixii Raaca.</t>
  </si>
  <si>
    <t xml:space="preserve">Daryeelka Dugsiyadda </t>
  </si>
  <si>
    <t>Kharashka Bilicda Xafiisyadda.</t>
  </si>
  <si>
    <t>16 w.ganacsiga…</t>
  </si>
  <si>
    <t>18 W.Kaluumaysiga</t>
  </si>
  <si>
    <t>20 w,x.xoolaha .</t>
  </si>
  <si>
    <t>23 W.caafimaadka.</t>
  </si>
  <si>
    <t>24 W.Diinta &amp; Awqaafta.</t>
  </si>
  <si>
    <t>2.1.0.0</t>
  </si>
  <si>
    <t>2.2.0.0</t>
  </si>
  <si>
    <t>2.2.1.0</t>
  </si>
  <si>
    <t>2.2.1.3</t>
  </si>
  <si>
    <t>2.2.1.4</t>
  </si>
  <si>
    <t>2.2.2.0</t>
  </si>
  <si>
    <t>2.2.2.1</t>
  </si>
  <si>
    <t>2.2.2.2</t>
  </si>
  <si>
    <t xml:space="preserve">daawwnta iyo caafimaadka </t>
  </si>
  <si>
    <t>2.0.0.0</t>
  </si>
  <si>
    <t>Kh.joogtaynta maamulka</t>
  </si>
  <si>
    <t>Kh.isticmaalka adeega hawsha</t>
  </si>
  <si>
    <t>2.2.1.5</t>
  </si>
  <si>
    <t>2.2.1.9</t>
  </si>
  <si>
    <t>2.2.1.12</t>
  </si>
  <si>
    <t>Kh. Daawaynta &amp; Caafimaadka.</t>
  </si>
  <si>
    <t>2.2.2.9</t>
  </si>
  <si>
    <t>2.2.2.3</t>
  </si>
  <si>
    <t>2.2.2.4</t>
  </si>
  <si>
    <t>2.3.0.0</t>
  </si>
  <si>
    <t>iibsiga Hantidda Raagta.</t>
  </si>
  <si>
    <t>2.3.1.0</t>
  </si>
  <si>
    <t>Iibsiga Alaabta Raagta</t>
  </si>
  <si>
    <t>2.3.1.1.</t>
  </si>
  <si>
    <t>2.3.1.3</t>
  </si>
  <si>
    <t>2.3.1.4</t>
  </si>
  <si>
    <t>2.2.3.0</t>
  </si>
  <si>
    <t>2.2.3.1</t>
  </si>
  <si>
    <t>2.2.3.2</t>
  </si>
  <si>
    <t>2.2.3.15</t>
  </si>
  <si>
    <t>Hawl-gab.</t>
  </si>
  <si>
    <t>Mushaharka Shaqaalaha aan J/ahayn.</t>
  </si>
  <si>
    <t>Mushaharka Shaqaalaha joogtada ah.</t>
  </si>
  <si>
    <t>martiqaadka &amp; Munaasibadaha,</t>
  </si>
  <si>
    <t>Dhiiri-gelinta &amp; Abaalmarinta.</t>
  </si>
  <si>
    <t>Dirayska.</t>
  </si>
  <si>
    <t xml:space="preserve">Kharashka Maamulka. </t>
  </si>
  <si>
    <t xml:space="preserve"> 2.1.1.1.</t>
  </si>
  <si>
    <t xml:space="preserve"> 2.0.0.0.</t>
  </si>
  <si>
    <t xml:space="preserve">  2.0.0.0.</t>
  </si>
  <si>
    <t xml:space="preserve">   2.1.1.3.</t>
  </si>
  <si>
    <t>2.3.1.8.</t>
  </si>
  <si>
    <t>Iibsiga Qalabka Beeraha (Cagaf).</t>
  </si>
  <si>
    <t>Barnaamijyadda H/Shaqo.</t>
  </si>
  <si>
    <t>26 W.DuulistaHawada</t>
  </si>
  <si>
    <t>25 W.Hawlaha guud..</t>
  </si>
  <si>
    <t>28-Hayadda miino-saarka.</t>
  </si>
  <si>
    <t>36- Hay'adda Xidhiidhka Caawimadda WFP.</t>
  </si>
  <si>
    <t>35. ICT Commission.</t>
  </si>
  <si>
    <t>34- NERAD.</t>
  </si>
  <si>
    <t>2.2.1.18.</t>
  </si>
  <si>
    <t>Hawsha Miino Saarka (SMAC).</t>
  </si>
  <si>
    <t>Iibsiga Gaadiidka &amp; Mishiinadda.</t>
  </si>
  <si>
    <t>Xafiisyadda &amp; Guryaha kale ee Dawladda.</t>
  </si>
  <si>
    <t>2.2.3.16</t>
  </si>
  <si>
    <t>Daryeelka Warshadaha iyo Qaboojiyayaasha</t>
  </si>
  <si>
    <t>Noolka Safarada Gudaha iyo bedelka</t>
  </si>
  <si>
    <t>2.2.3.13</t>
  </si>
  <si>
    <t xml:space="preserve">Dayactirka Masaajidada iyo Dug/diiniga </t>
  </si>
  <si>
    <t xml:space="preserve">Iibsiga gaadiidka </t>
  </si>
  <si>
    <t xml:space="preserve">Dhismayaasha Cusub </t>
  </si>
  <si>
    <t>2.3.2.6</t>
  </si>
  <si>
    <t>2.2.3.15.</t>
  </si>
  <si>
    <t>Isticmaalka Alaabta &amp; Adeega Hawsha</t>
  </si>
  <si>
    <t>Kharashka Isticmaalka Adeega hawsh</t>
  </si>
  <si>
    <t>2.2.1.18</t>
  </si>
  <si>
    <t>Kh. Dawada &amp; Caafimaadka</t>
  </si>
  <si>
    <t xml:space="preserve">            -</t>
  </si>
  <si>
    <t xml:space="preserve">         -</t>
  </si>
  <si>
    <t>Iibsiga Hantida Raagta</t>
  </si>
  <si>
    <t xml:space="preserve">Iibsiga Alaabta </t>
  </si>
  <si>
    <t>Tababarka &amp; Imtixaanaadka</t>
  </si>
  <si>
    <t xml:space="preserve"> Quality Control Commission.</t>
  </si>
  <si>
    <t>38-Somaliland Quality Control.</t>
  </si>
  <si>
    <t>37-Hay'adda Qurbo Jooga Somaliland.</t>
  </si>
  <si>
    <t>Xafiiska Xidhiidhka Golayaasha ee Madax.</t>
  </si>
  <si>
    <t>Khar. Yaryar ee Xafiiska</t>
  </si>
  <si>
    <t>Kharashka Markhaatiyada &amp; Dembi baadhista</t>
  </si>
  <si>
    <t>Khar. Bilicda Xaf &amp; Guryaha</t>
  </si>
  <si>
    <t>Daryeelka Qalabka Xafiiska &amp; Guryaha</t>
  </si>
  <si>
    <t>Iibsiga Qalabka Nalka &amp; Biyaha</t>
  </si>
  <si>
    <t>2.2.1.34</t>
  </si>
  <si>
    <t>Kharashka Gaarka ah</t>
  </si>
  <si>
    <t>8A ciidankan ilaalada madaxtooyada.</t>
  </si>
  <si>
    <t>Qalabka Adeega T.V.ga</t>
  </si>
  <si>
    <t>2.2.1.33.</t>
  </si>
  <si>
    <t>Kharashka Warbaahinta Dibadda.</t>
  </si>
  <si>
    <t>Kh. Markhaatiyaasha &amp; Dambibaadhista.</t>
  </si>
  <si>
    <t>Gunno Gaareed (Gunnadda Jiidda Hore).</t>
  </si>
  <si>
    <t>Mushaharka Golaha Wakiiladda.</t>
  </si>
  <si>
    <t>Kh. Bilicda Xafiisyadda &amp; guryaha.</t>
  </si>
  <si>
    <t>2.3.1.2.</t>
  </si>
  <si>
    <t>Iibsiga Qalabka Xaf. &amp; Guryaha.</t>
  </si>
  <si>
    <t>Mushaharka Golaha Guurtidda.</t>
  </si>
  <si>
    <t>W.Xanaanadda Xoolaha H/reer Miyiga.</t>
  </si>
  <si>
    <t>X.Siyaasadda ee Xidhiidhka Golayaasha.</t>
  </si>
  <si>
    <t>W.Shaqadda &amp; Arrimaha Bulshadda.</t>
  </si>
  <si>
    <t>WFP. Commission.</t>
  </si>
  <si>
    <t>Commssion-ka Qurba jooga.</t>
  </si>
  <si>
    <t>Quality Control Commission.</t>
  </si>
  <si>
    <t>Good Gov. and Anti Corruption Comm.</t>
  </si>
  <si>
    <t>Mushaharka Ciimaddda.</t>
  </si>
  <si>
    <t>Mushaharka Ciimadda.</t>
  </si>
  <si>
    <t>2.3.1.11</t>
  </si>
  <si>
    <t>Khasnada Lacagta IWM</t>
  </si>
  <si>
    <t>Ijaarka Bakhaaradda Sooy. Ee Komishanka.</t>
  </si>
  <si>
    <t>W.DH.Ciyaaraha &amp; Dhaqanka.</t>
  </si>
  <si>
    <t>Miino-Saarka.</t>
  </si>
  <si>
    <t xml:space="preserve">W.Duulista. </t>
  </si>
  <si>
    <t>W.Hawlaha Guud.</t>
  </si>
  <si>
    <t>Beeraha.</t>
  </si>
  <si>
    <t>Kaluumaysiga.</t>
  </si>
  <si>
    <t xml:space="preserve">W.Macdanta &amp; Biyaha. </t>
  </si>
  <si>
    <t xml:space="preserve">W.Gaashandhiga. </t>
  </si>
  <si>
    <t>Wasaaradda Warfaafinta</t>
  </si>
  <si>
    <t>Liiltirka (Marxuum Fani &amp; C/Samad).</t>
  </si>
  <si>
    <t>Liiltirka (Filfil).</t>
  </si>
  <si>
    <t>Liiltir (Khadra Xasan Ducaale).</t>
  </si>
  <si>
    <t>Liiltirka (Marxuum Faarax Cawad ).</t>
  </si>
  <si>
    <t>Daryeelka Kale ee Hantidda Dawladda.</t>
  </si>
  <si>
    <t>2.2.3.7.</t>
  </si>
  <si>
    <t>Kharashka Gaarka ah (Cusbitaalka Hargeysa).</t>
  </si>
  <si>
    <t>N.B. Waxa ku jira 1142 Cuqaal iyo Salaadiin oo Grade D ah &amp; 121 Grade A Maxk. Sare.</t>
  </si>
  <si>
    <t>Kaalmooyinka Guud ee Sooyaal.</t>
  </si>
  <si>
    <t>Xeer Illaalinta Guud Qaranka.</t>
  </si>
  <si>
    <t xml:space="preserve"> Good Gov. and Anti-Corruption Com.</t>
  </si>
  <si>
    <t xml:space="preserve">Ciidanka Qaranka. </t>
  </si>
  <si>
    <t>2.2.2.8</t>
  </si>
  <si>
    <t>iibsiga Gaadiidka &amp; Mishiinadda.</t>
  </si>
  <si>
    <t>Gunnadda Xil &amp; Guri.</t>
  </si>
  <si>
    <t>Ijaarka Gaadiidka,Xafisyada &amp; Guryaha</t>
  </si>
  <si>
    <t>2.1.1.1.a.</t>
  </si>
  <si>
    <t>Mush. shaqaalaha (H/Gab+Googays+Ag. Pool).</t>
  </si>
  <si>
    <t>Qalabka Boosaha &amp; Isgaadhsiinta.</t>
  </si>
  <si>
    <t>11d</t>
  </si>
  <si>
    <t>2.6.3.0</t>
  </si>
  <si>
    <t>Kaalmooyinka Qeybaha kale ee dawladda</t>
  </si>
  <si>
    <t>2.2.1.17.</t>
  </si>
  <si>
    <t>Kh. Isticmaalka Alaabta Hawsha.</t>
  </si>
  <si>
    <t xml:space="preserve">Daryeelka Xaf. Guryaha. </t>
  </si>
  <si>
    <t>2.2.2.10.</t>
  </si>
  <si>
    <t>39-Guddiga Dawlad Wanaaga &amp; La Dagaalanka M/Maasuqa.</t>
  </si>
  <si>
    <t>Kaalmooyinka Guud (Dawan).</t>
  </si>
  <si>
    <t>2.2.1.35</t>
  </si>
  <si>
    <t>2.6.3.0.</t>
  </si>
  <si>
    <t>Habeen Dhaxyadda.</t>
  </si>
  <si>
    <t xml:space="preserve"> Iibsiga gaadiidka iyo mashiinada </t>
  </si>
  <si>
    <t>2.2.1.41.</t>
  </si>
  <si>
    <t>Biilasha Taagan.</t>
  </si>
  <si>
    <t>Grand-Total</t>
  </si>
  <si>
    <t>Wasaaradda Waxbarashada &amp; Tacliinta Sare.</t>
  </si>
  <si>
    <t>Dhismaha Hoolka Idaacadda.</t>
  </si>
  <si>
    <t>Iibsiga Hantidda Kale (Idaacad Cusub).</t>
  </si>
  <si>
    <t>Iibsiga Daawadda Xoolaha.</t>
  </si>
  <si>
    <t>Mushaharka Shaq. (Naafadda Booliska)</t>
  </si>
  <si>
    <t>Raashinka &amp; Wixii Raaca (Agoomaha).</t>
  </si>
  <si>
    <t>Raashinka Naafadda Booliska.</t>
  </si>
  <si>
    <t xml:space="preserve"> Good Governace and Anti-Corruption Com.</t>
  </si>
  <si>
    <t>Kh.Gaarka ah (Specail President Invoy) &amp; Xuuraanka.</t>
  </si>
  <si>
    <t xml:space="preserve">Dhismaha masaajidadda. </t>
  </si>
  <si>
    <t xml:space="preserve">Kabka Miisaaniyadda. </t>
  </si>
  <si>
    <t>Kaalmadda (Machadka Tababarka Shaqaalaha CSI).</t>
  </si>
  <si>
    <t>Raashinka Ciidanka iyo wixii Raaca.</t>
  </si>
  <si>
    <t>Hay'adda Xidhiidhka Caawimadda FWP.</t>
  </si>
  <si>
    <t>miis.2012</t>
  </si>
  <si>
    <t>Miis.2012</t>
  </si>
  <si>
    <t>miis. 2012</t>
  </si>
  <si>
    <t>Miis. 2012</t>
  </si>
  <si>
    <t>Miis 2012</t>
  </si>
  <si>
    <t>miis 2012</t>
  </si>
  <si>
    <t>2.231.2</t>
  </si>
  <si>
    <t>2.31.2</t>
  </si>
  <si>
    <t>11 W/arimaha gudaha</t>
  </si>
  <si>
    <t>2.1.1.2a</t>
  </si>
  <si>
    <t>Raashinka</t>
  </si>
  <si>
    <t>2.2.2.8b.</t>
  </si>
  <si>
    <t xml:space="preserve">Raashinka </t>
  </si>
  <si>
    <t>2.2.2.8a</t>
  </si>
  <si>
    <t>Iidaanka iyo koosaarta</t>
  </si>
  <si>
    <t>20B</t>
  </si>
  <si>
    <t xml:space="preserve">W/Deegaanka iyo Reermiyiga </t>
  </si>
  <si>
    <t xml:space="preserve">W/dib u dajinta </t>
  </si>
  <si>
    <t>Miis. 2012.</t>
  </si>
  <si>
    <t>Kharashka Garsoorayaasha</t>
  </si>
  <si>
    <t>miis. 2011</t>
  </si>
  <si>
    <t>2.2.1.12a</t>
  </si>
  <si>
    <t>Wasaarada Xanaanada Xoolaha</t>
  </si>
  <si>
    <t>Garyaqaanka Guud ee Qaranka</t>
  </si>
  <si>
    <t>Gunno Xagaayeed</t>
  </si>
  <si>
    <t>Gunno Maaliyadeed</t>
  </si>
  <si>
    <t>Ijaarka Guryaha (Guryaha Masaarida)</t>
  </si>
  <si>
    <t>Gunno Lataliye</t>
  </si>
  <si>
    <t>Gunno kaaliyayaasha maxk. Hoose</t>
  </si>
  <si>
    <t xml:space="preserve">Mag dhowga </t>
  </si>
  <si>
    <t>Xafiisyadda Wasaarada maaliyada</t>
  </si>
  <si>
    <t>fee jaamacada</t>
  </si>
  <si>
    <t>Hay'adda sir. Qaranka</t>
  </si>
  <si>
    <t>Ijaarka guryaha, baabuurta &amp; guryaha</t>
  </si>
  <si>
    <t>Gunno lataliyayaal</t>
  </si>
  <si>
    <t>Gunno lataliye</t>
  </si>
  <si>
    <t>2.1.1.5</t>
  </si>
  <si>
    <t>Gunno Gaareed(baaqatay6M Idiris)</t>
  </si>
  <si>
    <t>2.1.1.3</t>
  </si>
  <si>
    <t>Gunno Xil &amp; Guri</t>
  </si>
  <si>
    <t>2.2.1.39</t>
  </si>
  <si>
    <t xml:space="preserve">Kh. Kalaxadaynta Gobolada iyo Degmooyinka </t>
  </si>
  <si>
    <t>2.3.1.5</t>
  </si>
  <si>
    <t xml:space="preserve">Dhismayaasha </t>
  </si>
  <si>
    <t>.</t>
  </si>
  <si>
    <t>22A</t>
  </si>
  <si>
    <t>Isticmaalka Biyaha</t>
  </si>
  <si>
    <t>Qalabka Xafiiska</t>
  </si>
  <si>
    <t>Kaal. Guud (Jaamacadaha).</t>
  </si>
  <si>
    <t>Agaasinka Tacliinta sare</t>
  </si>
  <si>
    <t>Gaadiidka iyo Mashiinada</t>
  </si>
  <si>
    <t>Kaalmada Ururka NOW  oo kaliya ).</t>
  </si>
  <si>
    <t xml:space="preserve">2.1.1.1   </t>
  </si>
  <si>
    <t>Gunno Gareed(lataliyayaal)</t>
  </si>
  <si>
    <t>Amount</t>
  </si>
  <si>
    <t>Daaweynta &amp; Caafimaadka Shaqaalaha Dowlada</t>
  </si>
  <si>
    <t xml:space="preserve">Liiltirka </t>
  </si>
  <si>
    <t xml:space="preserve">Iibsiga Hantida Raagta &amp; Alaabta </t>
  </si>
  <si>
    <t xml:space="preserve">Qalabka Xafiisyada </t>
  </si>
  <si>
    <t xml:space="preserve">   </t>
  </si>
  <si>
    <t>````````````````````````````````````````````````````````````````````````````````````````````````````````````````````````````````````````````````````````````````````````````````````````````````````````````````````````````````````````````````````</t>
  </si>
  <si>
    <t>Ijaarka Xafiisyada</t>
  </si>
  <si>
    <t>Mushaharka Ciidamadda  joogtada ah</t>
  </si>
  <si>
    <t>Raashinka ilaalada Warshada sibidhka</t>
  </si>
  <si>
    <t>Gunno (lataliyayaal)</t>
  </si>
  <si>
    <t>Raashinka Dugsiga Agoomaha</t>
  </si>
  <si>
    <t>Kh. Mushaharka &amp; Tigidhada Dhakhatiirta Ajaanibka</t>
  </si>
  <si>
    <t>Kaalmada Guud (Hospitalka)</t>
  </si>
  <si>
    <t>2.1.1.2b</t>
  </si>
  <si>
    <t>41 w.deegaanka &amp; reermiyga</t>
  </si>
  <si>
    <t>40 Dib-u dejinta</t>
  </si>
  <si>
    <t>Garyaqaanka Guud</t>
  </si>
  <si>
    <t>17 w.macdanta &amp; biyaha &amp; Tamarta.</t>
  </si>
  <si>
    <t>Noolka Safarada Dibeda</t>
  </si>
  <si>
    <t>Noolka Safaradda Dibadda( Wasaaradaha)</t>
  </si>
  <si>
    <t>Hard-Allowance Sool</t>
  </si>
  <si>
    <t>Ijaarka Xafiisyadda(Sool),</t>
  </si>
  <si>
    <t>Mushaharka Shaqaalaha aan J/ahayn( 2+3gudi).</t>
  </si>
  <si>
    <t>Kharashka Doorashooyinka</t>
  </si>
  <si>
    <t>8B</t>
  </si>
  <si>
    <t>8A</t>
  </si>
  <si>
    <t>13A</t>
  </si>
  <si>
    <t>Mushaharka Shaqaalaha joogtada ah+30Dr</t>
  </si>
  <si>
    <t xml:space="preserve">Gunnada ilaalada madaxtooyadda </t>
  </si>
  <si>
    <t xml:space="preserve">Iibsiga Barnaamijyadda TVga </t>
  </si>
  <si>
    <t xml:space="preserve">Iibsiga Barnaamijyadda Idaacada </t>
  </si>
  <si>
    <t>Ijaarka Gaadiidka,Xafiisyada.</t>
  </si>
  <si>
    <t>Iibsiga Qalabka ciidanka (saanada)</t>
  </si>
  <si>
    <t xml:space="preserve">Gaadiidka &amp; Mishiinada </t>
  </si>
  <si>
    <t>2.2.1.48</t>
  </si>
  <si>
    <t>Mashruuca Daawaynta Xoolaha</t>
  </si>
  <si>
    <t>Dhismayaasha</t>
  </si>
  <si>
    <t>Dhismaha Xafiisyada wasaarada</t>
  </si>
  <si>
    <t>2.2.1.41</t>
  </si>
  <si>
    <t xml:space="preserve">Dhismaha xafiisyada wasaarada </t>
  </si>
  <si>
    <t xml:space="preserve">Mashruuca Waxsoosaarka iyo tarminta dhirta </t>
  </si>
  <si>
    <t>2.2.2.7</t>
  </si>
  <si>
    <t>Daabacaadda Tigidhada</t>
  </si>
  <si>
    <t>2.2.2.13</t>
  </si>
  <si>
    <t xml:space="preserve">Daabacaada Fiisooyinka </t>
  </si>
  <si>
    <t>Cilmi Baadhista (Macro Economic Research)</t>
  </si>
  <si>
    <t>Dhismayaasha xafiisyada &amp; baladhinta airportka</t>
  </si>
  <si>
    <t>2.2.1.49</t>
  </si>
  <si>
    <t xml:space="preserve">Kh. Rarista dadka ku jira guryah w/duulista </t>
  </si>
  <si>
    <t xml:space="preserve">Dhismaha Hoostada Gadiidka hargaisa </t>
  </si>
  <si>
    <t xml:space="preserve">10 W/cadaalada </t>
  </si>
  <si>
    <t xml:space="preserve">Dhismayaasha Xafiiska wasaaradda </t>
  </si>
  <si>
    <t xml:space="preserve">Dhismaha Hoolka shaqaalaha </t>
  </si>
  <si>
    <t xml:space="preserve">Dhismaha Hangarka Doorashooyinka </t>
  </si>
  <si>
    <t>Dhismaha Guriga Madaxwayne ku xigeenka</t>
  </si>
  <si>
    <t>Iibsiga Alaabta  (Stationery).+ computers</t>
  </si>
  <si>
    <t>Biilasha Taagan</t>
  </si>
  <si>
    <t>2.2.1.50</t>
  </si>
  <si>
    <t xml:space="preserve">Sanduuqa Aqoonsi Raadinta </t>
  </si>
  <si>
    <t>M/Sh.Aan J/ahayn Operation committee 6 xubnood</t>
  </si>
  <si>
    <t>miis.2011</t>
  </si>
  <si>
    <t>2.1.1.2.A</t>
  </si>
  <si>
    <t>Mushaharka Shaqaalaha aan J/ahayn.(Gudida)</t>
  </si>
  <si>
    <t>Noolka Safarada Gudaha &amp; Badalka shaqalaha</t>
  </si>
  <si>
    <t xml:space="preserve">Ijaarka Baabuurta Xafiisyada </t>
  </si>
  <si>
    <t>Kharashka Nabedgelyada</t>
  </si>
  <si>
    <t>Kharashka Bilicda Xafiisyada</t>
  </si>
  <si>
    <t>Raashinka Ciidanka</t>
  </si>
  <si>
    <t>2.2.2.10</t>
  </si>
  <si>
    <t>Iibsiga Gogosha &amp; Maacuunta</t>
  </si>
  <si>
    <t>2.2.2.16</t>
  </si>
  <si>
    <t>2.2.3.9</t>
  </si>
  <si>
    <t>D. Qalabka Boosaha &amp; Isgaadhsiinta</t>
  </si>
  <si>
    <t>Iibsiga Qalabka Boosaha &amp; Isgaadhsiinta</t>
  </si>
  <si>
    <t xml:space="preserve">Gudiga Diwaangalinta Ururad </t>
  </si>
  <si>
    <t>Shidaalka iyo Stationeryga Qaybaha C/booliiska</t>
  </si>
  <si>
    <t>Mushaharka Shaqaalaha aan J/ahayn(24xeer ilaaliye)</t>
  </si>
  <si>
    <t xml:space="preserve">Biilasha taagan </t>
  </si>
  <si>
    <t>Gunno (kaaliyayaal)</t>
  </si>
  <si>
    <t>Gunno kaaliyayaal</t>
  </si>
  <si>
    <t>Gunno hawleed</t>
  </si>
  <si>
    <t>Gunno Hawleed</t>
  </si>
  <si>
    <t>Biilasha Taagan(Gaadhi)</t>
  </si>
  <si>
    <t>2.2.1.55</t>
  </si>
  <si>
    <t>Kh. Habeynta Darajoojinka Shaqalaha(Data Base)</t>
  </si>
  <si>
    <t>Mushaharka Shaqaalaha Madaxweyne ku Xigeen</t>
  </si>
  <si>
    <t>2.4.0.0</t>
  </si>
  <si>
    <t>Dhisme</t>
  </si>
  <si>
    <t>2.4.1.0</t>
  </si>
  <si>
    <t>Dhisme Guri</t>
  </si>
  <si>
    <t xml:space="preserve">8b Garyaqaanka Guud </t>
  </si>
  <si>
    <t>8b</t>
  </si>
  <si>
    <t>Gudiga Tacliinta Sare</t>
  </si>
  <si>
    <t>Wasaarada Dib u Dejinta</t>
  </si>
  <si>
    <t>Gudiga Diiwaangelinta Ururada</t>
  </si>
  <si>
    <t>Wasaarada Deegaanka &amp; H.R. miyiga</t>
  </si>
  <si>
    <t xml:space="preserve">Kaalmooyinka Guud </t>
  </si>
  <si>
    <t>Batroolka, Naafatadda &amp; Saliidaha.+ (lash)</t>
  </si>
  <si>
    <t>Batroolka, Naafatadda &amp; Saliidaha</t>
  </si>
  <si>
    <t>Kharashka Isticmaalka Adeega Hawsha</t>
  </si>
  <si>
    <t>Kharashka Isticmaalka Alaabta Hawsha</t>
  </si>
  <si>
    <t>Daryeelka iyo Dib-u Dhiska Dhismayaasha</t>
  </si>
  <si>
    <t>Kalmooyinka Qaybaha Kale ee Dawladda</t>
  </si>
  <si>
    <t>FaahFaahin</t>
  </si>
  <si>
    <t>Sannadka 2012</t>
  </si>
  <si>
    <t>Total</t>
  </si>
  <si>
    <t>Percentage</t>
  </si>
  <si>
    <t>Dhiirigelinta Shaqaalaha</t>
  </si>
  <si>
    <t>2.2.1.8</t>
  </si>
  <si>
    <t>Kharashka Nabadgelyada</t>
  </si>
  <si>
    <t>2.2.1.32a</t>
  </si>
  <si>
    <t>Kharashka Xafiiska Samafalka Madaxtooyada</t>
  </si>
  <si>
    <t>2.10.1.0</t>
  </si>
  <si>
    <t>Daynta Qaranka</t>
  </si>
  <si>
    <t>Deynta Qaranka</t>
  </si>
  <si>
    <t>Mushaharka Shaqaalaha aan J/ahayn(wasiro</t>
  </si>
  <si>
    <t>Mushaharka Shaqaalaha aan J/ahayn(wasiro)</t>
  </si>
  <si>
    <t>Mushaharka Shaqaalaha aan J/ahayn(wasiiro)</t>
  </si>
  <si>
    <t>Mushaharka Shaqaalaha aan J/ahayn(wasiiro</t>
  </si>
  <si>
    <t>Mushaharka Sh/ aan J/ahayn (wasiiro)</t>
  </si>
  <si>
    <t>Mushaharka Sh/ aan J/ahayn(wasiiro)</t>
  </si>
  <si>
    <t>2.6.3.2</t>
  </si>
  <si>
    <t>Kaalmadda Ururka Now</t>
  </si>
  <si>
    <t>Biilasha taagan</t>
  </si>
  <si>
    <t>Raashinka (Caruurta darbi jiifka ah)</t>
  </si>
  <si>
    <t>Gunno latalilye</t>
  </si>
  <si>
    <t>Gaadiidka &amp; Mishiinada(6gaadhi gobolda)</t>
  </si>
  <si>
    <t>Mushaharka Shaq. aan J/ahayn (Wasiir&amp;Cuqaal).</t>
  </si>
  <si>
    <t>Kh. Gobolada (Badhasaabada)</t>
  </si>
  <si>
    <t>Gaadiidka &amp; Mishiinada(B/Boorama)</t>
  </si>
  <si>
    <t>2.3.2.2</t>
  </si>
  <si>
    <t>Dhismaha Madaarka Burco</t>
  </si>
  <si>
    <t>Dhismaha wadada Oodwayne</t>
  </si>
  <si>
    <t xml:space="preserve">Gunnada Guri &amp; Xil </t>
  </si>
  <si>
    <t>Gunnada hanti-dhowrida + lataliye</t>
  </si>
  <si>
    <t xml:space="preserve">Kh.Gaarka ah(Sirdoonka) </t>
  </si>
  <si>
    <t>Tababarka</t>
  </si>
  <si>
    <t>kh. Tababarada &amp; Imtaxaanada</t>
  </si>
  <si>
    <t>Mushaharka Shaqaalaha aan J/ahayn(10+1+5sh)</t>
  </si>
  <si>
    <t xml:space="preserve">Tababarka ciidanka </t>
  </si>
  <si>
    <t xml:space="preserve">Daawada Caafimaadka </t>
  </si>
  <si>
    <t>Ijaarka xafiisyadda iyo Guryaha</t>
  </si>
  <si>
    <t>2.2.2.2A</t>
  </si>
  <si>
    <t>Betroolka Naaftada iyo saliida (Berbera)</t>
  </si>
  <si>
    <t xml:space="preserve">42 Xafiiska Furashada Uruurada </t>
  </si>
  <si>
    <t>Kharashka warbaahinta &amp; Tababarada uruurada</t>
  </si>
  <si>
    <t>kh. Imtixaanadda.</t>
  </si>
  <si>
    <t>Geb secondary Boodhin school(Awdal)</t>
  </si>
  <si>
    <t>Iibsiga Qalabka Xafiisyada iyo Guryaha</t>
  </si>
  <si>
    <t>22 W/waxbarashada</t>
  </si>
  <si>
    <t>Dhismaha jaamacdda Ceerigaabo</t>
  </si>
  <si>
    <t>Dhismaha jaamacadda Badhan</t>
  </si>
  <si>
    <t>Ijaarka Guryaha</t>
  </si>
  <si>
    <t>Gunnada Guri &amp; Xil(Agaasinka Guud)</t>
  </si>
  <si>
    <t>Raashinka &amp; Wixii Raaca.( agoomaaha)</t>
  </si>
  <si>
    <t>Gaadiidka &amp; Mashiinada</t>
  </si>
  <si>
    <t>22B</t>
  </si>
  <si>
    <t>Agaasinka Tacliinta Sare</t>
  </si>
  <si>
    <t>Mushaharka Shaqaalaha aan J/ahayn(Gudi7)</t>
  </si>
  <si>
    <t>Gunnada Imaamada</t>
  </si>
  <si>
    <t>Gaadiidka &amp; Mishiinada(3mashiin)</t>
  </si>
  <si>
    <t xml:space="preserve">Kh. Hawgalka ciyaaraha </t>
  </si>
  <si>
    <t>2.2.2.2a</t>
  </si>
  <si>
    <t>Batroolka Diwaangalinta ururada (one time)</t>
  </si>
  <si>
    <t>Mushaharka Sh/ aan J/ahayn +wasiiro)</t>
  </si>
  <si>
    <t>Dhiirigalinta shaqaalaha</t>
  </si>
  <si>
    <t xml:space="preserve">kh.wacyigalinta </t>
  </si>
  <si>
    <t>Kh. Shaqaalaha Aqoonta leh(Experts)</t>
  </si>
  <si>
    <t>Kaalmooyinka Guud</t>
  </si>
  <si>
    <t>Gaadiidka &amp; Mishiinada(Minibus+Surf)</t>
  </si>
  <si>
    <t>2.6.3.3</t>
  </si>
  <si>
    <t>Kaalmada Cisbitaalka Dhimirka Burco</t>
  </si>
  <si>
    <t>2.6.3.4</t>
  </si>
  <si>
    <t>Kaalmada Cisbitaalka Dhimirka Berbera</t>
  </si>
  <si>
    <t>Iibsiga Gaadiidka( Minibus)</t>
  </si>
  <si>
    <t xml:space="preserve">8 Madaxtooyada </t>
  </si>
  <si>
    <t xml:space="preserve">10A CIIDANKA ASLUUBTA </t>
  </si>
  <si>
    <t xml:space="preserve">Raashinka Ciidanka iyo Maxaabiista </t>
  </si>
  <si>
    <t>11B. CIIDANKA ILAALADA XEEBAHA</t>
  </si>
  <si>
    <t>11C. GUDIGA DABAGALKA XASUUQA</t>
  </si>
  <si>
    <t>29 XAFIISKA XIDHIIDHKA GOLAYAASHA</t>
  </si>
  <si>
    <t xml:space="preserve">3 GOLAHA WAKIILADA </t>
  </si>
  <si>
    <t>Kaalmada Cisbitaalka Dhimirka (Hargaisa)</t>
  </si>
  <si>
    <t xml:space="preserve">Mushaharka Sh/joogtada aan ahayn </t>
  </si>
  <si>
    <t>22b Gudiga Tacliinta Sare</t>
  </si>
  <si>
    <t xml:space="preserve">9 W/ARIMAHA DIBADDA </t>
  </si>
  <si>
    <t>A=11</t>
  </si>
  <si>
    <t>B=1</t>
  </si>
  <si>
    <t>C=1</t>
  </si>
  <si>
    <t>D=3</t>
  </si>
  <si>
    <t>Staff</t>
  </si>
  <si>
    <t>Kaalmooyinka Qaybaha kale</t>
  </si>
  <si>
    <t>2.6.3.1</t>
  </si>
  <si>
    <t>Kaalmooyinka Guud(Vet Board)</t>
  </si>
  <si>
    <t>Kharashka Kirada Setaliteka Yurub</t>
  </si>
  <si>
    <t>Dhismaha Wadada Boorame</t>
  </si>
  <si>
    <t>S/No.</t>
  </si>
  <si>
    <t>Dakhliga 2012</t>
  </si>
  <si>
    <t>Kharashka 2012</t>
  </si>
  <si>
    <t>Dawladda Dhexe</t>
  </si>
  <si>
    <t>Wakaaladaha Biyaha &amp;Laydhka</t>
  </si>
  <si>
    <t>Dekedda Berbera</t>
  </si>
  <si>
    <t xml:space="preserve">Raashinka &amp; Wixii Raaca </t>
  </si>
  <si>
    <t xml:space="preserve">11A. CIIDANKA BOOLIISKA </t>
  </si>
  <si>
    <t xml:space="preserve">Isticmaalka Nalka iyo Biyaha </t>
  </si>
  <si>
    <t>Mushaharka Shaqaalaha aan J/ahayn+Gudomiye</t>
  </si>
  <si>
    <t>Mushaharka Shaqaalaha aan J/ahayn.+wasir+samafal</t>
  </si>
  <si>
    <t>Mushaharka Shaqaalaha aan J/ahayn+Wasiiradda</t>
  </si>
  <si>
    <t>Mushaharka Shaqaalaha aan J/ahayn+wasiirka</t>
  </si>
  <si>
    <t>Mushaharka Shaqaalaha aan J/ahayn+gudomiye</t>
  </si>
  <si>
    <t>Mushaharka Shaqaalaha aan J/ahayn+gudoomiye</t>
  </si>
  <si>
    <t>Mushaharka Sh/ aan J/ahayn Gudomiye kaliya</t>
  </si>
  <si>
    <t>Dakhli.</t>
  </si>
  <si>
    <t>Kharash.</t>
  </si>
  <si>
    <t>Qadarka</t>
  </si>
  <si>
    <t>M/xige</t>
  </si>
  <si>
    <t>1.1.0.0</t>
  </si>
  <si>
    <t>Dakhliga Cashuurta</t>
  </si>
  <si>
    <t>1.3.3.0</t>
  </si>
  <si>
    <t>Dakhliga Qaybaha Kale</t>
  </si>
  <si>
    <t>1.4.1.0</t>
  </si>
  <si>
    <t>Dakhliga Hawsha &amp; Hantidda</t>
  </si>
  <si>
    <t>Goobta</t>
  </si>
  <si>
    <t>Hargeysa</t>
  </si>
  <si>
    <t>Berbera</t>
  </si>
  <si>
    <t>Burco</t>
  </si>
  <si>
    <t>Borama</t>
  </si>
  <si>
    <t>C/Gaabo</t>
  </si>
  <si>
    <t>Gabiley</t>
  </si>
  <si>
    <t>Seylac</t>
  </si>
  <si>
    <t>Caynabo</t>
  </si>
  <si>
    <t>Las-Canod</t>
  </si>
  <si>
    <t>F/Weyne</t>
  </si>
  <si>
    <t>C/Cado</t>
  </si>
  <si>
    <t>Xariirad</t>
  </si>
  <si>
    <t>Abaarso</t>
  </si>
  <si>
    <t>Dilla</t>
  </si>
  <si>
    <t>A/Baday</t>
  </si>
  <si>
    <t>L/Haya</t>
  </si>
  <si>
    <t>B/Gubadle</t>
  </si>
  <si>
    <t>G/Total</t>
  </si>
  <si>
    <t>C/Bariga</t>
  </si>
  <si>
    <t>Kastamka</t>
  </si>
  <si>
    <t>Sub-Total A</t>
  </si>
  <si>
    <t>W/Ganacsiga</t>
  </si>
  <si>
    <t>W/Boostada</t>
  </si>
  <si>
    <t>W/Warfaafinta</t>
  </si>
  <si>
    <t>H/Guud (kiro)</t>
  </si>
  <si>
    <t>/Macdanta.Biyaha</t>
  </si>
  <si>
    <t>w/beeraha</t>
  </si>
  <si>
    <t>W/Kalumaysiga</t>
  </si>
  <si>
    <t>W/Reer Miyiga</t>
  </si>
  <si>
    <t>Haamaha berbera</t>
  </si>
  <si>
    <t>Sub-Total B</t>
  </si>
  <si>
    <t>K/D/Hoose</t>
  </si>
  <si>
    <t>Deyn</t>
  </si>
  <si>
    <t>D/hoose ee Dawlada</t>
  </si>
  <si>
    <t>Sub-Total C</t>
  </si>
  <si>
    <t>Cashuuraha.</t>
  </si>
  <si>
    <t>1.1.1</t>
  </si>
  <si>
    <t>Cashuuraha dakhliga</t>
  </si>
  <si>
    <t>1.1.1.1</t>
  </si>
  <si>
    <t>Cash/M/M shaqaalaha Rayidka ah</t>
  </si>
  <si>
    <t>1.1.1.2</t>
  </si>
  <si>
    <t>Cash/M/M Shaqaalaha Dawladda</t>
  </si>
  <si>
    <t>1.1.1.3</t>
  </si>
  <si>
    <t>Cash/M/M Ganacsiga</t>
  </si>
  <si>
    <t>Sub-Total</t>
  </si>
  <si>
    <t>1.1.3</t>
  </si>
  <si>
    <t>Cashuuraha Hantida</t>
  </si>
  <si>
    <t>1.1.3.5</t>
  </si>
  <si>
    <t>Cashuurta M/Macaashka Guryaha</t>
  </si>
  <si>
    <t>1.1.4</t>
  </si>
  <si>
    <t>Cashuurta Alaabta &amp; Adeega</t>
  </si>
  <si>
    <t>1.1.4.11</t>
  </si>
  <si>
    <t>Cashuurta Gadida</t>
  </si>
  <si>
    <t>1.1.4.4.1</t>
  </si>
  <si>
    <t>Daakhliga Faafinta &amp; Iidhehda</t>
  </si>
  <si>
    <t>1.1.4.4.2</t>
  </si>
  <si>
    <t>Dakhliga kale ee Boosaha &amp; Isgaadhsiinta</t>
  </si>
  <si>
    <t>1.1.4.4.3</t>
  </si>
  <si>
    <t>Handling Commission</t>
  </si>
  <si>
    <t>1.1.4.5</t>
  </si>
  <si>
    <t>Cashuurta Isticmaalka Alaabta &amp; Adeega</t>
  </si>
  <si>
    <t>1.1.4.5.1</t>
  </si>
  <si>
    <t>Liisanka shirkadaha dhismaha</t>
  </si>
  <si>
    <t>1.1.4.5.2</t>
  </si>
  <si>
    <t>Dakhliga Ruqsadaha Kale</t>
  </si>
  <si>
    <t>1.1.4.5.3</t>
  </si>
  <si>
    <t>Dakhliga Liisamada Ganac/&amp; Ruqsooyinka</t>
  </si>
  <si>
    <t>1.1.4.5.4</t>
  </si>
  <si>
    <t>Dakh/Feega Kaluumaysiga Bada</t>
  </si>
  <si>
    <t>1.1.4.5.5</t>
  </si>
  <si>
    <t>Dakh/Liisamada/Ruqsooyinka Macdanta</t>
  </si>
  <si>
    <t>1.1.4.5.6</t>
  </si>
  <si>
    <t>Cashuurta Diiwaan gelinta</t>
  </si>
  <si>
    <t>1.1.4.5.7</t>
  </si>
  <si>
    <t>Cashuurta Diiwaangelinta Maraakiibta &amp; Doonyaha</t>
  </si>
  <si>
    <t>1.1.4.5.8</t>
  </si>
  <si>
    <t>Laysanka Ganacsiga Baabuurta</t>
  </si>
  <si>
    <t>1.1.4.5.9</t>
  </si>
  <si>
    <t>Fiiga Xanaanada Xoolaha</t>
  </si>
  <si>
    <t>1.1.5</t>
  </si>
  <si>
    <t>Taxes on International trade &amp; transctions</t>
  </si>
  <si>
    <t>1.1.5.1</t>
  </si>
  <si>
    <t>Import Tax (Cashuuta soo dejinta)</t>
  </si>
  <si>
    <t>1.1.5.2</t>
  </si>
  <si>
    <t>Export Tax (Cashuurta Dejinta)</t>
  </si>
  <si>
    <t>1.1.5.5</t>
  </si>
  <si>
    <t>Cashuurta Dekadaha (H.Tax)</t>
  </si>
  <si>
    <t>1.1.5.6</t>
  </si>
  <si>
    <t>Cash/Dhoofinta Xoolaha (L/S/Levy)</t>
  </si>
  <si>
    <t>1.1.6</t>
  </si>
  <si>
    <t>Cashuuraha Kale</t>
  </si>
  <si>
    <t>1.1.6.0</t>
  </si>
  <si>
    <t>Cashuuraha Kala duwan</t>
  </si>
  <si>
    <t>1.1.6.1</t>
  </si>
  <si>
    <t>Cashuurta Moorka</t>
  </si>
  <si>
    <t>1.1.6.2</t>
  </si>
  <si>
    <t>Cash/Socodka Baabuurta</t>
  </si>
  <si>
    <t>1.1.6.3</t>
  </si>
  <si>
    <t>Cashuurta Baaqatay ee kale</t>
  </si>
  <si>
    <t>1.1.6.4</t>
  </si>
  <si>
    <t>Iibsiga Tigidhada Dakhliga</t>
  </si>
  <si>
    <t>1.3.3</t>
  </si>
  <si>
    <t>From other general governments units</t>
  </si>
  <si>
    <t>1.3.3.1</t>
  </si>
  <si>
    <t>Deynta Gudaha/Deeq</t>
  </si>
  <si>
    <t>1.3.3.2</t>
  </si>
  <si>
    <t>Dakhliaga Dawlada ee Faa'iidada Wakaladaha</t>
  </si>
  <si>
    <t>1.3.3.3</t>
  </si>
  <si>
    <t>Dakhliga Deeqda D/Hoose</t>
  </si>
  <si>
    <t>1.3.3..4</t>
  </si>
  <si>
    <t>Dakhliga Daabacaadda Lacagta</t>
  </si>
  <si>
    <t>1.4.1</t>
  </si>
  <si>
    <t>Dakhliga kale</t>
  </si>
  <si>
    <t>1.4.1.5</t>
  </si>
  <si>
    <t>Dakhliga Iibka Khayraadka Dalka</t>
  </si>
  <si>
    <t>1.4.1.6</t>
  </si>
  <si>
    <t>Dakhliga gadida hantida Dawlada</t>
  </si>
  <si>
    <t>1.4.1.7</t>
  </si>
  <si>
    <t>Dakhliga Kirada Guryaha &amp; Bakhaarada</t>
  </si>
  <si>
    <t>1.4.1.8</t>
  </si>
  <si>
    <t>Dakh/Gegida Diyaaradaha &amp; Ajuurada</t>
  </si>
  <si>
    <t>1.4.1.9</t>
  </si>
  <si>
    <t>Dakhliga Haamaha Shidaalka</t>
  </si>
  <si>
    <t>1.4.2</t>
  </si>
  <si>
    <t>Sales of Goods &amp; Services</t>
  </si>
  <si>
    <t>1.4.2.1</t>
  </si>
  <si>
    <t>Cashuurta Maamulka</t>
  </si>
  <si>
    <t>1.4.2.2</t>
  </si>
  <si>
    <t>Dakhliga Ajuurada Maxkamadaha</t>
  </si>
  <si>
    <t>1.4.2.3</t>
  </si>
  <si>
    <t xml:space="preserve">Dakh/Nootaayooyinka </t>
  </si>
  <si>
    <t>1.4.2.4</t>
  </si>
  <si>
    <t>Fiiga Baasaboorada &amp; Fiisaha</t>
  </si>
  <si>
    <t>1.4.2.5</t>
  </si>
  <si>
    <t>Cashuurta Gudubka Badeecadda</t>
  </si>
  <si>
    <t>1.4.2.6</t>
  </si>
  <si>
    <t>Dakhliga Numberka &amp; Tijaabada Gaadiidka</t>
  </si>
  <si>
    <t>1.4.2.7</t>
  </si>
  <si>
    <t>Dakh/ Darawalnimada &amp; Lahaanshaha Gaadiidka</t>
  </si>
  <si>
    <t>1.4.2.8</t>
  </si>
  <si>
    <t>Fiisada Baasabooradda Ajanabiga</t>
  </si>
  <si>
    <t>1.4.2.9</t>
  </si>
  <si>
    <t>Fiiga Baasabooradda Wadaniga</t>
  </si>
  <si>
    <t>1.4.2.10</t>
  </si>
  <si>
    <t>Enbarketion Fees for Foreings</t>
  </si>
  <si>
    <t>1.4.2.12</t>
  </si>
  <si>
    <t>Dakhliga kala wareejinta Hantidda</t>
  </si>
  <si>
    <t>1.4.3</t>
  </si>
  <si>
    <t>Fines,Penalities &amp; Forefeits</t>
  </si>
  <si>
    <t>1.4.3.1</t>
  </si>
  <si>
    <t>Dakhliga Ganaaxyada</t>
  </si>
  <si>
    <t>1.4.3.3</t>
  </si>
  <si>
    <t xml:space="preserve"> Iibsiga xadhiga xabsiga </t>
  </si>
  <si>
    <t>1.4.4</t>
  </si>
  <si>
    <t>Voluntary transfers other than grants</t>
  </si>
  <si>
    <t>Wadarta Dakhliga Guud</t>
  </si>
  <si>
    <t>Dabacadda Lacagta</t>
  </si>
  <si>
    <t>Mushaharka Shaqaalaha</t>
  </si>
  <si>
    <t>Gunooyin</t>
  </si>
  <si>
    <t>Two Months</t>
  </si>
  <si>
    <t>Year 2012</t>
  </si>
  <si>
    <t>Total commitment</t>
  </si>
  <si>
    <t>Dakhliga Dhabta ah ee ka Qaybinayo</t>
  </si>
  <si>
    <t>Cash Balance for further distribution</t>
  </si>
  <si>
    <t>cash budgeting for the year 2012</t>
  </si>
  <si>
    <t xml:space="preserve">January </t>
  </si>
  <si>
    <t>February</t>
  </si>
  <si>
    <t xml:space="preserve">March 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</si>
  <si>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</si>
  <si>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</si>
  <si>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</si>
  <si>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</si>
  <si>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</si>
  <si>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</si>
  <si>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</si>
  <si>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</si>
  <si>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Balance</t>
  </si>
  <si>
    <t>Commitments</t>
  </si>
  <si>
    <t xml:space="preserve">Safaaradaha </t>
  </si>
  <si>
    <t xml:space="preserve">ijaarka xafiisyada </t>
  </si>
  <si>
    <t>32 Gudiga Doorashooyinka Qaranka</t>
  </si>
  <si>
    <t>W/Deegaanka &amp; Horumarinta Reermiyiga</t>
  </si>
  <si>
    <t>Mushaharka Shaqaalaha aan J/ahayn( Gudoomiye &amp; Kuxigeen)</t>
  </si>
  <si>
    <t>27-N.D.R.C</t>
  </si>
  <si>
    <t>Miis. 2013</t>
  </si>
  <si>
    <t>Miis.2013</t>
  </si>
  <si>
    <t>Gunnada xil</t>
  </si>
  <si>
    <t>Gunnada Xil</t>
  </si>
  <si>
    <t>Gunnada Xil.</t>
  </si>
  <si>
    <t>Mii.2013</t>
  </si>
  <si>
    <t>Mii.2012</t>
  </si>
  <si>
    <t xml:space="preserve">Gunnada Xil </t>
  </si>
  <si>
    <t>Miis. 2013.</t>
  </si>
  <si>
    <t>Miis 2013</t>
  </si>
  <si>
    <t>Biilasha taagan(Advance bank )</t>
  </si>
  <si>
    <t>Biilasha Taagan( Advance bank mush 2012)</t>
  </si>
  <si>
    <t>Biilasha Taagan(Advance banka</t>
  </si>
  <si>
    <t>Faafinta shuruucda</t>
  </si>
  <si>
    <t>kharashka nabadgalyada( 2Askari)</t>
  </si>
  <si>
    <t>Baahinta qandaraasyada</t>
  </si>
  <si>
    <t>2.2.1.56</t>
  </si>
  <si>
    <t>Kh.Maamul fidinta</t>
  </si>
  <si>
    <t>Kharashka Wacyi-gelinta</t>
  </si>
  <si>
    <t>Iibsiga Qalabka Xafiisyada &amp; Guryaha</t>
  </si>
  <si>
    <t>Hard Allowance</t>
  </si>
  <si>
    <t>Kharashka Dhiirigelinta &amp; Abaalmarinta</t>
  </si>
  <si>
    <t>Kh. Qalinjebinta Ardayda Jam.Eithopia</t>
  </si>
  <si>
    <t>2.2.1.32B</t>
  </si>
  <si>
    <t>Kharashka Xafiiska Madaxweyne Kuxigeenka</t>
  </si>
  <si>
    <t>Gaadiidka &amp; Mishiinada( Xafiiska Samafalka)</t>
  </si>
  <si>
    <t>2.3.1.2a</t>
  </si>
  <si>
    <t>Kharashka Faafinta Shuruucda</t>
  </si>
  <si>
    <t>Biilasha taagan(Advance M.Wasiirka)</t>
  </si>
  <si>
    <t>Qalabka Canjaladaha</t>
  </si>
  <si>
    <t>Biilasha Taagan( Advance Mag)</t>
  </si>
  <si>
    <t>Kh.Mashruuca Wajaale &amp; Aburiin</t>
  </si>
  <si>
    <t>Kaalmada Waxbarasho Ardayda Jaamac.</t>
  </si>
  <si>
    <t>2.2.1.34a</t>
  </si>
  <si>
    <t>Kharashka Cisbitaalka Sheekh</t>
  </si>
  <si>
    <t>2.6.3.5.</t>
  </si>
  <si>
    <t>Dhismaha Wasarada</t>
  </si>
  <si>
    <t>Kharashka Dhirigelinta Sh. Dakhli-ururinta</t>
  </si>
  <si>
    <t>Mushaharka (Naafada Qaranka+3022</t>
  </si>
  <si>
    <t>Mushaharka (Naafada Booliiska)714+10</t>
  </si>
  <si>
    <t>Raashinka iyo timirta ramadnta Naafada Booliiska 714+10</t>
  </si>
  <si>
    <t>Raashinka iyo timirta Naafada Qaranka 3,022</t>
  </si>
  <si>
    <t>Kharashka Tirikoobka Shaqaalaha</t>
  </si>
  <si>
    <t>Kh. Xidhiidhka Jaaliyadaha</t>
  </si>
  <si>
    <t>Kh. Baadhida Alaabta &amp; Cuntada</t>
  </si>
  <si>
    <t>Biilasha Taagan( Advance Bank)</t>
  </si>
  <si>
    <t>Wasaarada Wershadaha</t>
  </si>
  <si>
    <t>Kirada Xafiisyada Dibeda</t>
  </si>
  <si>
    <t>43. Wasaarada Wershadaha</t>
  </si>
  <si>
    <t>2 Golaha Guurtida</t>
  </si>
  <si>
    <t>19 W.Beeraha.</t>
  </si>
  <si>
    <t>21 W,boosaha &amp; Isgaadhsiinta</t>
  </si>
  <si>
    <t>Kh.Garsoorayaasha Dadweyne( Public Defenders)</t>
  </si>
  <si>
    <t xml:space="preserve">Mushaharka Shaqaalaha joogtada ah </t>
  </si>
  <si>
    <t>15A</t>
  </si>
  <si>
    <t xml:space="preserve">Magaha Guud ee Qaranka </t>
  </si>
  <si>
    <t>Kaalmooyinka Guud (Asxaabta Qaranka)</t>
  </si>
  <si>
    <t>Waaxda Miisaaniyadda &amp; Qasnadda</t>
  </si>
  <si>
    <t xml:space="preserve">kharashka Safaradda Dibadda </t>
  </si>
  <si>
    <t>2.2.1.24</t>
  </si>
  <si>
    <t>2.2.1.22</t>
  </si>
  <si>
    <t>2.2.1.36</t>
  </si>
  <si>
    <t>2.2.1.40.</t>
  </si>
  <si>
    <t>2.2.1.42</t>
  </si>
  <si>
    <t>2.2.1.43.</t>
  </si>
  <si>
    <t>2.2.1.44.</t>
  </si>
  <si>
    <t>2.2.1.45</t>
  </si>
  <si>
    <t>2.2.1.47</t>
  </si>
  <si>
    <t>2.2.1.51</t>
  </si>
  <si>
    <t>2.3.1.6</t>
  </si>
  <si>
    <t>2.3.1.13.</t>
  </si>
  <si>
    <t>2.2.1.52</t>
  </si>
  <si>
    <t>2.2.1.53</t>
  </si>
  <si>
    <t>Kharashka Hawlgaladda Ciidanka.</t>
  </si>
  <si>
    <t>2.3.1.14</t>
  </si>
  <si>
    <t>2.2.1.54</t>
  </si>
  <si>
    <t>Kharashka Diyaarinta Shuruucda Wadooyinka</t>
  </si>
  <si>
    <t>2.2.1.57</t>
  </si>
  <si>
    <t>Kharashka Horumarinta IT ga</t>
  </si>
  <si>
    <t>2.2.1.30</t>
  </si>
  <si>
    <t>Kharashka Lama Filaanka ah ( W. Maaliyadda)</t>
  </si>
  <si>
    <t>Mushaharka Shaq. aan J/ahayn (Wasiir+Samafal)</t>
  </si>
  <si>
    <t xml:space="preserve">Gunno Lataliye </t>
  </si>
  <si>
    <t>2.3.1.12</t>
  </si>
  <si>
    <t>Iibsiga qalabka Ciidanka (Booshash</t>
  </si>
  <si>
    <t>Daryeelka Wadooyinka( Road Safety)</t>
  </si>
  <si>
    <t>15A Khasnada Guud Ee Qaranka</t>
  </si>
  <si>
    <t>kh. Diwaagalinta H.Maguurtada ah &amp; guurtada</t>
  </si>
  <si>
    <t>Daaweynta &amp; Caafimaadka Shaq. Dowlada</t>
  </si>
  <si>
    <t>Biilasha Taagan( Dayn Gaadhi)</t>
  </si>
  <si>
    <t>BiilashaTaagan(Direyska+ Kh.Darajada Ciidanka+Boyad)</t>
  </si>
  <si>
    <t>Miisaaniyada M/xigeen</t>
  </si>
  <si>
    <t>Kharashka Nabad-gelyadda(sadex askari).</t>
  </si>
  <si>
    <t>Mushaharka Sh.aan J/ahayn(4g &amp; 1G)</t>
  </si>
  <si>
    <t>Guno la taliye</t>
  </si>
  <si>
    <t>Gunno Maamul wanaag</t>
  </si>
  <si>
    <t>8 Hay'adda Sirdoonka Qaranka</t>
  </si>
  <si>
    <t>Gunnada Xil&amp; Guri</t>
  </si>
  <si>
    <t>Noolka Safarada Gudaha &amp; Badalka Shaq.</t>
  </si>
  <si>
    <t>Noolka Safarada Dibadda</t>
  </si>
  <si>
    <t>Daryeelka Qalabka Isgaadhsiinta</t>
  </si>
  <si>
    <t>Kharashka Markhaatiyada &amp; Dambi-baadhista</t>
  </si>
  <si>
    <t>Kharashka Noolka &amp; Sahaysiinta Maxaabiista</t>
  </si>
  <si>
    <t xml:space="preserve">Gaadiidka &amp; Mishiinada(2Gadhi Saf.ethiopia) </t>
  </si>
  <si>
    <t>8C</t>
  </si>
  <si>
    <t xml:space="preserve">Hayadda Sirdoonka Qaranka </t>
  </si>
  <si>
    <t>8D</t>
  </si>
  <si>
    <t>Jimciyadda Muj.Sooyaal</t>
  </si>
  <si>
    <t>8D Jimciyadda Sooyaal</t>
  </si>
  <si>
    <t>Daabacaada Baasaaboorada</t>
  </si>
  <si>
    <t>Biilasha taagan(Caalami Sparepart)</t>
  </si>
  <si>
    <t>2.2.1.59</t>
  </si>
  <si>
    <t>Kharashka Daabacaada Lacagta &amp; Rarista</t>
  </si>
  <si>
    <t>2.2.1.58</t>
  </si>
  <si>
    <t>Gaadiidka &amp; Mishiinada(Gaadhiga Maxaabiista).</t>
  </si>
  <si>
    <t>Biilasha Taagan( Direyska Ciid.+nalka&amp;Biyaha+another)</t>
  </si>
  <si>
    <t>Qalabka Caafimaadka(Q. Mashiinka Kalyaha)</t>
  </si>
  <si>
    <t>2.3.2.1.a</t>
  </si>
  <si>
    <t>Dhismaha Shaybaadhka Hargeysa</t>
  </si>
  <si>
    <t>Dug. CafimadLascanod</t>
  </si>
  <si>
    <t>Gunno Dhakhaatiireed + lataliye</t>
  </si>
  <si>
    <t>Mashruuca Wadooyinka</t>
  </si>
  <si>
    <t>2.2.1.60</t>
  </si>
  <si>
    <t>Kharashka Diiwangelinta Dadwaynaha</t>
  </si>
  <si>
    <t>2.2.1.61</t>
  </si>
  <si>
    <t>Kharashka Darajada Ciidamada</t>
  </si>
  <si>
    <t>2.3.1.13</t>
  </si>
  <si>
    <t>Iibsiga Qalabka Isgaadhsiinta</t>
  </si>
  <si>
    <t>Iibsiga Qalabka Kaluumaysiga</t>
  </si>
  <si>
    <t>Iibsiga Gaadiidka (Dabdamis)</t>
  </si>
  <si>
    <t>13. W/GAASHANDHIGA</t>
  </si>
  <si>
    <t>Gunno Hawleed +lataliye</t>
  </si>
  <si>
    <t>2.3.2.3</t>
  </si>
  <si>
    <t>Dhis. Jamac.Harg.(Darasatul Islam)</t>
  </si>
  <si>
    <t>Ijaarka Xafiisyadda &amp; Guryaha.(xaf.wasarada)</t>
  </si>
  <si>
    <t>Saanada &amp; Gaadiidka Ciidanka Qaranka</t>
  </si>
  <si>
    <t>Iibsiga Doonyaha Ciidanka ilaalada</t>
  </si>
  <si>
    <t>2.2.1.51a</t>
  </si>
  <si>
    <t>mashruuca Xoolaha</t>
  </si>
  <si>
    <t>4 MAXKAMADA SARE</t>
  </si>
  <si>
    <t>2.2.1.44</t>
  </si>
  <si>
    <t>Kh. Hawsha Iskaashiga Caalamiga ah</t>
  </si>
  <si>
    <t>Martiqaadyada &amp; Munaasibadaha</t>
  </si>
  <si>
    <t>12A. Somaliland National Television</t>
  </si>
  <si>
    <t>Dhismaha Studio TV</t>
  </si>
  <si>
    <t>Biilashataagan ($30,000+$9,000+30mil)</t>
  </si>
  <si>
    <t>Kh.Agaasinka Waxb. Gaarka loo leeyahay</t>
  </si>
  <si>
    <t>Kaalmada Cisbitaalka Dhimirka Sahan(Hargeysa)</t>
  </si>
  <si>
    <t>2.2.1.62</t>
  </si>
  <si>
    <t>2.2.1.63.</t>
  </si>
  <si>
    <t>2.2.1.64</t>
  </si>
  <si>
    <t>Kh. Waxka qabashada Xaalufka</t>
  </si>
  <si>
    <t>2.2.1.65</t>
  </si>
  <si>
    <t>Kharashka La dagaalanka  Budhcad badeedka</t>
  </si>
  <si>
    <t>Dhismaha Madaarada</t>
  </si>
  <si>
    <t>2% Gobolada Bariga</t>
  </si>
  <si>
    <t>Fuel Levy Wadooyinka</t>
  </si>
  <si>
    <t>Biilasha Taagan( Hatco+Total)</t>
  </si>
  <si>
    <t>Kh.Sameynta Miisaaniyadda, Xis. Xidhadda &amp;Maamulka</t>
  </si>
  <si>
    <t>Kh. La dagaalanka Kotarabanka,Kormeerka &amp; Badhista</t>
  </si>
  <si>
    <t xml:space="preserve">Isticmaalka Biyaha Masaajidada Hargaysa  </t>
  </si>
  <si>
    <t>Mashruuca Beeraha</t>
  </si>
  <si>
    <t>Gurmadka Ciidanka</t>
  </si>
  <si>
    <t>BiilTaagan(Total fuel+Somtel+National fuel+Dahabshiil)</t>
  </si>
  <si>
    <t>Mushaharka iyo Gunnada Madaxweynaha</t>
  </si>
  <si>
    <t xml:space="preserve">                                  Mushaharka iyo Gunnada Madax-weyne ku xigeenka </t>
  </si>
  <si>
    <t>Laydhka Berbera &amp; Hargeysa</t>
  </si>
  <si>
    <t>W/Ciyaaraha, Dhalinyaradda &amp; Dalxiiska .</t>
  </si>
  <si>
    <t>W.Warfaafinta &amp; Wacyigelinta &amp; Dhaqanka .</t>
  </si>
  <si>
    <t xml:space="preserve">31 W.Ciyaaraha,Dhallinyaradda &amp; Dalxiiska </t>
  </si>
  <si>
    <t>Daryeelka &amp; Dib-udhiska Dhismayasha</t>
  </si>
  <si>
    <t>Hay'adda Sirdoonka Qaranka</t>
  </si>
  <si>
    <t xml:space="preserve">Qasnada Guud </t>
  </si>
  <si>
    <t>Wasaaradda Shaq. &amp; Arimaha Bulshada</t>
  </si>
  <si>
    <t>Jimciyada Sooyaal</t>
  </si>
  <si>
    <t>Wasaaradda .Dhal. Ciyaaraha &amp; Dalxiiska.</t>
  </si>
  <si>
    <t>Sannadka 2013</t>
  </si>
  <si>
    <t>Kharashka Guud ee Miisaaniyadda Sannadka 2013.</t>
  </si>
  <si>
    <t>Deynta Qaranka+Fuel levy+2% Gob.Barri</t>
  </si>
  <si>
    <t>2.10.1.1</t>
  </si>
  <si>
    <t>2.10.1.2</t>
  </si>
  <si>
    <t xml:space="preserve">Biilasha Taagan(Advance Bank) </t>
  </si>
  <si>
    <t>Xafiiska Xidhiidhka Golayaasha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</si>
</sst>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2">
    <font>
      <sz val="10"/>
      <name val="Times New Roman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14"/>
      <name val="Rockwell"/>
      <family val="1"/>
    </font>
    <font>
      <b/>
      <sz val="12"/>
      <name val="CG Omega"/>
      <family val="2"/>
    </font>
    <font>
      <sz val="12"/>
      <name val="CG Omega"/>
      <family val="2"/>
    </font>
    <font>
      <sz val="8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1"/>
      <name val="CG Omega"/>
      <family val="2"/>
    </font>
    <font>
      <b/>
      <sz val="8"/>
      <name val="CG Omega"/>
      <family val="2"/>
    </font>
    <font>
      <b/>
      <sz val="10"/>
      <name val="CG Omeg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CG Omega"/>
      <family val="2"/>
    </font>
    <font>
      <sz val="10"/>
      <name val="CG Omega"/>
      <family val="2"/>
    </font>
    <font>
      <b/>
      <sz val="9"/>
      <name val="Times New Roman"/>
      <family val="1"/>
    </font>
    <font>
      <sz val="18"/>
      <name val="Arial Narrow"/>
      <family val="2"/>
    </font>
    <font>
      <b/>
      <i/>
      <sz val="10"/>
      <name val="CG Omega"/>
      <family val="2"/>
    </font>
    <font>
      <sz val="14"/>
      <name val="CG Omega"/>
      <family val="2"/>
    </font>
    <font>
      <sz val="16"/>
      <name val="Arial Narrow"/>
      <family val="2"/>
    </font>
    <font>
      <sz val="11"/>
      <name val="Arial Narrow"/>
      <family val="2"/>
    </font>
    <font>
      <b/>
      <sz val="16"/>
      <name val="CG Omega"/>
      <family val="2"/>
    </font>
    <font>
      <sz val="16"/>
      <name val="CG Omega"/>
      <family val="2"/>
    </font>
    <font>
      <b/>
      <sz val="20"/>
      <color indexed="8"/>
      <name val="Arial Narrow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b/>
      <sz val="24"/>
      <name val="Arial Narrow"/>
      <family val="2"/>
    </font>
    <font>
      <b/>
      <sz val="18"/>
      <name val="Arial"/>
      <family val="2"/>
    </font>
    <font>
      <sz val="14"/>
      <name val="Arial Narrow"/>
      <family val="2"/>
    </font>
    <font>
      <sz val="12"/>
      <name val="Times New Roman"/>
      <family val="1"/>
    </font>
    <font>
      <sz val="22"/>
      <name val="Arial Narrow"/>
      <family val="2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8"/>
      <name val="CG Omega"/>
      <family val="2"/>
    </font>
    <font>
      <b/>
      <sz val="18"/>
      <name val="CG Omega"/>
      <family val="2"/>
    </font>
    <font>
      <b/>
      <sz val="20"/>
      <name val="Arial Narrow"/>
      <family val="2"/>
    </font>
    <font>
      <sz val="14"/>
      <name val="Times New Roman"/>
      <family val="1"/>
    </font>
    <font>
      <sz val="22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sz val="20"/>
      <name val="CG Omega"/>
      <family val="2"/>
    </font>
    <font>
      <sz val="20"/>
      <name val="Arial Narrow"/>
      <family val="2"/>
    </font>
    <font>
      <sz val="14"/>
      <color theme="1"/>
      <name val="Times New Roman"/>
      <family val="1"/>
    </font>
    <font>
      <sz val="18"/>
      <name val="Times New Roman"/>
      <family val="1"/>
    </font>
    <font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8"/>
      <color theme="1"/>
      <name val="Arial Narrow"/>
      <family val="2"/>
    </font>
    <font>
      <b/>
      <sz val="16"/>
      <color indexed="12"/>
      <name val="CG Omega"/>
      <family val="2"/>
    </font>
    <font>
      <sz val="16"/>
      <color indexed="12"/>
      <name val="Times New Roman"/>
      <family val="1"/>
    </font>
    <font>
      <sz val="20"/>
      <name val="Times New Roman"/>
      <family val="1"/>
    </font>
    <font>
      <sz val="18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20"/>
      <color indexed="8"/>
      <name val="Arial Narrow"/>
      <family val="2"/>
    </font>
    <font>
      <sz val="16"/>
      <name val="Arial"/>
      <family val="2"/>
    </font>
    <font>
      <b/>
      <sz val="1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sz val="12"/>
      <color theme="1"/>
      <name val="Arial Narrow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16"/>
      <name val="Franklin Gothic Medium"/>
      <family val="2"/>
    </font>
    <font>
      <b/>
      <sz val="16"/>
      <name val="Franklin Gothic Medium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2"/>
      <color theme="1"/>
      <name val="Arial Black"/>
      <family val="2"/>
    </font>
    <font>
      <sz val="9"/>
      <color theme="1"/>
      <name val="Arial Black"/>
      <family val="2"/>
    </font>
    <font>
      <sz val="9"/>
      <name val="Arial Black"/>
      <family val="2"/>
    </font>
    <font>
      <b/>
      <sz val="8"/>
      <color indexed="81"/>
      <name val="Tahoma"/>
      <family val="2"/>
    </font>
    <font>
      <b/>
      <sz val="26"/>
      <color indexed="81"/>
      <name val="Tahoma"/>
      <family val="2"/>
    </font>
    <font>
      <b/>
      <sz val="22"/>
      <color indexed="81"/>
      <name val="Tahoma"/>
      <family val="2"/>
    </font>
    <font>
      <b/>
      <sz val="20"/>
      <color theme="1"/>
      <name val="Arial Narrow"/>
      <family val="2"/>
    </font>
    <font>
      <b/>
      <i/>
      <sz val="20"/>
      <name val="Arial Narrow"/>
      <family val="2"/>
    </font>
    <font>
      <sz val="20"/>
      <color theme="1"/>
      <name val="Arial Narrow"/>
      <family val="2"/>
    </font>
    <font>
      <b/>
      <sz val="24"/>
      <color theme="1"/>
      <name val="Arial Narrow"/>
      <family val="2"/>
    </font>
    <font>
      <b/>
      <sz val="21"/>
      <name val="Arial Narrow"/>
      <family val="2"/>
    </font>
    <font>
      <sz val="21"/>
      <name val="Arial Narrow"/>
      <family val="2"/>
    </font>
    <font>
      <b/>
      <sz val="21"/>
      <color theme="1"/>
      <name val="Arial Narrow"/>
      <family val="2"/>
    </font>
    <font>
      <b/>
      <sz val="20"/>
      <name val="CG Omega"/>
      <family val="2"/>
    </font>
    <font>
      <b/>
      <sz val="20"/>
      <color theme="1"/>
      <name val="CG Omega"/>
      <family val="2"/>
    </font>
    <font>
      <sz val="16"/>
      <color indexed="81"/>
      <name val="Tahoma"/>
      <family val="2"/>
    </font>
    <font>
      <b/>
      <sz val="16"/>
      <color indexed="81"/>
      <name val="Tahoma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23"/>
      </left>
      <right style="hair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01" fillId="0" borderId="0" applyFont="0" applyFill="0" applyBorder="0" applyAlignment="0" applyProtection="0"/>
  </cellStyleXfs>
  <cellXfs count="750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0" fontId="5" fillId="0" borderId="0" xfId="0" applyFont="1"/>
    <xf numFmtId="164" fontId="6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12" fillId="0" borderId="0" xfId="1" applyNumberFormat="1" applyFont="1"/>
    <xf numFmtId="164" fontId="19" fillId="0" borderId="1" xfId="1" applyNumberFormat="1" applyFont="1" applyBorder="1"/>
    <xf numFmtId="164" fontId="23" fillId="0" borderId="0" xfId="1" applyNumberFormat="1" applyFont="1"/>
    <xf numFmtId="164" fontId="28" fillId="0" borderId="1" xfId="1" applyNumberFormat="1" applyFont="1" applyBorder="1"/>
    <xf numFmtId="0" fontId="1" fillId="0" borderId="0" xfId="0" applyFont="1"/>
    <xf numFmtId="3" fontId="12" fillId="0" borderId="0" xfId="0" applyNumberFormat="1" applyFont="1" applyAlignment="1">
      <alignment horizontal="right"/>
    </xf>
    <xf numFmtId="0" fontId="37" fillId="0" borderId="0" xfId="0" applyFont="1"/>
    <xf numFmtId="0" fontId="0" fillId="0" borderId="0" xfId="0" applyBorder="1"/>
    <xf numFmtId="164" fontId="40" fillId="0" borderId="1" xfId="1" applyNumberFormat="1" applyFont="1" applyBorder="1"/>
    <xf numFmtId="164" fontId="41" fillId="0" borderId="1" xfId="1" applyNumberFormat="1" applyFont="1" applyBorder="1"/>
    <xf numFmtId="0" fontId="28" fillId="0" borderId="1" xfId="1" applyNumberFormat="1" applyFont="1" applyBorder="1" applyAlignment="1">
      <alignment horizontal="left"/>
    </xf>
    <xf numFmtId="0" fontId="28" fillId="0" borderId="1" xfId="0" applyFont="1" applyBorder="1"/>
    <xf numFmtId="164" fontId="32" fillId="0" borderId="1" xfId="1" applyNumberFormat="1" applyFont="1" applyBorder="1"/>
    <xf numFmtId="164" fontId="32" fillId="0" borderId="1" xfId="1" applyNumberFormat="1" applyFont="1" applyBorder="1" applyAlignment="1">
      <alignment horizontal="left"/>
    </xf>
    <xf numFmtId="164" fontId="38" fillId="0" borderId="1" xfId="1" applyNumberFormat="1" applyFont="1" applyBorder="1"/>
    <xf numFmtId="0" fontId="48" fillId="0" borderId="1" xfId="1" applyNumberFormat="1" applyFont="1" applyBorder="1" applyAlignment="1">
      <alignment horizontal="left"/>
    </xf>
    <xf numFmtId="0" fontId="49" fillId="0" borderId="1" xfId="1" applyNumberFormat="1" applyFont="1" applyBorder="1" applyAlignment="1">
      <alignment horizontal="left"/>
    </xf>
    <xf numFmtId="164" fontId="38" fillId="0" borderId="3" xfId="1" applyNumberFormat="1" applyFont="1" applyBorder="1"/>
    <xf numFmtId="164" fontId="38" fillId="0" borderId="1" xfId="1" applyNumberFormat="1" applyFont="1" applyBorder="1" applyAlignment="1">
      <alignment horizontal="right"/>
    </xf>
    <xf numFmtId="164" fontId="47" fillId="0" borderId="1" xfId="1" applyNumberFormat="1" applyFont="1" applyBorder="1"/>
    <xf numFmtId="164" fontId="9" fillId="0" borderId="1" xfId="1" applyNumberFormat="1" applyFont="1" applyBorder="1"/>
    <xf numFmtId="0" fontId="0" fillId="0" borderId="1" xfId="0" applyBorder="1"/>
    <xf numFmtId="164" fontId="24" fillId="0" borderId="1" xfId="0" applyNumberFormat="1" applyFont="1" applyBorder="1"/>
    <xf numFmtId="164" fontId="24" fillId="0" borderId="1" xfId="1" applyNumberFormat="1" applyFont="1" applyBorder="1"/>
    <xf numFmtId="164" fontId="32" fillId="0" borderId="1" xfId="1" applyNumberFormat="1" applyFont="1" applyBorder="1" applyAlignment="1"/>
    <xf numFmtId="0" fontId="48" fillId="0" borderId="5" xfId="1" applyNumberFormat="1" applyFont="1" applyBorder="1" applyAlignment="1">
      <alignment horizontal="left"/>
    </xf>
    <xf numFmtId="164" fontId="24" fillId="0" borderId="9" xfId="1" applyNumberFormat="1" applyFont="1" applyBorder="1"/>
    <xf numFmtId="164" fontId="32" fillId="0" borderId="9" xfId="1" applyNumberFormat="1" applyFont="1" applyBorder="1"/>
    <xf numFmtId="0" fontId="41" fillId="0" borderId="1" xfId="1" applyNumberFormat="1" applyFont="1" applyBorder="1" applyAlignment="1">
      <alignment horizontal="center"/>
    </xf>
    <xf numFmtId="164" fontId="41" fillId="0" borderId="1" xfId="1" applyNumberFormat="1" applyFont="1" applyBorder="1" applyAlignment="1">
      <alignment horizontal="left"/>
    </xf>
    <xf numFmtId="0" fontId="41" fillId="0" borderId="1" xfId="0" applyFont="1" applyBorder="1" applyAlignment="1">
      <alignment horizontal="center"/>
    </xf>
    <xf numFmtId="164" fontId="41" fillId="0" borderId="1" xfId="1" applyNumberFormat="1" applyFont="1" applyBorder="1" applyAlignment="1">
      <alignment horizontal="center"/>
    </xf>
    <xf numFmtId="0" fontId="49" fillId="0" borderId="5" xfId="1" applyNumberFormat="1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164" fontId="49" fillId="0" borderId="0" xfId="1" applyNumberFormat="1" applyFont="1" applyFill="1" applyBorder="1"/>
    <xf numFmtId="164" fontId="47" fillId="0" borderId="5" xfId="1" applyNumberFormat="1" applyFont="1" applyBorder="1"/>
    <xf numFmtId="0" fontId="38" fillId="0" borderId="1" xfId="0" applyFont="1" applyBorder="1"/>
    <xf numFmtId="0" fontId="38" fillId="0" borderId="5" xfId="0" applyFont="1" applyBorder="1"/>
    <xf numFmtId="164" fontId="38" fillId="0" borderId="5" xfId="0" applyNumberFormat="1" applyFont="1" applyBorder="1"/>
    <xf numFmtId="0" fontId="53" fillId="0" borderId="9" xfId="0" applyFont="1" applyBorder="1"/>
    <xf numFmtId="0" fontId="39" fillId="0" borderId="9" xfId="0" applyFont="1" applyBorder="1"/>
    <xf numFmtId="164" fontId="39" fillId="0" borderId="9" xfId="0" applyNumberFormat="1" applyFont="1" applyBorder="1"/>
    <xf numFmtId="164" fontId="39" fillId="0" borderId="9" xfId="1" applyNumberFormat="1" applyFont="1" applyBorder="1"/>
    <xf numFmtId="0" fontId="34" fillId="0" borderId="1" xfId="1" applyNumberFormat="1" applyFont="1" applyBorder="1" applyAlignment="1">
      <alignment horizontal="center"/>
    </xf>
    <xf numFmtId="164" fontId="34" fillId="0" borderId="1" xfId="1" applyNumberFormat="1" applyFont="1" applyBorder="1" applyAlignment="1">
      <alignment horizontal="left"/>
    </xf>
    <xf numFmtId="164" fontId="34" fillId="0" borderId="1" xfId="1" applyNumberFormat="1" applyFont="1" applyBorder="1" applyAlignment="1">
      <alignment horizontal="center"/>
    </xf>
    <xf numFmtId="164" fontId="34" fillId="0" borderId="3" xfId="1" applyNumberFormat="1" applyFont="1" applyBorder="1" applyAlignment="1">
      <alignment horizontal="center"/>
    </xf>
    <xf numFmtId="0" fontId="52" fillId="0" borderId="0" xfId="0" applyFont="1"/>
    <xf numFmtId="164" fontId="55" fillId="0" borderId="18" xfId="1" applyNumberFormat="1" applyFont="1" applyBorder="1"/>
    <xf numFmtId="164" fontId="47" fillId="0" borderId="0" xfId="1" applyNumberFormat="1" applyFont="1" applyFill="1" applyBorder="1"/>
    <xf numFmtId="164" fontId="0" fillId="0" borderId="0" xfId="0" applyNumberFormat="1" applyBorder="1"/>
    <xf numFmtId="164" fontId="41" fillId="0" borderId="3" xfId="1" applyNumberFormat="1" applyFont="1" applyBorder="1"/>
    <xf numFmtId="164" fontId="41" fillId="0" borderId="0" xfId="1" applyNumberFormat="1" applyFont="1" applyFill="1" applyBorder="1"/>
    <xf numFmtId="164" fontId="38" fillId="0" borderId="1" xfId="1" quotePrefix="1" applyNumberFormat="1" applyFont="1" applyBorder="1"/>
    <xf numFmtId="3" fontId="38" fillId="0" borderId="1" xfId="0" applyNumberFormat="1" applyFont="1" applyBorder="1"/>
    <xf numFmtId="164" fontId="27" fillId="0" borderId="0" xfId="1" applyNumberFormat="1" applyFont="1" applyFill="1" applyBorder="1"/>
    <xf numFmtId="3" fontId="60" fillId="0" borderId="0" xfId="0" applyNumberFormat="1" applyFont="1" applyBorder="1" applyAlignment="1">
      <alignment horizontal="right" vertical="top" wrapText="1"/>
    </xf>
    <xf numFmtId="0" fontId="58" fillId="0" borderId="0" xfId="0" applyFont="1"/>
    <xf numFmtId="0" fontId="24" fillId="0" borderId="1" xfId="0" applyFont="1" applyBorder="1"/>
    <xf numFmtId="164" fontId="24" fillId="0" borderId="1" xfId="1" applyNumberFormat="1" applyFont="1" applyBorder="1" applyAlignment="1">
      <alignment horizontal="left"/>
    </xf>
    <xf numFmtId="164" fontId="24" fillId="0" borderId="1" xfId="1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29" fillId="0" borderId="0" xfId="0" applyFont="1"/>
    <xf numFmtId="3" fontId="29" fillId="0" borderId="0" xfId="0" applyNumberFormat="1" applyFont="1" applyAlignment="1">
      <alignment horizontal="right"/>
    </xf>
    <xf numFmtId="164" fontId="29" fillId="0" borderId="0" xfId="1" applyNumberFormat="1" applyFont="1"/>
    <xf numFmtId="164" fontId="63" fillId="0" borderId="0" xfId="1" applyNumberFormat="1" applyFont="1" applyAlignment="1">
      <alignment horizontal="left"/>
    </xf>
    <xf numFmtId="164" fontId="63" fillId="0" borderId="0" xfId="1" applyNumberFormat="1" applyFont="1"/>
    <xf numFmtId="164" fontId="63" fillId="0" borderId="0" xfId="1" applyNumberFormat="1" applyFont="1" applyAlignment="1">
      <alignment horizontal="right"/>
    </xf>
    <xf numFmtId="164" fontId="64" fillId="0" borderId="0" xfId="1" applyNumberFormat="1" applyFont="1"/>
    <xf numFmtId="164" fontId="52" fillId="0" borderId="0" xfId="1" applyNumberFormat="1" applyFont="1"/>
    <xf numFmtId="164" fontId="29" fillId="0" borderId="0" xfId="1" applyNumberFormat="1" applyFont="1" applyAlignment="1">
      <alignment horizontal="center"/>
    </xf>
    <xf numFmtId="0" fontId="29" fillId="0" borderId="0" xfId="0" applyFont="1" applyAlignment="1">
      <alignment horizontal="right"/>
    </xf>
    <xf numFmtId="164" fontId="0" fillId="0" borderId="0" xfId="1" applyNumberFormat="1" applyFont="1"/>
    <xf numFmtId="164" fontId="58" fillId="0" borderId="0" xfId="1" applyNumberFormat="1" applyFont="1"/>
    <xf numFmtId="164" fontId="24" fillId="0" borderId="1" xfId="1" applyNumberFormat="1" applyFont="1" applyBorder="1" applyAlignment="1"/>
    <xf numFmtId="0" fontId="24" fillId="0" borderId="1" xfId="0" applyFont="1" applyBorder="1" applyAlignment="1">
      <alignment vertical="center"/>
    </xf>
    <xf numFmtId="164" fontId="24" fillId="0" borderId="1" xfId="1" applyNumberFormat="1" applyFont="1" applyBorder="1" applyAlignment="1">
      <alignment vertical="center"/>
    </xf>
    <xf numFmtId="164" fontId="24" fillId="0" borderId="1" xfId="1" applyNumberFormat="1" applyFont="1" applyFill="1" applyBorder="1" applyAlignment="1">
      <alignment vertical="center"/>
    </xf>
    <xf numFmtId="0" fontId="32" fillId="0" borderId="1" xfId="1" applyNumberFormat="1" applyFont="1" applyBorder="1" applyAlignment="1">
      <alignment horizontal="center" vertical="center"/>
    </xf>
    <xf numFmtId="164" fontId="32" fillId="0" borderId="1" xfId="1" applyNumberFormat="1" applyFont="1" applyBorder="1" applyAlignment="1">
      <alignment horizontal="left" vertical="center"/>
    </xf>
    <xf numFmtId="164" fontId="32" fillId="0" borderId="1" xfId="1" applyNumberFormat="1" applyFont="1" applyBorder="1" applyAlignment="1">
      <alignment horizontal="center" vertical="center"/>
    </xf>
    <xf numFmtId="164" fontId="32" fillId="0" borderId="3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1" xfId="1" applyNumberFormat="1" applyFont="1" applyBorder="1" applyAlignment="1">
      <alignment horizontal="left" vertical="center"/>
    </xf>
    <xf numFmtId="164" fontId="24" fillId="0" borderId="3" xfId="1" applyNumberFormat="1" applyFont="1" applyBorder="1" applyAlignment="1">
      <alignment vertical="center"/>
    </xf>
    <xf numFmtId="164" fontId="24" fillId="0" borderId="3" xfId="1" applyNumberFormat="1" applyFont="1" applyFill="1" applyBorder="1" applyAlignment="1">
      <alignment vertical="center"/>
    </xf>
    <xf numFmtId="164" fontId="24" fillId="0" borderId="1" xfId="1" applyNumberFormat="1" applyFont="1" applyBorder="1" applyAlignment="1">
      <alignment horizontal="right" vertical="center"/>
    </xf>
    <xf numFmtId="0" fontId="66" fillId="0" borderId="1" xfId="1" applyNumberFormat="1" applyFont="1" applyBorder="1" applyAlignment="1">
      <alignment horizontal="left" vertical="center"/>
    </xf>
    <xf numFmtId="164" fontId="33" fillId="0" borderId="1" xfId="1" applyNumberFormat="1" applyFont="1" applyBorder="1" applyAlignment="1">
      <alignment vertical="center"/>
    </xf>
    <xf numFmtId="164" fontId="66" fillId="0" borderId="1" xfId="1" applyNumberFormat="1" applyFont="1" applyBorder="1" applyAlignment="1">
      <alignment vertical="center"/>
    </xf>
    <xf numFmtId="0" fontId="24" fillId="0" borderId="5" xfId="1" applyNumberFormat="1" applyFont="1" applyBorder="1" applyAlignment="1">
      <alignment horizontal="left" vertical="center"/>
    </xf>
    <xf numFmtId="0" fontId="66" fillId="0" borderId="5" xfId="1" applyNumberFormat="1" applyFont="1" applyBorder="1" applyAlignment="1">
      <alignment horizontal="left" vertical="center"/>
    </xf>
    <xf numFmtId="164" fontId="66" fillId="0" borderId="5" xfId="1" applyNumberFormat="1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164" fontId="24" fillId="0" borderId="1" xfId="1" quotePrefix="1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164" fontId="24" fillId="0" borderId="5" xfId="0" applyNumberFormat="1" applyFont="1" applyBorder="1" applyAlignment="1">
      <alignment vertical="center"/>
    </xf>
    <xf numFmtId="164" fontId="24" fillId="0" borderId="5" xfId="0" applyNumberFormat="1" applyFont="1" applyFill="1" applyBorder="1" applyAlignment="1">
      <alignment vertical="center"/>
    </xf>
    <xf numFmtId="164" fontId="24" fillId="0" borderId="5" xfId="1" applyNumberFormat="1" applyFont="1" applyBorder="1" applyAlignment="1">
      <alignment vertical="center"/>
    </xf>
    <xf numFmtId="0" fontId="58" fillId="0" borderId="9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164" fontId="32" fillId="0" borderId="9" xfId="0" applyNumberFormat="1" applyFont="1" applyBorder="1" applyAlignment="1">
      <alignment vertical="center"/>
    </xf>
    <xf numFmtId="164" fontId="18" fillId="0" borderId="0" xfId="1" applyNumberFormat="1" applyFont="1" applyBorder="1" applyAlignment="1">
      <alignment horizontal="center" vertical="center"/>
    </xf>
    <xf numFmtId="0" fontId="37" fillId="0" borderId="0" xfId="0" applyFont="1" applyBorder="1"/>
    <xf numFmtId="164" fontId="19" fillId="0" borderId="0" xfId="1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164" fontId="19" fillId="0" borderId="0" xfId="1" applyNumberFormat="1" applyFont="1" applyBorder="1" applyAlignment="1">
      <alignment horizontal="right" vertical="center"/>
    </xf>
    <xf numFmtId="164" fontId="68" fillId="0" borderId="0" xfId="1" applyNumberFormat="1" applyFont="1" applyBorder="1" applyAlignment="1">
      <alignment vertical="center"/>
    </xf>
    <xf numFmtId="164" fontId="67" fillId="0" borderId="0" xfId="1" applyNumberFormat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19" fillId="0" borderId="0" xfId="1" quotePrefix="1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1" applyNumberFormat="1" applyFont="1" applyBorder="1" applyAlignment="1">
      <alignment vertical="center"/>
    </xf>
    <xf numFmtId="0" fontId="45" fillId="0" borderId="1" xfId="1" applyNumberFormat="1" applyFont="1" applyBorder="1" applyAlignment="1">
      <alignment horizontal="center" vertical="center"/>
    </xf>
    <xf numFmtId="164" fontId="45" fillId="0" borderId="1" xfId="1" applyNumberFormat="1" applyFont="1" applyBorder="1" applyAlignment="1">
      <alignment horizontal="left" vertical="center"/>
    </xf>
    <xf numFmtId="0" fontId="56" fillId="0" borderId="1" xfId="1" applyNumberFormat="1" applyFont="1" applyBorder="1" applyAlignment="1">
      <alignment horizontal="left" vertical="center"/>
    </xf>
    <xf numFmtId="164" fontId="56" fillId="0" borderId="1" xfId="1" applyNumberFormat="1" applyFont="1" applyBorder="1" applyAlignment="1">
      <alignment vertical="center"/>
    </xf>
    <xf numFmtId="0" fontId="69" fillId="0" borderId="1" xfId="1" applyNumberFormat="1" applyFont="1" applyBorder="1" applyAlignment="1">
      <alignment horizontal="left" vertical="center"/>
    </xf>
    <xf numFmtId="0" fontId="56" fillId="0" borderId="5" xfId="1" applyNumberFormat="1" applyFont="1" applyBorder="1" applyAlignment="1">
      <alignment horizontal="left" vertical="center"/>
    </xf>
    <xf numFmtId="0" fontId="69" fillId="0" borderId="5" xfId="1" applyNumberFormat="1" applyFont="1" applyBorder="1" applyAlignment="1">
      <alignment horizontal="left" vertical="center"/>
    </xf>
    <xf numFmtId="164" fontId="69" fillId="0" borderId="5" xfId="1" applyNumberFormat="1" applyFont="1" applyBorder="1" applyAlignment="1">
      <alignment vertical="center"/>
    </xf>
    <xf numFmtId="0" fontId="56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vertical="center"/>
    </xf>
    <xf numFmtId="0" fontId="56" fillId="0" borderId="5" xfId="0" applyFont="1" applyBorder="1" applyAlignment="1">
      <alignment horizontal="left" vertical="center"/>
    </xf>
    <xf numFmtId="0" fontId="56" fillId="0" borderId="5" xfId="0" applyFont="1" applyBorder="1" applyAlignment="1">
      <alignment vertical="center"/>
    </xf>
    <xf numFmtId="0" fontId="65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164" fontId="56" fillId="0" borderId="3" xfId="1" applyNumberFormat="1" applyFont="1" applyBorder="1" applyAlignment="1">
      <alignment horizontal="left" vertical="center"/>
    </xf>
    <xf numFmtId="164" fontId="31" fillId="0" borderId="3" xfId="1" applyNumberFormat="1" applyFont="1" applyBorder="1" applyAlignment="1">
      <alignment horizontal="left" vertical="center"/>
    </xf>
    <xf numFmtId="164" fontId="69" fillId="0" borderId="4" xfId="1" applyNumberFormat="1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56" fillId="0" borderId="4" xfId="0" applyFont="1" applyBorder="1" applyAlignment="1">
      <alignment horizontal="right" vertical="center"/>
    </xf>
    <xf numFmtId="164" fontId="45" fillId="0" borderId="3" xfId="1" applyNumberFormat="1" applyFont="1" applyBorder="1" applyAlignment="1">
      <alignment horizontal="left" vertical="center"/>
    </xf>
    <xf numFmtId="0" fontId="37" fillId="0" borderId="0" xfId="0" applyFont="1" applyAlignment="1">
      <alignment horizontal="left"/>
    </xf>
    <xf numFmtId="0" fontId="13" fillId="0" borderId="0" xfId="0" applyFont="1" applyFill="1"/>
    <xf numFmtId="0" fontId="18" fillId="0" borderId="1" xfId="1" applyNumberFormat="1" applyFont="1" applyBorder="1" applyAlignment="1">
      <alignment horizontal="center" vertical="center"/>
    </xf>
    <xf numFmtId="164" fontId="18" fillId="0" borderId="1" xfId="1" applyNumberFormat="1" applyFont="1" applyBorder="1" applyAlignment="1">
      <alignment horizontal="left" vertical="center"/>
    </xf>
    <xf numFmtId="0" fontId="19" fillId="0" borderId="1" xfId="1" applyNumberFormat="1" applyFont="1" applyBorder="1" applyAlignment="1">
      <alignment horizontal="left" vertical="center"/>
    </xf>
    <xf numFmtId="164" fontId="19" fillId="0" borderId="1" xfId="1" applyNumberFormat="1" applyFont="1" applyBorder="1" applyAlignment="1">
      <alignment vertical="center"/>
    </xf>
    <xf numFmtId="0" fontId="67" fillId="0" borderId="1" xfId="1" applyNumberFormat="1" applyFont="1" applyBorder="1" applyAlignment="1">
      <alignment horizontal="left" vertical="center"/>
    </xf>
    <xf numFmtId="0" fontId="19" fillId="0" borderId="5" xfId="1" applyNumberFormat="1" applyFont="1" applyBorder="1" applyAlignment="1">
      <alignment horizontal="left" vertical="center"/>
    </xf>
    <xf numFmtId="0" fontId="67" fillId="0" borderId="5" xfId="1" applyNumberFormat="1" applyFont="1" applyBorder="1" applyAlignment="1">
      <alignment horizontal="left" vertical="center"/>
    </xf>
    <xf numFmtId="164" fontId="67" fillId="0" borderId="5" xfId="1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164" fontId="19" fillId="0" borderId="1" xfId="1" applyNumberFormat="1" applyFont="1" applyBorder="1" applyAlignment="1">
      <alignment horizontal="left" vertical="center"/>
    </xf>
    <xf numFmtId="164" fontId="67" fillId="0" borderId="1" xfId="1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164" fontId="19" fillId="0" borderId="1" xfId="1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9" fillId="0" borderId="1" xfId="1" applyNumberFormat="1" applyFont="1" applyBorder="1" applyAlignment="1">
      <alignment horizontal="right"/>
    </xf>
    <xf numFmtId="164" fontId="19" fillId="0" borderId="1" xfId="1" applyNumberFormat="1" applyFont="1" applyBorder="1" applyAlignment="1">
      <alignment horizontal="left"/>
    </xf>
    <xf numFmtId="164" fontId="18" fillId="0" borderId="1" xfId="1" applyNumberFormat="1" applyFont="1" applyBorder="1" applyAlignment="1">
      <alignment horizontal="center" vertical="center"/>
    </xf>
    <xf numFmtId="164" fontId="19" fillId="0" borderId="5" xfId="1" applyNumberFormat="1" applyFont="1" applyBorder="1" applyAlignment="1">
      <alignment horizontal="left" vertical="center"/>
    </xf>
    <xf numFmtId="164" fontId="71" fillId="0" borderId="9" xfId="1" applyNumberFormat="1" applyFont="1" applyBorder="1" applyAlignment="1">
      <alignment vertical="center"/>
    </xf>
    <xf numFmtId="164" fontId="37" fillId="0" borderId="0" xfId="1" applyNumberFormat="1" applyFont="1"/>
    <xf numFmtId="0" fontId="65" fillId="0" borderId="0" xfId="0" applyFont="1"/>
    <xf numFmtId="164" fontId="65" fillId="0" borderId="0" xfId="0" applyNumberFormat="1" applyFont="1"/>
    <xf numFmtId="0" fontId="58" fillId="0" borderId="0" xfId="0" applyFont="1" applyAlignment="1">
      <alignment wrapText="1"/>
    </xf>
    <xf numFmtId="0" fontId="58" fillId="0" borderId="0" xfId="0" applyFont="1" applyFill="1" applyBorder="1"/>
    <xf numFmtId="164" fontId="58" fillId="0" borderId="1" xfId="1" applyNumberFormat="1" applyFont="1" applyBorder="1"/>
    <xf numFmtId="164" fontId="61" fillId="0" borderId="1" xfId="1" applyNumberFormat="1" applyFont="1" applyBorder="1"/>
    <xf numFmtId="164" fontId="24" fillId="3" borderId="1" xfId="1" applyNumberFormat="1" applyFont="1" applyFill="1" applyBorder="1" applyAlignment="1">
      <alignment horizontal="left"/>
    </xf>
    <xf numFmtId="164" fontId="24" fillId="3" borderId="1" xfId="1" applyNumberFormat="1" applyFont="1" applyFill="1" applyBorder="1"/>
    <xf numFmtId="164" fontId="24" fillId="0" borderId="9" xfId="1" applyNumberFormat="1" applyFont="1" applyBorder="1" applyAlignment="1">
      <alignment horizontal="left"/>
    </xf>
    <xf numFmtId="0" fontId="62" fillId="0" borderId="1" xfId="0" applyFont="1" applyBorder="1" applyAlignment="1">
      <alignment horizontal="left" vertical="top"/>
    </xf>
    <xf numFmtId="0" fontId="62" fillId="0" borderId="1" xfId="0" applyFont="1" applyBorder="1" applyAlignment="1">
      <alignment vertical="top"/>
    </xf>
    <xf numFmtId="164" fontId="58" fillId="0" borderId="1" xfId="1" applyNumberFormat="1" applyFont="1" applyBorder="1" applyAlignment="1"/>
    <xf numFmtId="0" fontId="58" fillId="0" borderId="0" xfId="0" applyFont="1" applyAlignment="1"/>
    <xf numFmtId="0" fontId="71" fillId="0" borderId="0" xfId="0" applyFont="1" applyAlignment="1">
      <alignment horizontal="center"/>
    </xf>
    <xf numFmtId="164" fontId="74" fillId="0" borderId="0" xfId="1" applyNumberFormat="1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47" xfId="0" applyFont="1" applyBorder="1" applyAlignment="1">
      <alignment horizontal="left"/>
    </xf>
    <xf numFmtId="164" fontId="72" fillId="0" borderId="0" xfId="1" applyNumberFormat="1" applyFont="1" applyBorder="1" applyAlignment="1">
      <alignment horizontal="left"/>
    </xf>
    <xf numFmtId="0" fontId="72" fillId="0" borderId="45" xfId="0" applyFont="1" applyBorder="1" applyAlignment="1">
      <alignment horizontal="left"/>
    </xf>
    <xf numFmtId="0" fontId="74" fillId="0" borderId="45" xfId="0" applyFont="1" applyBorder="1" applyAlignment="1">
      <alignment horizontal="left"/>
    </xf>
    <xf numFmtId="0" fontId="72" fillId="0" borderId="46" xfId="0" applyFont="1" applyBorder="1" applyAlignment="1">
      <alignment horizontal="left"/>
    </xf>
    <xf numFmtId="0" fontId="0" fillId="0" borderId="0" xfId="0" applyAlignment="1">
      <alignment horizontal="left"/>
    </xf>
    <xf numFmtId="0" fontId="74" fillId="0" borderId="41" xfId="0" applyFont="1" applyBorder="1" applyAlignment="1">
      <alignment horizontal="left"/>
    </xf>
    <xf numFmtId="164" fontId="74" fillId="0" borderId="47" xfId="1" applyNumberFormat="1" applyFont="1" applyBorder="1" applyAlignment="1">
      <alignment horizontal="left"/>
    </xf>
    <xf numFmtId="164" fontId="45" fillId="0" borderId="1" xfId="1" applyNumberFormat="1" applyFont="1" applyBorder="1" applyAlignment="1">
      <alignment vertical="center"/>
    </xf>
    <xf numFmtId="164" fontId="70" fillId="0" borderId="49" xfId="1" applyNumberFormat="1" applyFont="1" applyFill="1" applyBorder="1" applyAlignment="1">
      <alignment vertical="center"/>
    </xf>
    <xf numFmtId="164" fontId="70" fillId="0" borderId="45" xfId="1" applyNumberFormat="1" applyFont="1" applyFill="1" applyBorder="1" applyAlignment="1">
      <alignment vertical="center"/>
    </xf>
    <xf numFmtId="0" fontId="77" fillId="0" borderId="1" xfId="0" applyFont="1" applyBorder="1"/>
    <xf numFmtId="164" fontId="77" fillId="0" borderId="1" xfId="1" applyNumberFormat="1" applyFont="1" applyBorder="1"/>
    <xf numFmtId="0" fontId="78" fillId="0" borderId="1" xfId="0" applyFont="1" applyBorder="1"/>
    <xf numFmtId="164" fontId="78" fillId="0" borderId="1" xfId="1" applyNumberFormat="1" applyFont="1" applyBorder="1"/>
    <xf numFmtId="0" fontId="79" fillId="0" borderId="1" xfId="0" applyFont="1" applyBorder="1"/>
    <xf numFmtId="0" fontId="80" fillId="0" borderId="1" xfId="0" applyFont="1" applyBorder="1" applyAlignment="1"/>
    <xf numFmtId="0" fontId="51" fillId="0" borderId="0" xfId="0" applyFont="1"/>
    <xf numFmtId="0" fontId="80" fillId="0" borderId="1" xfId="0" applyFont="1" applyBorder="1"/>
    <xf numFmtId="164" fontId="80" fillId="0" borderId="1" xfId="1" applyNumberFormat="1" applyFont="1" applyBorder="1"/>
    <xf numFmtId="164" fontId="79" fillId="0" borderId="1" xfId="1" applyNumberFormat="1" applyFont="1" applyBorder="1"/>
    <xf numFmtId="0" fontId="80" fillId="0" borderId="1" xfId="0" applyFont="1" applyBorder="1" applyAlignment="1">
      <alignment horizontal="left"/>
    </xf>
    <xf numFmtId="164" fontId="80" fillId="0" borderId="1" xfId="1" applyNumberFormat="1" applyFont="1" applyBorder="1" applyAlignment="1">
      <alignment horizontal="center"/>
    </xf>
    <xf numFmtId="0" fontId="79" fillId="0" borderId="1" xfId="0" applyFont="1" applyBorder="1" applyAlignment="1">
      <alignment horizontal="left"/>
    </xf>
    <xf numFmtId="164" fontId="79" fillId="0" borderId="1" xfId="1" applyNumberFormat="1" applyFont="1" applyBorder="1" applyAlignment="1">
      <alignment horizontal="left"/>
    </xf>
    <xf numFmtId="3" fontId="79" fillId="0" borderId="1" xfId="0" applyNumberFormat="1" applyFont="1" applyBorder="1" applyAlignment="1">
      <alignment horizontal="right" vertical="center"/>
    </xf>
    <xf numFmtId="164" fontId="80" fillId="0" borderId="1" xfId="1" applyNumberFormat="1" applyFont="1" applyBorder="1" applyAlignment="1">
      <alignment horizontal="left"/>
    </xf>
    <xf numFmtId="0" fontId="82" fillId="0" borderId="1" xfId="4" applyFont="1" applyBorder="1" applyAlignment="1">
      <alignment horizontal="left" vertical="center"/>
    </xf>
    <xf numFmtId="0" fontId="82" fillId="0" borderId="1" xfId="4" applyFont="1" applyBorder="1" applyAlignment="1">
      <alignment horizontal="center" vertical="center"/>
    </xf>
    <xf numFmtId="0" fontId="82" fillId="0" borderId="1" xfId="4" applyFont="1" applyBorder="1" applyAlignment="1">
      <alignment vertical="center"/>
    </xf>
    <xf numFmtId="0" fontId="81" fillId="0" borderId="1" xfId="4" applyFont="1" applyBorder="1" applyAlignment="1">
      <alignment vertical="center"/>
    </xf>
    <xf numFmtId="3" fontId="81" fillId="0" borderId="1" xfId="4" applyNumberFormat="1" applyFont="1" applyBorder="1" applyAlignment="1">
      <alignment vertical="center"/>
    </xf>
    <xf numFmtId="164" fontId="81" fillId="0" borderId="1" xfId="1" applyNumberFormat="1" applyFont="1" applyBorder="1" applyAlignment="1">
      <alignment vertical="center"/>
    </xf>
    <xf numFmtId="37" fontId="81" fillId="0" borderId="1" xfId="4" applyNumberFormat="1" applyFont="1" applyBorder="1" applyAlignment="1">
      <alignment vertical="center"/>
    </xf>
    <xf numFmtId="0" fontId="81" fillId="0" borderId="1" xfId="4" applyFont="1" applyFill="1" applyBorder="1" applyAlignment="1">
      <alignment vertical="center"/>
    </xf>
    <xf numFmtId="0" fontId="76" fillId="0" borderId="1" xfId="4" applyFont="1" applyFill="1" applyBorder="1" applyAlignment="1">
      <alignment vertical="center"/>
    </xf>
    <xf numFmtId="3" fontId="76" fillId="0" borderId="1" xfId="4" applyNumberFormat="1" applyFont="1" applyBorder="1" applyAlignment="1">
      <alignment vertical="center"/>
    </xf>
    <xf numFmtId="37" fontId="76" fillId="0" borderId="1" xfId="4" applyNumberFormat="1" applyFont="1" applyBorder="1" applyAlignment="1">
      <alignment vertical="center"/>
    </xf>
    <xf numFmtId="0" fontId="82" fillId="0" borderId="1" xfId="4" applyFont="1" applyFill="1" applyBorder="1" applyAlignment="1">
      <alignment vertical="center"/>
    </xf>
    <xf numFmtId="0" fontId="76" fillId="0" borderId="1" xfId="4" applyFont="1" applyBorder="1" applyAlignment="1">
      <alignment vertical="center"/>
    </xf>
    <xf numFmtId="0" fontId="83" fillId="0" borderId="1" xfId="4" applyFont="1" applyBorder="1" applyAlignment="1">
      <alignment vertical="center"/>
    </xf>
    <xf numFmtId="0" fontId="76" fillId="2" borderId="1" xfId="4" applyFont="1" applyFill="1" applyBorder="1" applyAlignment="1">
      <alignment vertical="center"/>
    </xf>
    <xf numFmtId="3" fontId="76" fillId="2" borderId="1" xfId="4" applyNumberFormat="1" applyFont="1" applyFill="1" applyBorder="1" applyAlignment="1">
      <alignment vertical="center"/>
    </xf>
    <xf numFmtId="43" fontId="81" fillId="0" borderId="1" xfId="1" applyFont="1" applyBorder="1" applyAlignment="1">
      <alignment vertical="center"/>
    </xf>
    <xf numFmtId="164" fontId="81" fillId="2" borderId="1" xfId="1" applyNumberFormat="1" applyFont="1" applyFill="1" applyBorder="1"/>
    <xf numFmtId="0" fontId="84" fillId="0" borderId="1" xfId="0" applyFont="1" applyBorder="1" applyAlignment="1">
      <alignment horizontal="center"/>
    </xf>
    <xf numFmtId="0" fontId="84" fillId="0" borderId="1" xfId="0" applyFont="1" applyFill="1" applyBorder="1" applyAlignment="1">
      <alignment horizontal="center"/>
    </xf>
    <xf numFmtId="0" fontId="84" fillId="2" borderId="1" xfId="0" applyFont="1" applyFill="1" applyBorder="1" applyAlignment="1">
      <alignment horizontal="center"/>
    </xf>
    <xf numFmtId="0" fontId="81" fillId="2" borderId="1" xfId="0" applyFont="1" applyFill="1" applyBorder="1"/>
    <xf numFmtId="164" fontId="81" fillId="2" borderId="1" xfId="1" applyNumberFormat="1" applyFont="1" applyFill="1" applyBorder="1" applyAlignment="1">
      <alignment horizontal="left"/>
    </xf>
    <xf numFmtId="164" fontId="81" fillId="2" borderId="1" xfId="0" applyNumberFormat="1" applyFont="1" applyFill="1" applyBorder="1"/>
    <xf numFmtId="3" fontId="81" fillId="0" borderId="1" xfId="0" applyNumberFormat="1" applyFont="1" applyBorder="1"/>
    <xf numFmtId="0" fontId="85" fillId="2" borderId="1" xfId="0" applyFont="1" applyFill="1" applyBorder="1"/>
    <xf numFmtId="164" fontId="85" fillId="2" borderId="1" xfId="1" applyNumberFormat="1" applyFont="1" applyFill="1" applyBorder="1"/>
    <xf numFmtId="164" fontId="85" fillId="2" borderId="1" xfId="0" applyNumberFormat="1" applyFont="1" applyFill="1" applyBorder="1"/>
    <xf numFmtId="0" fontId="86" fillId="0" borderId="0" xfId="0" applyFont="1"/>
    <xf numFmtId="0" fontId="53" fillId="0" borderId="1" xfId="0" applyFont="1" applyBorder="1"/>
    <xf numFmtId="41" fontId="53" fillId="0" borderId="1" xfId="0" applyNumberFormat="1" applyFont="1" applyBorder="1"/>
    <xf numFmtId="0" fontId="73" fillId="0" borderId="1" xfId="0" applyFont="1" applyBorder="1"/>
    <xf numFmtId="41" fontId="73" fillId="0" borderId="1" xfId="0" applyNumberFormat="1" applyFont="1" applyBorder="1"/>
    <xf numFmtId="0" fontId="37" fillId="0" borderId="1" xfId="0" applyFont="1" applyBorder="1"/>
    <xf numFmtId="41" fontId="37" fillId="0" borderId="1" xfId="0" applyNumberFormat="1" applyFont="1" applyBorder="1"/>
    <xf numFmtId="164" fontId="37" fillId="0" borderId="1" xfId="0" applyNumberFormat="1" applyFont="1" applyBorder="1"/>
    <xf numFmtId="43" fontId="37" fillId="0" borderId="1" xfId="0" applyNumberFormat="1" applyFont="1" applyBorder="1"/>
    <xf numFmtId="164" fontId="37" fillId="0" borderId="1" xfId="1" applyNumberFormat="1" applyFont="1" applyBorder="1"/>
    <xf numFmtId="164" fontId="65" fillId="0" borderId="0" xfId="1" applyNumberFormat="1" applyFont="1"/>
    <xf numFmtId="164" fontId="45" fillId="0" borderId="1" xfId="1" applyNumberFormat="1" applyFont="1" applyBorder="1"/>
    <xf numFmtId="0" fontId="45" fillId="0" borderId="1" xfId="0" applyFont="1" applyBorder="1"/>
    <xf numFmtId="0" fontId="56" fillId="0" borderId="1" xfId="0" applyFont="1" applyBorder="1"/>
    <xf numFmtId="164" fontId="45" fillId="0" borderId="1" xfId="1" applyNumberFormat="1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56" fillId="0" borderId="0" xfId="0" applyFont="1"/>
    <xf numFmtId="164" fontId="45" fillId="0" borderId="1" xfId="1" applyNumberFormat="1" applyFont="1" applyFill="1" applyBorder="1" applyAlignment="1">
      <alignment horizontal="center"/>
    </xf>
    <xf numFmtId="164" fontId="56" fillId="0" borderId="1" xfId="1" applyNumberFormat="1" applyFont="1" applyBorder="1"/>
    <xf numFmtId="164" fontId="56" fillId="0" borderId="1" xfId="1" applyNumberFormat="1" applyFont="1" applyBorder="1" applyAlignment="1">
      <alignment horizontal="right"/>
    </xf>
    <xf numFmtId="164" fontId="45" fillId="0" borderId="1" xfId="1" applyNumberFormat="1" applyFont="1" applyBorder="1" applyAlignment="1">
      <alignment horizontal="right"/>
    </xf>
    <xf numFmtId="164" fontId="45" fillId="0" borderId="1" xfId="0" applyNumberFormat="1" applyFont="1" applyBorder="1"/>
    <xf numFmtId="3" fontId="45" fillId="0" borderId="1" xfId="0" applyNumberFormat="1" applyFont="1" applyBorder="1"/>
    <xf numFmtId="3" fontId="56" fillId="0" borderId="1" xfId="0" applyNumberFormat="1" applyFont="1" applyBorder="1"/>
    <xf numFmtId="164" fontId="56" fillId="0" borderId="5" xfId="1" applyNumberFormat="1" applyFont="1" applyBorder="1"/>
    <xf numFmtId="164" fontId="45" fillId="0" borderId="5" xfId="1" applyNumberFormat="1" applyFont="1" applyBorder="1"/>
    <xf numFmtId="164" fontId="56" fillId="0" borderId="0" xfId="1" applyNumberFormat="1" applyFont="1"/>
    <xf numFmtId="164" fontId="45" fillId="0" borderId="9" xfId="1" applyNumberFormat="1" applyFont="1" applyBorder="1"/>
    <xf numFmtId="164" fontId="56" fillId="2" borderId="1" xfId="1" applyNumberFormat="1" applyFont="1" applyFill="1" applyBorder="1"/>
    <xf numFmtId="164" fontId="56" fillId="0" borderId="1" xfId="1" applyNumberFormat="1" applyFont="1" applyFill="1" applyBorder="1" applyAlignment="1">
      <alignment horizontal="left"/>
    </xf>
    <xf numFmtId="164" fontId="56" fillId="0" borderId="1" xfId="1" applyNumberFormat="1" applyFont="1" applyFill="1" applyBorder="1"/>
    <xf numFmtId="0" fontId="45" fillId="0" borderId="1" xfId="0" applyFont="1" applyBorder="1" applyAlignment="1">
      <alignment horizontal="left"/>
    </xf>
    <xf numFmtId="3" fontId="56" fillId="0" borderId="1" xfId="1" applyNumberFormat="1" applyFont="1" applyBorder="1"/>
    <xf numFmtId="3" fontId="56" fillId="0" borderId="0" xfId="0" applyNumberFormat="1" applyFont="1"/>
    <xf numFmtId="3" fontId="56" fillId="0" borderId="9" xfId="1" applyNumberFormat="1" applyFont="1" applyBorder="1"/>
    <xf numFmtId="3" fontId="56" fillId="0" borderId="10" xfId="1" applyNumberFormat="1" applyFont="1" applyBorder="1"/>
    <xf numFmtId="3" fontId="56" fillId="0" borderId="14" xfId="1" applyNumberFormat="1" applyFont="1" applyBorder="1"/>
    <xf numFmtId="3" fontId="45" fillId="0" borderId="1" xfId="1" applyNumberFormat="1" applyFont="1" applyBorder="1"/>
    <xf numFmtId="164" fontId="45" fillId="0" borderId="1" xfId="1" applyNumberFormat="1" applyFont="1" applyFill="1" applyBorder="1"/>
    <xf numFmtId="164" fontId="56" fillId="0" borderId="0" xfId="0" applyNumberFormat="1" applyFont="1"/>
    <xf numFmtId="164" fontId="56" fillId="0" borderId="7" xfId="1" applyNumberFormat="1" applyFont="1" applyFill="1" applyBorder="1"/>
    <xf numFmtId="164" fontId="56" fillId="0" borderId="1" xfId="1" applyNumberFormat="1" applyFont="1" applyFill="1" applyBorder="1" applyAlignment="1">
      <alignment vertical="center"/>
    </xf>
    <xf numFmtId="164" fontId="56" fillId="0" borderId="1" xfId="1" applyNumberFormat="1" applyFont="1" applyBorder="1" applyAlignment="1">
      <alignment horizontal="left" vertical="center"/>
    </xf>
    <xf numFmtId="3" fontId="56" fillId="0" borderId="1" xfId="0" applyNumberFormat="1" applyFont="1" applyBorder="1" applyAlignment="1">
      <alignment horizontal="right"/>
    </xf>
    <xf numFmtId="164" fontId="45" fillId="0" borderId="9" xfId="1" applyNumberFormat="1" applyFont="1" applyBorder="1" applyAlignment="1">
      <alignment horizontal="right"/>
    </xf>
    <xf numFmtId="164" fontId="45" fillId="0" borderId="5" xfId="1" applyNumberFormat="1" applyFont="1" applyBorder="1" applyAlignment="1">
      <alignment horizontal="right"/>
    </xf>
    <xf numFmtId="41" fontId="56" fillId="0" borderId="1" xfId="0" applyNumberFormat="1" applyFont="1" applyFill="1" applyBorder="1"/>
    <xf numFmtId="43" fontId="56" fillId="0" borderId="1" xfId="1" applyFont="1" applyBorder="1" applyAlignment="1">
      <alignment horizontal="right"/>
    </xf>
    <xf numFmtId="0" fontId="45" fillId="0" borderId="34" xfId="0" applyFont="1" applyBorder="1" applyAlignment="1">
      <alignment wrapText="1"/>
    </xf>
    <xf numFmtId="0" fontId="45" fillId="0" borderId="35" xfId="0" applyFont="1" applyBorder="1" applyAlignment="1">
      <alignment horizontal="left" wrapText="1"/>
    </xf>
    <xf numFmtId="0" fontId="45" fillId="0" borderId="35" xfId="0" applyFont="1" applyBorder="1" applyAlignment="1">
      <alignment wrapText="1"/>
    </xf>
    <xf numFmtId="164" fontId="45" fillId="0" borderId="43" xfId="1" applyNumberFormat="1" applyFont="1" applyBorder="1" applyAlignment="1">
      <alignment wrapText="1"/>
    </xf>
    <xf numFmtId="164" fontId="56" fillId="0" borderId="39" xfId="1" applyNumberFormat="1" applyFont="1" applyBorder="1" applyAlignment="1">
      <alignment wrapText="1"/>
    </xf>
    <xf numFmtId="164" fontId="45" fillId="0" borderId="36" xfId="1" applyNumberFormat="1" applyFont="1" applyBorder="1" applyAlignment="1">
      <alignment horizontal="left" wrapText="1"/>
    </xf>
    <xf numFmtId="164" fontId="45" fillId="0" borderId="1" xfId="1" applyNumberFormat="1" applyFont="1" applyBorder="1" applyAlignment="1">
      <alignment horizontal="left" wrapText="1"/>
    </xf>
    <xf numFmtId="0" fontId="45" fillId="0" borderId="1" xfId="0" applyFont="1" applyBorder="1" applyAlignment="1">
      <alignment horizontal="center" wrapText="1"/>
    </xf>
    <xf numFmtId="164" fontId="45" fillId="0" borderId="3" xfId="1" applyNumberFormat="1" applyFont="1" applyBorder="1" applyAlignment="1">
      <alignment horizontal="center" wrapText="1"/>
    </xf>
    <xf numFmtId="164" fontId="45" fillId="0" borderId="36" xfId="1" applyNumberFormat="1" applyFont="1" applyBorder="1" applyAlignment="1">
      <alignment wrapText="1"/>
    </xf>
    <xf numFmtId="164" fontId="45" fillId="0" borderId="1" xfId="1" applyNumberFormat="1" applyFont="1" applyBorder="1" applyAlignment="1">
      <alignment wrapText="1"/>
    </xf>
    <xf numFmtId="0" fontId="45" fillId="0" borderId="1" xfId="0" applyFont="1" applyBorder="1" applyAlignment="1">
      <alignment wrapText="1"/>
    </xf>
    <xf numFmtId="164" fontId="45" fillId="0" borderId="3" xfId="1" applyNumberFormat="1" applyFont="1" applyBorder="1" applyAlignment="1">
      <alignment wrapText="1"/>
    </xf>
    <xf numFmtId="164" fontId="56" fillId="0" borderId="37" xfId="1" applyNumberFormat="1" applyFont="1" applyBorder="1" applyAlignment="1">
      <alignment wrapText="1"/>
    </xf>
    <xf numFmtId="164" fontId="56" fillId="0" borderId="1" xfId="0" applyNumberFormat="1" applyFont="1" applyBorder="1" applyAlignment="1">
      <alignment wrapText="1"/>
    </xf>
    <xf numFmtId="164" fontId="56" fillId="0" borderId="1" xfId="1" applyNumberFormat="1" applyFont="1" applyBorder="1" applyAlignment="1">
      <alignment wrapText="1"/>
    </xf>
    <xf numFmtId="164" fontId="56" fillId="0" borderId="3" xfId="1" applyNumberFormat="1" applyFont="1" applyBorder="1" applyAlignment="1">
      <alignment wrapText="1"/>
    </xf>
    <xf numFmtId="164" fontId="56" fillId="0" borderId="36" xfId="1" applyNumberFormat="1" applyFont="1" applyBorder="1" applyAlignment="1">
      <alignment wrapText="1"/>
    </xf>
    <xf numFmtId="164" fontId="45" fillId="0" borderId="9" xfId="1" applyNumberFormat="1" applyFont="1" applyBorder="1" applyAlignment="1">
      <alignment wrapText="1"/>
    </xf>
    <xf numFmtId="164" fontId="45" fillId="0" borderId="5" xfId="1" applyNumberFormat="1" applyFont="1" applyBorder="1" applyAlignment="1">
      <alignment wrapText="1"/>
    </xf>
    <xf numFmtId="164" fontId="56" fillId="0" borderId="26" xfId="1" applyNumberFormat="1" applyFont="1" applyBorder="1" applyAlignment="1">
      <alignment wrapText="1"/>
    </xf>
    <xf numFmtId="164" fontId="56" fillId="0" borderId="27" xfId="1" applyNumberFormat="1" applyFont="1" applyBorder="1" applyAlignment="1">
      <alignment wrapText="1"/>
    </xf>
    <xf numFmtId="3" fontId="56" fillId="0" borderId="1" xfId="1" applyNumberFormat="1" applyFont="1" applyBorder="1" applyAlignment="1">
      <alignment wrapText="1"/>
    </xf>
    <xf numFmtId="164" fontId="56" fillId="0" borderId="0" xfId="1" applyNumberFormat="1" applyFont="1" applyBorder="1" applyAlignment="1">
      <alignment wrapText="1"/>
    </xf>
    <xf numFmtId="0" fontId="56" fillId="0" borderId="0" xfId="0" applyFont="1" applyBorder="1" applyAlignment="1">
      <alignment wrapText="1"/>
    </xf>
    <xf numFmtId="3" fontId="56" fillId="0" borderId="1" xfId="0" applyNumberFormat="1" applyFont="1" applyBorder="1" applyAlignment="1">
      <alignment wrapText="1"/>
    </xf>
    <xf numFmtId="3" fontId="45" fillId="0" borderId="1" xfId="0" applyNumberFormat="1" applyFont="1" applyBorder="1" applyAlignment="1">
      <alignment wrapText="1"/>
    </xf>
    <xf numFmtId="164" fontId="56" fillId="0" borderId="38" xfId="1" applyNumberFormat="1" applyFont="1" applyBorder="1" applyAlignment="1">
      <alignment wrapText="1"/>
    </xf>
    <xf numFmtId="0" fontId="56" fillId="0" borderId="32" xfId="0" applyFont="1" applyBorder="1" applyAlignment="1">
      <alignment wrapText="1"/>
    </xf>
    <xf numFmtId="3" fontId="45" fillId="0" borderId="9" xfId="0" applyNumberFormat="1" applyFont="1" applyBorder="1" applyAlignment="1">
      <alignment wrapText="1"/>
    </xf>
    <xf numFmtId="164" fontId="56" fillId="2" borderId="1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64" fontId="56" fillId="0" borderId="3" xfId="1" applyNumberFormat="1" applyFont="1" applyFill="1" applyBorder="1"/>
    <xf numFmtId="0" fontId="56" fillId="0" borderId="1" xfId="0" applyFont="1" applyFill="1" applyBorder="1"/>
    <xf numFmtId="164" fontId="56" fillId="0" borderId="1" xfId="0" applyNumberFormat="1" applyFont="1" applyFill="1" applyBorder="1"/>
    <xf numFmtId="164" fontId="55" fillId="0" borderId="3" xfId="1" applyNumberFormat="1" applyFont="1" applyFill="1" applyBorder="1"/>
    <xf numFmtId="164" fontId="55" fillId="0" borderId="1" xfId="0" applyNumberFormat="1" applyFont="1" applyFill="1" applyBorder="1"/>
    <xf numFmtId="164" fontId="55" fillId="0" borderId="1" xfId="1" applyNumberFormat="1" applyFont="1" applyFill="1" applyBorder="1"/>
    <xf numFmtId="164" fontId="50" fillId="0" borderId="1" xfId="1" applyNumberFormat="1" applyFont="1" applyBorder="1" applyAlignment="1">
      <alignment vertical="center"/>
    </xf>
    <xf numFmtId="164" fontId="56" fillId="0" borderId="1" xfId="1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164" fontId="46" fillId="0" borderId="1" xfId="1" applyNumberFormat="1" applyFont="1" applyBorder="1" applyAlignment="1">
      <alignment vertical="center"/>
    </xf>
    <xf numFmtId="164" fontId="56" fillId="0" borderId="1" xfId="1" applyNumberFormat="1" applyFont="1" applyFill="1" applyBorder="1" applyAlignment="1">
      <alignment horizontal="left" vertical="center"/>
    </xf>
    <xf numFmtId="164" fontId="0" fillId="0" borderId="0" xfId="1" applyNumberFormat="1" applyFont="1" applyAlignment="1">
      <alignment vertical="center"/>
    </xf>
    <xf numFmtId="164" fontId="45" fillId="0" borderId="1" xfId="1" applyNumberFormat="1" applyFont="1" applyFill="1" applyBorder="1" applyAlignment="1">
      <alignment vertical="center"/>
    </xf>
    <xf numFmtId="164" fontId="45" fillId="0" borderId="1" xfId="1" applyNumberFormat="1" applyFont="1" applyFill="1" applyBorder="1" applyAlignment="1">
      <alignment horizontal="left" vertical="center"/>
    </xf>
    <xf numFmtId="0" fontId="56" fillId="0" borderId="1" xfId="0" applyFont="1" applyFill="1" applyBorder="1" applyAlignment="1">
      <alignment vertical="center"/>
    </xf>
    <xf numFmtId="164" fontId="56" fillId="0" borderId="1" xfId="0" applyNumberFormat="1" applyFont="1" applyFill="1" applyBorder="1" applyAlignment="1">
      <alignment vertical="center"/>
    </xf>
    <xf numFmtId="0" fontId="90" fillId="0" borderId="1" xfId="0" applyFont="1" applyFill="1" applyBorder="1" applyAlignment="1">
      <alignment horizontal="left" vertical="center" wrapText="1"/>
    </xf>
    <xf numFmtId="0" fontId="90" fillId="0" borderId="1" xfId="0" applyFont="1" applyFill="1" applyBorder="1" applyAlignment="1">
      <alignment vertical="center" wrapText="1"/>
    </xf>
    <xf numFmtId="164" fontId="56" fillId="0" borderId="5" xfId="1" applyNumberFormat="1" applyFont="1" applyFill="1" applyBorder="1" applyAlignment="1">
      <alignment horizontal="left" vertical="center"/>
    </xf>
    <xf numFmtId="164" fontId="45" fillId="0" borderId="5" xfId="1" applyNumberFormat="1" applyFont="1" applyFill="1" applyBorder="1" applyAlignment="1">
      <alignment vertical="center"/>
    </xf>
    <xf numFmtId="164" fontId="56" fillId="0" borderId="5" xfId="1" applyNumberFormat="1" applyFont="1" applyFill="1" applyBorder="1" applyAlignment="1">
      <alignment vertical="center"/>
    </xf>
    <xf numFmtId="164" fontId="56" fillId="0" borderId="9" xfId="1" applyNumberFormat="1" applyFont="1" applyFill="1" applyBorder="1" applyAlignment="1">
      <alignment horizontal="left" vertical="center"/>
    </xf>
    <xf numFmtId="164" fontId="45" fillId="0" borderId="9" xfId="1" applyNumberFormat="1" applyFont="1" applyFill="1" applyBorder="1" applyAlignment="1">
      <alignment vertical="center"/>
    </xf>
    <xf numFmtId="164" fontId="56" fillId="0" borderId="9" xfId="1" applyNumberFormat="1" applyFont="1" applyFill="1" applyBorder="1" applyAlignment="1">
      <alignment vertical="center"/>
    </xf>
    <xf numFmtId="3" fontId="56" fillId="0" borderId="1" xfId="1" applyNumberFormat="1" applyFont="1" applyFill="1" applyBorder="1"/>
    <xf numFmtId="3" fontId="56" fillId="0" borderId="0" xfId="0" applyNumberFormat="1" applyFont="1" applyFill="1"/>
    <xf numFmtId="3" fontId="56" fillId="0" borderId="1" xfId="0" applyNumberFormat="1" applyFont="1" applyFill="1" applyBorder="1"/>
    <xf numFmtId="164" fontId="45" fillId="0" borderId="1" xfId="0" applyNumberFormat="1" applyFont="1" applyFill="1" applyBorder="1"/>
    <xf numFmtId="164" fontId="56" fillId="0" borderId="1" xfId="1" applyNumberFormat="1" applyFont="1" applyFill="1" applyBorder="1" applyAlignment="1">
      <alignment horizontal="right"/>
    </xf>
    <xf numFmtId="164" fontId="56" fillId="0" borderId="49" xfId="1" applyNumberFormat="1" applyFont="1" applyFill="1" applyBorder="1" applyAlignment="1">
      <alignment horizontal="right"/>
    </xf>
    <xf numFmtId="164" fontId="56" fillId="0" borderId="5" xfId="1" applyNumberFormat="1" applyFont="1" applyBorder="1" applyAlignment="1">
      <alignment horizontal="right"/>
    </xf>
    <xf numFmtId="164" fontId="32" fillId="0" borderId="1" xfId="1" applyNumberFormat="1" applyFont="1" applyBorder="1" applyAlignment="1">
      <alignment vertical="center"/>
    </xf>
    <xf numFmtId="164" fontId="29" fillId="0" borderId="0" xfId="1" applyNumberFormat="1" applyFont="1" applyAlignment="1"/>
    <xf numFmtId="164" fontId="32" fillId="0" borderId="9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9" fontId="72" fillId="0" borderId="41" xfId="5" applyFont="1" applyBorder="1" applyAlignment="1">
      <alignment horizontal="center"/>
    </xf>
    <xf numFmtId="9" fontId="74" fillId="0" borderId="48" xfId="5" applyFont="1" applyBorder="1" applyAlignment="1">
      <alignment horizontal="center"/>
    </xf>
    <xf numFmtId="164" fontId="45" fillId="0" borderId="1" xfId="1" applyNumberFormat="1" applyFont="1" applyFill="1" applyBorder="1" applyAlignment="1">
      <alignment horizontal="left"/>
    </xf>
    <xf numFmtId="164" fontId="45" fillId="0" borderId="1" xfId="1" applyNumberFormat="1" applyFont="1" applyFill="1" applyBorder="1" applyAlignment="1"/>
    <xf numFmtId="0" fontId="45" fillId="0" borderId="1" xfId="0" applyFont="1" applyFill="1" applyBorder="1"/>
    <xf numFmtId="0" fontId="56" fillId="0" borderId="40" xfId="0" applyFont="1" applyFill="1" applyBorder="1"/>
    <xf numFmtId="0" fontId="56" fillId="0" borderId="3" xfId="0" applyFont="1" applyFill="1" applyBorder="1"/>
    <xf numFmtId="0" fontId="24" fillId="0" borderId="0" xfId="0" applyFont="1" applyFill="1" applyBorder="1"/>
    <xf numFmtId="0" fontId="24" fillId="0" borderId="1" xfId="0" applyFont="1" applyFill="1" applyBorder="1"/>
    <xf numFmtId="0" fontId="45" fillId="0" borderId="1" xfId="0" applyFont="1" applyFill="1" applyBorder="1" applyAlignment="1">
      <alignment horizontal="center"/>
    </xf>
    <xf numFmtId="0" fontId="56" fillId="0" borderId="0" xfId="0" applyFont="1" applyFill="1"/>
    <xf numFmtId="0" fontId="24" fillId="0" borderId="0" xfId="0" applyFont="1" applyFill="1"/>
    <xf numFmtId="164" fontId="56" fillId="0" borderId="1" xfId="0" applyNumberFormat="1" applyFont="1" applyFill="1" applyBorder="1" applyAlignment="1">
      <alignment horizontal="right"/>
    </xf>
    <xf numFmtId="164" fontId="45" fillId="0" borderId="1" xfId="1" applyNumberFormat="1" applyFont="1" applyFill="1" applyBorder="1" applyAlignment="1">
      <alignment horizontal="right"/>
    </xf>
    <xf numFmtId="3" fontId="45" fillId="0" borderId="1" xfId="0" applyNumberFormat="1" applyFont="1" applyFill="1" applyBorder="1"/>
    <xf numFmtId="43" fontId="56" fillId="0" borderId="1" xfId="1" applyFont="1" applyFill="1" applyBorder="1"/>
    <xf numFmtId="164" fontId="45" fillId="0" borderId="1" xfId="1" applyNumberFormat="1" applyFont="1" applyFill="1" applyBorder="1" applyAlignment="1">
      <alignment vertical="top"/>
    </xf>
    <xf numFmtId="0" fontId="0" fillId="0" borderId="0" xfId="0" applyFill="1"/>
    <xf numFmtId="164" fontId="14" fillId="0" borderId="0" xfId="1" applyNumberFormat="1" applyFont="1" applyFill="1"/>
    <xf numFmtId="0" fontId="5" fillId="0" borderId="0" xfId="0" applyFont="1" applyFill="1"/>
    <xf numFmtId="164" fontId="56" fillId="0" borderId="5" xfId="1" applyNumberFormat="1" applyFont="1" applyFill="1" applyBorder="1"/>
    <xf numFmtId="0" fontId="56" fillId="0" borderId="0" xfId="0" applyFont="1" applyFill="1" applyBorder="1"/>
    <xf numFmtId="164" fontId="56" fillId="0" borderId="0" xfId="0" applyNumberFormat="1" applyFont="1" applyFill="1" applyBorder="1"/>
    <xf numFmtId="164" fontId="56" fillId="0" borderId="5" xfId="0" applyNumberFormat="1" applyFont="1" applyFill="1" applyBorder="1"/>
    <xf numFmtId="164" fontId="45" fillId="0" borderId="5" xfId="0" applyNumberFormat="1" applyFont="1" applyFill="1" applyBorder="1"/>
    <xf numFmtId="164" fontId="45" fillId="0" borderId="5" xfId="1" applyNumberFormat="1" applyFont="1" applyFill="1" applyBorder="1"/>
    <xf numFmtId="164" fontId="56" fillId="0" borderId="0" xfId="1" applyNumberFormat="1" applyFont="1" applyFill="1"/>
    <xf numFmtId="164" fontId="4" fillId="0" borderId="0" xfId="1" applyNumberFormat="1" applyFont="1" applyFill="1"/>
    <xf numFmtId="164" fontId="57" fillId="0" borderId="0" xfId="1" applyNumberFormat="1" applyFont="1" applyFill="1"/>
    <xf numFmtId="0" fontId="58" fillId="0" borderId="0" xfId="0" applyFont="1" applyFill="1"/>
    <xf numFmtId="164" fontId="13" fillId="0" borderId="0" xfId="1" applyNumberFormat="1" applyFont="1" applyFill="1"/>
    <xf numFmtId="164" fontId="56" fillId="0" borderId="1" xfId="1" applyNumberFormat="1" applyFont="1" applyFill="1" applyBorder="1" applyAlignment="1">
      <alignment horizontal="center"/>
    </xf>
    <xf numFmtId="164" fontId="56" fillId="0" borderId="3" xfId="1" applyNumberFormat="1" applyFont="1" applyFill="1" applyBorder="1" applyAlignment="1">
      <alignment horizontal="center"/>
    </xf>
    <xf numFmtId="164" fontId="45" fillId="0" borderId="3" xfId="1" applyNumberFormat="1" applyFont="1" applyFill="1" applyBorder="1"/>
    <xf numFmtId="164" fontId="56" fillId="0" borderId="3" xfId="0" applyNumberFormat="1" applyFont="1" applyFill="1" applyBorder="1"/>
    <xf numFmtId="164" fontId="56" fillId="0" borderId="9" xfId="1" applyNumberFormat="1" applyFont="1" applyFill="1" applyBorder="1"/>
    <xf numFmtId="164" fontId="45" fillId="0" borderId="9" xfId="1" applyNumberFormat="1" applyFont="1" applyFill="1" applyBorder="1"/>
    <xf numFmtId="164" fontId="56" fillId="0" borderId="28" xfId="1" applyNumberFormat="1" applyFont="1" applyFill="1" applyBorder="1"/>
    <xf numFmtId="164" fontId="22" fillId="0" borderId="0" xfId="1" applyNumberFormat="1" applyFont="1" applyFill="1"/>
    <xf numFmtId="164" fontId="22" fillId="0" borderId="0" xfId="1" applyNumberFormat="1" applyFont="1" applyFill="1" applyBorder="1"/>
    <xf numFmtId="164" fontId="43" fillId="0" borderId="0" xfId="1" applyNumberFormat="1" applyFont="1" applyFill="1"/>
    <xf numFmtId="164" fontId="10" fillId="0" borderId="0" xfId="1" applyNumberFormat="1" applyFont="1" applyFill="1" applyBorder="1"/>
    <xf numFmtId="164" fontId="16" fillId="0" borderId="0" xfId="1" applyNumberFormat="1" applyFont="1" applyFill="1" applyBorder="1"/>
    <xf numFmtId="164" fontId="12" fillId="0" borderId="0" xfId="1" applyNumberFormat="1" applyFont="1" applyFill="1"/>
    <xf numFmtId="164" fontId="45" fillId="0" borderId="0" xfId="1" applyNumberFormat="1" applyFont="1" applyFill="1" applyBorder="1"/>
    <xf numFmtId="164" fontId="56" fillId="0" borderId="32" xfId="1" applyNumberFormat="1" applyFont="1" applyFill="1" applyBorder="1"/>
    <xf numFmtId="164" fontId="30" fillId="0" borderId="0" xfId="1" applyNumberFormat="1" applyFont="1" applyFill="1"/>
    <xf numFmtId="164" fontId="30" fillId="0" borderId="0" xfId="1" applyNumberFormat="1" applyFont="1" applyFill="1" applyBorder="1"/>
    <xf numFmtId="164" fontId="43" fillId="0" borderId="0" xfId="1" applyNumberFormat="1" applyFont="1" applyFill="1" applyBorder="1"/>
    <xf numFmtId="164" fontId="10" fillId="0" borderId="0" xfId="1" applyNumberFormat="1" applyFont="1" applyFill="1"/>
    <xf numFmtId="164" fontId="10" fillId="0" borderId="0" xfId="1" applyNumberFormat="1" applyFont="1" applyFill="1" applyAlignment="1">
      <alignment horizontal="center"/>
    </xf>
    <xf numFmtId="164" fontId="56" fillId="0" borderId="1" xfId="1" applyNumberFormat="1" applyFont="1" applyFill="1" applyBorder="1" applyAlignment="1"/>
    <xf numFmtId="0" fontId="90" fillId="0" borderId="1" xfId="0" applyFont="1" applyFill="1" applyBorder="1" applyAlignment="1">
      <alignment horizontal="left" vertical="top" wrapText="1"/>
    </xf>
    <xf numFmtId="0" fontId="90" fillId="0" borderId="1" xfId="0" applyFont="1" applyFill="1" applyBorder="1" applyAlignment="1">
      <alignment vertical="top" wrapText="1"/>
    </xf>
    <xf numFmtId="164" fontId="56" fillId="0" borderId="5" xfId="1" applyNumberFormat="1" applyFont="1" applyFill="1" applyBorder="1" applyAlignment="1">
      <alignment horizontal="left"/>
    </xf>
    <xf numFmtId="164" fontId="56" fillId="0" borderId="0" xfId="1" applyNumberFormat="1" applyFont="1" applyFill="1" applyBorder="1"/>
    <xf numFmtId="164" fontId="11" fillId="0" borderId="0" xfId="1" applyNumberFormat="1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164" fontId="56" fillId="0" borderId="9" xfId="1" applyNumberFormat="1" applyFont="1" applyFill="1" applyBorder="1" applyAlignment="1">
      <alignment horizontal="left"/>
    </xf>
    <xf numFmtId="0" fontId="11" fillId="0" borderId="0" xfId="0" applyFont="1" applyFill="1"/>
    <xf numFmtId="0" fontId="91" fillId="0" borderId="1" xfId="0" applyFont="1" applyFill="1" applyBorder="1" applyAlignment="1">
      <alignment horizontal="center"/>
    </xf>
    <xf numFmtId="0" fontId="46" fillId="0" borderId="0" xfId="0" applyFont="1" applyFill="1"/>
    <xf numFmtId="164" fontId="56" fillId="0" borderId="1" xfId="2" applyNumberFormat="1" applyFont="1" applyFill="1" applyBorder="1" applyAlignment="1">
      <alignment horizontal="left" vertical="center"/>
    </xf>
    <xf numFmtId="164" fontId="56" fillId="0" borderId="1" xfId="2" applyNumberFormat="1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43" fontId="65" fillId="0" borderId="0" xfId="1" applyFont="1" applyFill="1" applyAlignment="1">
      <alignment vertical="center"/>
    </xf>
    <xf numFmtId="164" fontId="65" fillId="0" borderId="0" xfId="1" applyNumberFormat="1" applyFont="1" applyFill="1" applyAlignment="1">
      <alignment vertical="center"/>
    </xf>
    <xf numFmtId="0" fontId="1" fillId="0" borderId="0" xfId="0" applyFont="1" applyFill="1"/>
    <xf numFmtId="164" fontId="45" fillId="0" borderId="1" xfId="2" applyNumberFormat="1" applyFont="1" applyFill="1" applyBorder="1" applyAlignment="1">
      <alignment horizontal="left" vertical="center"/>
    </xf>
    <xf numFmtId="164" fontId="45" fillId="0" borderId="1" xfId="2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164" fontId="45" fillId="0" borderId="1" xfId="2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vertical="center"/>
    </xf>
    <xf numFmtId="0" fontId="45" fillId="0" borderId="1" xfId="0" applyFont="1" applyFill="1" applyBorder="1" applyAlignment="1">
      <alignment horizontal="left"/>
    </xf>
    <xf numFmtId="0" fontId="30" fillId="0" borderId="0" xfId="0" applyFont="1" applyFill="1"/>
    <xf numFmtId="164" fontId="29" fillId="0" borderId="0" xfId="1" applyNumberFormat="1" applyFont="1" applyFill="1"/>
    <xf numFmtId="0" fontId="56" fillId="0" borderId="1" xfId="0" applyFont="1" applyFill="1" applyBorder="1" applyAlignment="1">
      <alignment horizontal="center"/>
    </xf>
    <xf numFmtId="0" fontId="29" fillId="0" borderId="0" xfId="0" applyFont="1" applyFill="1"/>
    <xf numFmtId="164" fontId="30" fillId="0" borderId="0" xfId="0" applyNumberFormat="1" applyFont="1" applyFill="1"/>
    <xf numFmtId="0" fontId="17" fillId="0" borderId="0" xfId="0" applyFont="1" applyFill="1"/>
    <xf numFmtId="0" fontId="13" fillId="0" borderId="0" xfId="0" applyFont="1" applyFill="1" applyBorder="1"/>
    <xf numFmtId="164" fontId="35" fillId="0" borderId="0" xfId="0" applyNumberFormat="1" applyFont="1" applyFill="1" applyBorder="1"/>
    <xf numFmtId="164" fontId="35" fillId="0" borderId="0" xfId="1" applyNumberFormat="1" applyFont="1" applyFill="1" applyBorder="1"/>
    <xf numFmtId="0" fontId="25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164" fontId="13" fillId="0" borderId="0" xfId="0" applyNumberFormat="1" applyFont="1" applyFill="1"/>
    <xf numFmtId="3" fontId="56" fillId="0" borderId="14" xfId="0" applyNumberFormat="1" applyFont="1" applyFill="1" applyBorder="1"/>
    <xf numFmtId="3" fontId="56" fillId="0" borderId="9" xfId="1" applyNumberFormat="1" applyFont="1" applyFill="1" applyBorder="1"/>
    <xf numFmtId="3" fontId="56" fillId="0" borderId="10" xfId="1" applyNumberFormat="1" applyFont="1" applyFill="1" applyBorder="1"/>
    <xf numFmtId="3" fontId="56" fillId="0" borderId="14" xfId="1" applyNumberFormat="1" applyFont="1" applyFill="1" applyBorder="1"/>
    <xf numFmtId="3" fontId="45" fillId="0" borderId="1" xfId="1" applyNumberFormat="1" applyFont="1" applyFill="1" applyBorder="1"/>
    <xf numFmtId="3" fontId="13" fillId="0" borderId="0" xfId="0" applyNumberFormat="1" applyFont="1" applyFill="1"/>
    <xf numFmtId="164" fontId="0" fillId="0" borderId="0" xfId="1" applyNumberFormat="1" applyFont="1" applyFill="1"/>
    <xf numFmtId="0" fontId="45" fillId="0" borderId="5" xfId="0" applyFont="1" applyFill="1" applyBorder="1" applyAlignment="1">
      <alignment horizontal="center"/>
    </xf>
    <xf numFmtId="0" fontId="0" fillId="0" borderId="0" xfId="0" applyFill="1" applyBorder="1"/>
    <xf numFmtId="164" fontId="45" fillId="0" borderId="3" xfId="0" applyNumberFormat="1" applyFont="1" applyFill="1" applyBorder="1"/>
    <xf numFmtId="0" fontId="37" fillId="0" borderId="0" xfId="0" applyFont="1" applyFill="1"/>
    <xf numFmtId="164" fontId="56" fillId="0" borderId="0" xfId="0" applyNumberFormat="1" applyFont="1" applyFill="1"/>
    <xf numFmtId="3" fontId="56" fillId="0" borderId="1" xfId="0" applyNumberFormat="1" applyFont="1" applyFill="1" applyBorder="1" applyAlignment="1"/>
    <xf numFmtId="43" fontId="56" fillId="0" borderId="1" xfId="1" applyFont="1" applyFill="1" applyBorder="1" applyAlignment="1"/>
    <xf numFmtId="164" fontId="56" fillId="0" borderId="1" xfId="0" applyNumberFormat="1" applyFont="1" applyFill="1" applyBorder="1" applyAlignment="1"/>
    <xf numFmtId="0" fontId="56" fillId="0" borderId="32" xfId="0" applyFont="1" applyFill="1" applyBorder="1"/>
    <xf numFmtId="164" fontId="45" fillId="0" borderId="9" xfId="0" applyNumberFormat="1" applyFont="1" applyFill="1" applyBorder="1"/>
    <xf numFmtId="0" fontId="9" fillId="0" borderId="0" xfId="0" applyFont="1" applyFill="1"/>
    <xf numFmtId="0" fontId="45" fillId="0" borderId="3" xfId="0" applyFont="1" applyFill="1" applyBorder="1" applyAlignment="1">
      <alignment horizontal="center"/>
    </xf>
    <xf numFmtId="0" fontId="43" fillId="0" borderId="0" xfId="0" applyFont="1" applyFill="1"/>
    <xf numFmtId="0" fontId="45" fillId="0" borderId="3" xfId="0" applyFont="1" applyFill="1" applyBorder="1"/>
    <xf numFmtId="3" fontId="56" fillId="0" borderId="1" xfId="1" applyNumberFormat="1" applyFont="1" applyFill="1" applyBorder="1" applyAlignment="1">
      <alignment horizontal="right"/>
    </xf>
    <xf numFmtId="3" fontId="56" fillId="0" borderId="3" xfId="1" applyNumberFormat="1" applyFont="1" applyFill="1" applyBorder="1" applyAlignment="1">
      <alignment horizontal="right"/>
    </xf>
    <xf numFmtId="3" fontId="56" fillId="0" borderId="3" xfId="0" applyNumberFormat="1" applyFont="1" applyFill="1" applyBorder="1"/>
    <xf numFmtId="43" fontId="56" fillId="0" borderId="3" xfId="1" applyFont="1" applyFill="1" applyBorder="1"/>
    <xf numFmtId="43" fontId="56" fillId="0" borderId="0" xfId="1" applyFont="1" applyFill="1"/>
    <xf numFmtId="3" fontId="45" fillId="0" borderId="3" xfId="0" applyNumberFormat="1" applyFont="1" applyFill="1" applyBorder="1"/>
    <xf numFmtId="43" fontId="45" fillId="0" borderId="3" xfId="1" applyFont="1" applyFill="1" applyBorder="1"/>
    <xf numFmtId="0" fontId="21" fillId="0" borderId="0" xfId="0" applyFont="1" applyFill="1"/>
    <xf numFmtId="164" fontId="9" fillId="0" borderId="0" xfId="1" applyNumberFormat="1" applyFont="1" applyFill="1"/>
    <xf numFmtId="0" fontId="97" fillId="0" borderId="1" xfId="0" applyFont="1" applyFill="1" applyBorder="1"/>
    <xf numFmtId="0" fontId="97" fillId="0" borderId="1" xfId="0" applyFont="1" applyFill="1" applyBorder="1" applyAlignment="1">
      <alignment horizontal="left"/>
    </xf>
    <xf numFmtId="0" fontId="55" fillId="0" borderId="1" xfId="0" applyFont="1" applyFill="1" applyBorder="1"/>
    <xf numFmtId="0" fontId="65" fillId="0" borderId="0" xfId="0" applyFont="1" applyFill="1"/>
    <xf numFmtId="0" fontId="97" fillId="0" borderId="1" xfId="0" applyFont="1" applyFill="1" applyBorder="1" applyAlignment="1">
      <alignment horizontal="center"/>
    </xf>
    <xf numFmtId="164" fontId="97" fillId="0" borderId="1" xfId="1" applyNumberFormat="1" applyFont="1" applyFill="1" applyBorder="1"/>
    <xf numFmtId="0" fontId="55" fillId="0" borderId="5" xfId="0" applyFont="1" applyFill="1" applyBorder="1"/>
    <xf numFmtId="164" fontId="55" fillId="0" borderId="0" xfId="1" applyNumberFormat="1" applyFont="1" applyFill="1"/>
    <xf numFmtId="164" fontId="55" fillId="0" borderId="9" xfId="1" applyNumberFormat="1" applyFont="1" applyFill="1" applyBorder="1"/>
    <xf numFmtId="164" fontId="97" fillId="0" borderId="9" xfId="1" applyNumberFormat="1" applyFont="1" applyFill="1" applyBorder="1"/>
    <xf numFmtId="0" fontId="55" fillId="0" borderId="0" xfId="0" applyFont="1" applyFill="1"/>
    <xf numFmtId="3" fontId="55" fillId="0" borderId="1" xfId="0" applyNumberFormat="1" applyFont="1" applyFill="1" applyBorder="1"/>
    <xf numFmtId="43" fontId="55" fillId="0" borderId="1" xfId="1" applyFont="1" applyFill="1" applyBorder="1"/>
    <xf numFmtId="164" fontId="97" fillId="0" borderId="1" xfId="0" applyNumberFormat="1" applyFont="1" applyFill="1" applyBorder="1"/>
    <xf numFmtId="3" fontId="55" fillId="0" borderId="1" xfId="1" applyNumberFormat="1" applyFont="1" applyFill="1" applyBorder="1"/>
    <xf numFmtId="3" fontId="97" fillId="0" borderId="1" xfId="0" applyNumberFormat="1" applyFont="1" applyFill="1" applyBorder="1"/>
    <xf numFmtId="164" fontId="65" fillId="0" borderId="0" xfId="0" applyNumberFormat="1" applyFont="1" applyFill="1"/>
    <xf numFmtId="164" fontId="65" fillId="0" borderId="0" xfId="1" applyNumberFormat="1" applyFont="1" applyFill="1"/>
    <xf numFmtId="0" fontId="29" fillId="0" borderId="1" xfId="0" applyFont="1" applyFill="1" applyBorder="1"/>
    <xf numFmtId="0" fontId="29" fillId="0" borderId="1" xfId="0" applyFont="1" applyFill="1" applyBorder="1" applyAlignment="1">
      <alignment horizontal="left"/>
    </xf>
    <xf numFmtId="164" fontId="29" fillId="0" borderId="1" xfId="1" applyNumberFormat="1" applyFont="1" applyFill="1" applyBorder="1"/>
    <xf numFmtId="164" fontId="29" fillId="0" borderId="1" xfId="1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horizontal="center"/>
    </xf>
    <xf numFmtId="164" fontId="29" fillId="0" borderId="1" xfId="1" applyNumberFormat="1" applyFont="1" applyFill="1" applyBorder="1" applyAlignment="1">
      <alignment horizontal="center"/>
    </xf>
    <xf numFmtId="164" fontId="30" fillId="0" borderId="1" xfId="1" applyNumberFormat="1" applyFont="1" applyFill="1" applyBorder="1"/>
    <xf numFmtId="164" fontId="30" fillId="0" borderId="1" xfId="0" applyNumberFormat="1" applyFont="1" applyFill="1" applyBorder="1"/>
    <xf numFmtId="164" fontId="29" fillId="0" borderId="9" xfId="1" applyNumberFormat="1" applyFont="1" applyFill="1" applyBorder="1"/>
    <xf numFmtId="164" fontId="29" fillId="0" borderId="5" xfId="1" applyNumberFormat="1" applyFont="1" applyFill="1" applyBorder="1"/>
    <xf numFmtId="164" fontId="30" fillId="0" borderId="26" xfId="1" applyNumberFormat="1" applyFont="1" applyFill="1" applyBorder="1"/>
    <xf numFmtId="164" fontId="30" fillId="0" borderId="27" xfId="1" applyNumberFormat="1" applyFont="1" applyFill="1" applyBorder="1"/>
    <xf numFmtId="3" fontId="30" fillId="0" borderId="1" xfId="1" applyNumberFormat="1" applyFont="1" applyFill="1" applyBorder="1"/>
    <xf numFmtId="3" fontId="30" fillId="0" borderId="1" xfId="0" applyNumberFormat="1" applyFont="1" applyFill="1" applyBorder="1"/>
    <xf numFmtId="3" fontId="29" fillId="0" borderId="1" xfId="0" applyNumberFormat="1" applyFont="1" applyFill="1" applyBorder="1"/>
    <xf numFmtId="164" fontId="50" fillId="0" borderId="0" xfId="1" applyNumberFormat="1" applyFont="1" applyFill="1"/>
    <xf numFmtId="0" fontId="97" fillId="0" borderId="13" xfId="0" applyFont="1" applyFill="1" applyBorder="1"/>
    <xf numFmtId="0" fontId="97" fillId="0" borderId="13" xfId="0" applyFont="1" applyFill="1" applyBorder="1" applyAlignment="1">
      <alignment horizontal="left"/>
    </xf>
    <xf numFmtId="0" fontId="55" fillId="0" borderId="13" xfId="0" applyFont="1" applyFill="1" applyBorder="1"/>
    <xf numFmtId="164" fontId="55" fillId="0" borderId="13" xfId="1" applyNumberFormat="1" applyFont="1" applyFill="1" applyBorder="1"/>
    <xf numFmtId="0" fontId="55" fillId="0" borderId="22" xfId="0" applyFont="1" applyFill="1" applyBorder="1"/>
    <xf numFmtId="0" fontId="97" fillId="0" borderId="13" xfId="0" applyFont="1" applyFill="1" applyBorder="1" applyAlignment="1">
      <alignment horizontal="center"/>
    </xf>
    <xf numFmtId="164" fontId="97" fillId="0" borderId="13" xfId="1" applyNumberFormat="1" applyFont="1" applyFill="1" applyBorder="1"/>
    <xf numFmtId="0" fontId="97" fillId="0" borderId="22" xfId="0" applyFont="1" applyFill="1" applyBorder="1" applyAlignment="1">
      <alignment horizontal="center"/>
    </xf>
    <xf numFmtId="164" fontId="97" fillId="0" borderId="3" xfId="1" applyNumberFormat="1" applyFont="1" applyFill="1" applyBorder="1" applyAlignment="1">
      <alignment horizontal="center"/>
    </xf>
    <xf numFmtId="0" fontId="55" fillId="0" borderId="9" xfId="0" applyFont="1" applyFill="1" applyBorder="1"/>
    <xf numFmtId="3" fontId="97" fillId="0" borderId="9" xfId="0" applyNumberFormat="1" applyFont="1" applyFill="1" applyBorder="1"/>
    <xf numFmtId="0" fontId="98" fillId="0" borderId="1" xfId="0" applyFont="1" applyFill="1" applyBorder="1" applyAlignment="1">
      <alignment horizontal="left" vertical="top" wrapText="1"/>
    </xf>
    <xf numFmtId="0" fontId="98" fillId="0" borderId="1" xfId="0" applyFont="1" applyFill="1" applyBorder="1" applyAlignment="1">
      <alignment vertical="top" wrapText="1"/>
    </xf>
    <xf numFmtId="164" fontId="97" fillId="0" borderId="1" xfId="1" applyNumberFormat="1" applyFont="1" applyFill="1" applyBorder="1" applyAlignment="1">
      <alignment horizontal="left"/>
    </xf>
    <xf numFmtId="164" fontId="97" fillId="0" borderId="0" xfId="1" applyNumberFormat="1" applyFont="1" applyFill="1" applyBorder="1"/>
    <xf numFmtId="164" fontId="55" fillId="0" borderId="0" xfId="1" applyNumberFormat="1" applyFont="1" applyFill="1" applyBorder="1"/>
    <xf numFmtId="164" fontId="58" fillId="0" borderId="0" xfId="1" applyNumberFormat="1" applyFont="1" applyFill="1"/>
    <xf numFmtId="164" fontId="0" fillId="0" borderId="0" xfId="0" applyNumberFormat="1" applyFill="1"/>
    <xf numFmtId="0" fontId="45" fillId="0" borderId="30" xfId="0" applyFont="1" applyFill="1" applyBorder="1"/>
    <xf numFmtId="0" fontId="91" fillId="0" borderId="30" xfId="0" applyFont="1" applyFill="1" applyBorder="1" applyAlignment="1">
      <alignment horizontal="center"/>
    </xf>
    <xf numFmtId="0" fontId="91" fillId="0" borderId="31" xfId="0" applyFont="1" applyFill="1" applyBorder="1" applyAlignment="1">
      <alignment horizontal="center"/>
    </xf>
    <xf numFmtId="0" fontId="91" fillId="0" borderId="2" xfId="0" applyFont="1" applyFill="1" applyBorder="1" applyAlignment="1">
      <alignment horizontal="center"/>
    </xf>
    <xf numFmtId="164" fontId="91" fillId="0" borderId="2" xfId="1" applyNumberFormat="1" applyFont="1" applyFill="1" applyBorder="1" applyAlignment="1">
      <alignment horizontal="center"/>
    </xf>
    <xf numFmtId="0" fontId="45" fillId="0" borderId="12" xfId="0" applyFont="1" applyFill="1" applyBorder="1"/>
    <xf numFmtId="0" fontId="45" fillId="0" borderId="23" xfId="0" applyFont="1" applyFill="1" applyBorder="1"/>
    <xf numFmtId="164" fontId="56" fillId="0" borderId="12" xfId="1" applyNumberFormat="1" applyFont="1" applyFill="1" applyBorder="1"/>
    <xf numFmtId="164" fontId="56" fillId="0" borderId="23" xfId="1" applyNumberFormat="1" applyFont="1" applyFill="1" applyBorder="1"/>
    <xf numFmtId="164" fontId="45" fillId="0" borderId="12" xfId="1" applyNumberFormat="1" applyFont="1" applyFill="1" applyBorder="1"/>
    <xf numFmtId="164" fontId="45" fillId="0" borderId="23" xfId="1" applyNumberFormat="1" applyFont="1" applyFill="1" applyBorder="1"/>
    <xf numFmtId="164" fontId="56" fillId="0" borderId="12" xfId="0" applyNumberFormat="1" applyFont="1" applyFill="1" applyBorder="1"/>
    <xf numFmtId="164" fontId="56" fillId="0" borderId="23" xfId="0" applyNumberFormat="1" applyFont="1" applyFill="1" applyBorder="1"/>
    <xf numFmtId="164" fontId="56" fillId="0" borderId="19" xfId="1" applyNumberFormat="1" applyFont="1" applyFill="1" applyBorder="1"/>
    <xf numFmtId="164" fontId="45" fillId="0" borderId="19" xfId="1" applyNumberFormat="1" applyFont="1" applyFill="1" applyBorder="1"/>
    <xf numFmtId="164" fontId="45" fillId="0" borderId="20" xfId="1" applyNumberFormat="1" applyFont="1" applyFill="1" applyBorder="1"/>
    <xf numFmtId="164" fontId="56" fillId="0" borderId="24" xfId="1" applyNumberFormat="1" applyFont="1" applyFill="1" applyBorder="1"/>
    <xf numFmtId="164" fontId="56" fillId="0" borderId="25" xfId="1" applyNumberFormat="1" applyFont="1" applyFill="1" applyBorder="1"/>
    <xf numFmtId="3" fontId="56" fillId="0" borderId="0" xfId="0" applyNumberFormat="1" applyFont="1" applyFill="1" applyBorder="1"/>
    <xf numFmtId="3" fontId="45" fillId="0" borderId="4" xfId="0" applyNumberFormat="1" applyFont="1" applyFill="1" applyBorder="1"/>
    <xf numFmtId="164" fontId="45" fillId="0" borderId="4" xfId="1" applyNumberFormat="1" applyFont="1" applyFill="1" applyBorder="1"/>
    <xf numFmtId="3" fontId="56" fillId="0" borderId="4" xfId="0" applyNumberFormat="1" applyFont="1" applyFill="1" applyBorder="1"/>
    <xf numFmtId="164" fontId="56" fillId="0" borderId="4" xfId="1" applyNumberFormat="1" applyFont="1" applyFill="1" applyBorder="1"/>
    <xf numFmtId="164" fontId="28" fillId="0" borderId="0" xfId="0" applyNumberFormat="1" applyFont="1" applyFill="1" applyBorder="1"/>
    <xf numFmtId="164" fontId="94" fillId="0" borderId="1" xfId="0" applyNumberFormat="1" applyFont="1" applyFill="1" applyBorder="1"/>
    <xf numFmtId="164" fontId="94" fillId="0" borderId="1" xfId="0" applyNumberFormat="1" applyFont="1" applyFill="1" applyBorder="1" applyAlignment="1">
      <alignment horizontal="left"/>
    </xf>
    <xf numFmtId="164" fontId="38" fillId="0" borderId="1" xfId="0" applyNumberFormat="1" applyFont="1" applyFill="1" applyBorder="1"/>
    <xf numFmtId="164" fontId="94" fillId="0" borderId="1" xfId="1" applyNumberFormat="1" applyFont="1" applyFill="1" applyBorder="1"/>
    <xf numFmtId="164" fontId="45" fillId="0" borderId="1" xfId="0" applyNumberFormat="1" applyFont="1" applyFill="1" applyBorder="1" applyAlignment="1">
      <alignment horizontal="center"/>
    </xf>
    <xf numFmtId="164" fontId="39" fillId="0" borderId="1" xfId="0" applyNumberFormat="1" applyFont="1" applyFill="1" applyBorder="1" applyAlignment="1">
      <alignment horizontal="center"/>
    </xf>
    <xf numFmtId="164" fontId="95" fillId="0" borderId="1" xfId="1" applyNumberFormat="1" applyFont="1" applyFill="1" applyBorder="1"/>
    <xf numFmtId="164" fontId="38" fillId="0" borderId="1" xfId="1" applyNumberFormat="1" applyFont="1" applyFill="1" applyBorder="1"/>
    <xf numFmtId="164" fontId="39" fillId="0" borderId="1" xfId="1" applyNumberFormat="1" applyFont="1" applyFill="1" applyBorder="1"/>
    <xf numFmtId="164" fontId="95" fillId="0" borderId="1" xfId="1" applyNumberFormat="1" applyFont="1" applyFill="1" applyBorder="1" applyAlignment="1">
      <alignment horizontal="center"/>
    </xf>
    <xf numFmtId="164" fontId="39" fillId="0" borderId="5" xfId="1" applyNumberFormat="1" applyFont="1" applyFill="1" applyBorder="1"/>
    <xf numFmtId="164" fontId="95" fillId="0" borderId="5" xfId="1" applyNumberFormat="1" applyFont="1" applyFill="1" applyBorder="1" applyAlignment="1">
      <alignment horizontal="center"/>
    </xf>
    <xf numFmtId="164" fontId="94" fillId="0" borderId="5" xfId="1" applyNumberFormat="1" applyFont="1" applyFill="1" applyBorder="1"/>
    <xf numFmtId="164" fontId="39" fillId="0" borderId="5" xfId="0" applyNumberFormat="1" applyFont="1" applyFill="1" applyBorder="1"/>
    <xf numFmtId="0" fontId="96" fillId="0" borderId="1" xfId="0" applyFont="1" applyFill="1" applyBorder="1" applyAlignment="1">
      <alignment vertical="top" wrapText="1"/>
    </xf>
    <xf numFmtId="0" fontId="95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164" fontId="95" fillId="0" borderId="2" xfId="1" applyNumberFormat="1" applyFont="1" applyFill="1" applyBorder="1"/>
    <xf numFmtId="164" fontId="94" fillId="0" borderId="2" xfId="1" applyNumberFormat="1" applyFont="1" applyFill="1" applyBorder="1"/>
    <xf numFmtId="164" fontId="45" fillId="0" borderId="2" xfId="0" applyNumberFormat="1" applyFont="1" applyFill="1" applyBorder="1"/>
    <xf numFmtId="164" fontId="39" fillId="0" borderId="2" xfId="0" applyNumberFormat="1" applyFont="1" applyFill="1" applyBorder="1"/>
    <xf numFmtId="164" fontId="39" fillId="0" borderId="1" xfId="0" applyNumberFormat="1" applyFont="1" applyFill="1" applyBorder="1"/>
    <xf numFmtId="0" fontId="50" fillId="0" borderId="0" xfId="0" applyFont="1" applyFill="1" applyAlignment="1">
      <alignment horizontal="right"/>
    </xf>
    <xf numFmtId="0" fontId="30" fillId="0" borderId="1" xfId="0" applyFont="1" applyFill="1" applyBorder="1"/>
    <xf numFmtId="164" fontId="29" fillId="0" borderId="1" xfId="0" applyNumberFormat="1" applyFont="1" applyFill="1" applyBorder="1"/>
    <xf numFmtId="3" fontId="29" fillId="0" borderId="1" xfId="1" applyNumberFormat="1" applyFont="1" applyFill="1" applyBorder="1"/>
    <xf numFmtId="3" fontId="97" fillId="0" borderId="1" xfId="1" applyNumberFormat="1" applyFont="1" applyFill="1" applyBorder="1"/>
    <xf numFmtId="164" fontId="29" fillId="0" borderId="3" xfId="0" applyNumberFormat="1" applyFont="1" applyFill="1" applyBorder="1"/>
    <xf numFmtId="43" fontId="97" fillId="0" borderId="1" xfId="1" applyFont="1" applyFill="1" applyBorder="1"/>
    <xf numFmtId="0" fontId="13" fillId="0" borderId="0" xfId="0" applyFont="1" applyFill="1" applyAlignment="1"/>
    <xf numFmtId="3" fontId="13" fillId="0" borderId="0" xfId="0" applyNumberFormat="1" applyFont="1" applyFill="1" applyAlignment="1"/>
    <xf numFmtId="0" fontId="45" fillId="0" borderId="1" xfId="0" applyFont="1" applyFill="1" applyBorder="1" applyAlignment="1">
      <alignment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left" vertical="center"/>
    </xf>
    <xf numFmtId="0" fontId="53" fillId="0" borderId="0" xfId="0" applyFont="1" applyFill="1"/>
    <xf numFmtId="0" fontId="34" fillId="0" borderId="1" xfId="0" applyFont="1" applyFill="1" applyBorder="1" applyAlignment="1">
      <alignment horizontal="center" vertical="center"/>
    </xf>
    <xf numFmtId="164" fontId="34" fillId="0" borderId="1" xfId="1" applyNumberFormat="1" applyFont="1" applyFill="1" applyBorder="1" applyAlignment="1">
      <alignment vertical="center"/>
    </xf>
    <xf numFmtId="164" fontId="48" fillId="0" borderId="1" xfId="1" applyNumberFormat="1" applyFont="1" applyFill="1" applyBorder="1" applyAlignment="1">
      <alignment vertical="center"/>
    </xf>
    <xf numFmtId="0" fontId="93" fillId="0" borderId="1" xfId="0" applyFont="1" applyFill="1" applyBorder="1" applyAlignment="1">
      <alignment horizontal="left" vertical="center" wrapText="1"/>
    </xf>
    <xf numFmtId="0" fontId="93" fillId="0" borderId="1" xfId="0" applyFont="1" applyFill="1" applyBorder="1" applyAlignment="1">
      <alignment vertical="center" wrapText="1"/>
    </xf>
    <xf numFmtId="164" fontId="48" fillId="0" borderId="1" xfId="1" applyNumberFormat="1" applyFont="1" applyFill="1" applyBorder="1" applyAlignment="1">
      <alignment horizontal="left" vertical="center"/>
    </xf>
    <xf numFmtId="164" fontId="34" fillId="0" borderId="1" xfId="1" applyNumberFormat="1" applyFont="1" applyFill="1" applyBorder="1" applyAlignment="1">
      <alignment horizontal="left" vertical="center"/>
    </xf>
    <xf numFmtId="0" fontId="48" fillId="0" borderId="1" xfId="0" applyFont="1" applyFill="1" applyBorder="1" applyAlignment="1">
      <alignment vertical="center"/>
    </xf>
    <xf numFmtId="3" fontId="56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164" fontId="44" fillId="0" borderId="0" xfId="1" applyNumberFormat="1" applyFont="1" applyFill="1"/>
    <xf numFmtId="164" fontId="56" fillId="0" borderId="11" xfId="1" applyNumberFormat="1" applyFont="1" applyFill="1" applyBorder="1"/>
    <xf numFmtId="164" fontId="45" fillId="0" borderId="11" xfId="1" applyNumberFormat="1" applyFont="1" applyFill="1" applyBorder="1"/>
    <xf numFmtId="164" fontId="45" fillId="0" borderId="9" xfId="1" applyNumberFormat="1" applyFont="1" applyFill="1" applyBorder="1" applyAlignment="1">
      <alignment horizontal="right"/>
    </xf>
    <xf numFmtId="164" fontId="45" fillId="0" borderId="5" xfId="1" applyNumberFormat="1" applyFont="1" applyFill="1" applyBorder="1" applyAlignment="1">
      <alignment horizontal="right"/>
    </xf>
    <xf numFmtId="0" fontId="58" fillId="0" borderId="0" xfId="0" applyFont="1" applyFill="1" applyAlignment="1">
      <alignment vertical="center"/>
    </xf>
    <xf numFmtId="164" fontId="45" fillId="0" borderId="1" xfId="1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164" fontId="45" fillId="0" borderId="1" xfId="0" applyNumberFormat="1" applyFont="1" applyFill="1" applyBorder="1" applyAlignment="1">
      <alignment vertical="center"/>
    </xf>
    <xf numFmtId="164" fontId="56" fillId="0" borderId="0" xfId="0" applyNumberFormat="1" applyFont="1" applyFill="1" applyAlignment="1">
      <alignment vertical="center"/>
    </xf>
    <xf numFmtId="3" fontId="56" fillId="0" borderId="1" xfId="0" applyNumberFormat="1" applyFont="1" applyFill="1" applyBorder="1" applyAlignment="1">
      <alignment vertical="center"/>
    </xf>
    <xf numFmtId="3" fontId="45" fillId="0" borderId="1" xfId="0" applyNumberFormat="1" applyFont="1" applyFill="1" applyBorder="1" applyAlignment="1">
      <alignment vertical="center"/>
    </xf>
    <xf numFmtId="0" fontId="56" fillId="0" borderId="1" xfId="0" applyFont="1" applyFill="1" applyBorder="1" applyAlignment="1">
      <alignment vertical="center" wrapText="1"/>
    </xf>
    <xf numFmtId="164" fontId="56" fillId="0" borderId="2" xfId="1" applyNumberFormat="1" applyFont="1" applyFill="1" applyBorder="1" applyAlignment="1">
      <alignment vertical="center"/>
    </xf>
    <xf numFmtId="164" fontId="45" fillId="0" borderId="2" xfId="1" applyNumberFormat="1" applyFont="1" applyFill="1" applyBorder="1" applyAlignment="1">
      <alignment vertical="center"/>
    </xf>
    <xf numFmtId="164" fontId="45" fillId="0" borderId="2" xfId="0" applyNumberFormat="1" applyFont="1" applyFill="1" applyBorder="1" applyAlignment="1">
      <alignment vertical="center"/>
    </xf>
    <xf numFmtId="164" fontId="58" fillId="0" borderId="0" xfId="1" applyNumberFormat="1" applyFont="1" applyFill="1" applyAlignment="1">
      <alignment vertical="center"/>
    </xf>
    <xf numFmtId="0" fontId="91" fillId="0" borderId="1" xfId="0" applyFont="1" applyFill="1" applyBorder="1"/>
    <xf numFmtId="41" fontId="45" fillId="0" borderId="1" xfId="0" applyNumberFormat="1" applyFont="1" applyFill="1" applyBorder="1"/>
    <xf numFmtId="41" fontId="13" fillId="0" borderId="0" xfId="0" applyNumberFormat="1" applyFont="1" applyFill="1"/>
    <xf numFmtId="41" fontId="56" fillId="0" borderId="1" xfId="1" applyNumberFormat="1" applyFont="1" applyFill="1" applyBorder="1"/>
    <xf numFmtId="41" fontId="45" fillId="0" borderId="1" xfId="1" applyNumberFormat="1" applyFont="1" applyFill="1" applyBorder="1"/>
    <xf numFmtId="0" fontId="8" fillId="0" borderId="41" xfId="0" applyFont="1" applyFill="1" applyBorder="1" applyAlignment="1">
      <alignment horizontal="center"/>
    </xf>
    <xf numFmtId="41" fontId="56" fillId="0" borderId="2" xfId="0" applyNumberFormat="1" applyFont="1" applyFill="1" applyBorder="1"/>
    <xf numFmtId="0" fontId="45" fillId="0" borderId="0" xfId="0" applyFont="1" applyFill="1"/>
    <xf numFmtId="164" fontId="45" fillId="0" borderId="0" xfId="1" applyNumberFormat="1" applyFont="1" applyFill="1"/>
    <xf numFmtId="164" fontId="45" fillId="0" borderId="0" xfId="0" applyNumberFormat="1" applyFont="1" applyFill="1"/>
    <xf numFmtId="0" fontId="92" fillId="0" borderId="1" xfId="0" applyFont="1" applyFill="1" applyBorder="1" applyAlignment="1">
      <alignment vertical="top" wrapText="1"/>
    </xf>
    <xf numFmtId="164" fontId="19" fillId="0" borderId="0" xfId="0" applyNumberFormat="1" applyFont="1" applyFill="1" applyBorder="1"/>
    <xf numFmtId="41" fontId="56" fillId="0" borderId="3" xfId="0" applyNumberFormat="1" applyFont="1" applyFill="1" applyBorder="1"/>
    <xf numFmtId="41" fontId="56" fillId="0" borderId="3" xfId="1" applyNumberFormat="1" applyFont="1" applyFill="1" applyBorder="1"/>
    <xf numFmtId="41" fontId="45" fillId="0" borderId="3" xfId="1" applyNumberFormat="1" applyFont="1" applyFill="1" applyBorder="1"/>
    <xf numFmtId="41" fontId="45" fillId="0" borderId="3" xfId="0" applyNumberFormat="1" applyFont="1" applyFill="1" applyBorder="1"/>
    <xf numFmtId="41" fontId="56" fillId="0" borderId="0" xfId="1" applyNumberFormat="1" applyFont="1" applyFill="1" applyBorder="1"/>
    <xf numFmtId="0" fontId="45" fillId="0" borderId="3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164" fontId="45" fillId="0" borderId="3" xfId="1" applyNumberFormat="1" applyFont="1" applyFill="1" applyBorder="1" applyAlignment="1">
      <alignment vertical="center"/>
    </xf>
    <xf numFmtId="164" fontId="56" fillId="0" borderId="3" xfId="1" applyNumberFormat="1" applyFont="1" applyFill="1" applyBorder="1" applyAlignment="1">
      <alignment vertical="center"/>
    </xf>
    <xf numFmtId="0" fontId="52" fillId="0" borderId="0" xfId="0" applyFont="1" applyFill="1"/>
    <xf numFmtId="0" fontId="45" fillId="0" borderId="1" xfId="0" applyFont="1" applyFill="1" applyBorder="1" applyAlignment="1">
      <alignment horizontal="right"/>
    </xf>
    <xf numFmtId="164" fontId="14" fillId="0" borderId="0" xfId="0" applyNumberFormat="1" applyFont="1" applyFill="1"/>
    <xf numFmtId="164" fontId="19" fillId="0" borderId="1" xfId="1" applyNumberFormat="1" applyFont="1" applyFill="1" applyBorder="1"/>
    <xf numFmtId="164" fontId="45" fillId="0" borderId="1" xfId="1" applyNumberFormat="1" applyFont="1" applyFill="1" applyBorder="1" applyAlignment="1">
      <alignment horizontal="center" wrapText="1"/>
    </xf>
    <xf numFmtId="0" fontId="56" fillId="0" borderId="1" xfId="0" applyFont="1" applyFill="1" applyBorder="1" applyAlignment="1">
      <alignment horizontal="right"/>
    </xf>
    <xf numFmtId="0" fontId="75" fillId="0" borderId="0" xfId="0" applyFont="1" applyFill="1"/>
    <xf numFmtId="164" fontId="75" fillId="0" borderId="0" xfId="1" applyNumberFormat="1" applyFont="1" applyFill="1"/>
    <xf numFmtId="164" fontId="14" fillId="0" borderId="0" xfId="1" applyNumberFormat="1" applyFont="1" applyFill="1" applyBorder="1"/>
    <xf numFmtId="164" fontId="26" fillId="0" borderId="1" xfId="1" applyNumberFormat="1" applyFont="1" applyFill="1" applyBorder="1"/>
    <xf numFmtId="0" fontId="26" fillId="0" borderId="0" xfId="0" applyFont="1" applyFill="1"/>
    <xf numFmtId="164" fontId="26" fillId="0" borderId="0" xfId="1" applyNumberFormat="1" applyFont="1" applyFill="1"/>
    <xf numFmtId="164" fontId="26" fillId="0" borderId="0" xfId="0" applyNumberFormat="1" applyFont="1" applyFill="1"/>
    <xf numFmtId="0" fontId="14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9" fillId="0" borderId="0" xfId="1" applyNumberFormat="1" applyFont="1" applyFill="1" applyBorder="1"/>
    <xf numFmtId="164" fontId="8" fillId="0" borderId="0" xfId="1" applyNumberFormat="1" applyFont="1" applyFill="1" applyBorder="1"/>
    <xf numFmtId="43" fontId="56" fillId="0" borderId="1" xfId="1" applyFont="1" applyFill="1" applyBorder="1" applyAlignment="1">
      <alignment horizontal="right"/>
    </xf>
    <xf numFmtId="0" fontId="9" fillId="0" borderId="1" xfId="0" applyFont="1" applyFill="1" applyBorder="1"/>
    <xf numFmtId="164" fontId="56" fillId="0" borderId="26" xfId="1" applyNumberFormat="1" applyFont="1" applyFill="1" applyBorder="1"/>
    <xf numFmtId="164" fontId="56" fillId="0" borderId="27" xfId="1" applyNumberFormat="1" applyFont="1" applyFill="1" applyBorder="1"/>
    <xf numFmtId="0" fontId="45" fillId="0" borderId="15" xfId="0" applyFont="1" applyFill="1" applyBorder="1"/>
    <xf numFmtId="0" fontId="45" fillId="0" borderId="16" xfId="0" applyFont="1" applyFill="1" applyBorder="1" applyAlignment="1">
      <alignment horizontal="left"/>
    </xf>
    <xf numFmtId="0" fontId="45" fillId="0" borderId="16" xfId="0" applyFont="1" applyFill="1" applyBorder="1"/>
    <xf numFmtId="0" fontId="45" fillId="0" borderId="29" xfId="0" applyFont="1" applyFill="1" applyBorder="1"/>
    <xf numFmtId="0" fontId="45" fillId="0" borderId="46" xfId="0" applyFont="1" applyFill="1" applyBorder="1"/>
    <xf numFmtId="0" fontId="45" fillId="0" borderId="17" xfId="0" applyFont="1" applyFill="1" applyBorder="1"/>
    <xf numFmtId="3" fontId="56" fillId="0" borderId="5" xfId="1" applyNumberFormat="1" applyFont="1" applyFill="1" applyBorder="1"/>
    <xf numFmtId="3" fontId="56" fillId="0" borderId="5" xfId="0" applyNumberFormat="1" applyFont="1" applyFill="1" applyBorder="1"/>
    <xf numFmtId="164" fontId="29" fillId="0" borderId="0" xfId="1" applyNumberFormat="1" applyFont="1" applyFill="1" applyAlignment="1">
      <alignment horizontal="center"/>
    </xf>
    <xf numFmtId="3" fontId="30" fillId="0" borderId="0" xfId="0" applyNumberFormat="1" applyFont="1" applyFill="1"/>
    <xf numFmtId="0" fontId="20" fillId="0" borderId="0" xfId="0" applyFont="1" applyFill="1"/>
    <xf numFmtId="0" fontId="59" fillId="0" borderId="0" xfId="0" applyFont="1" applyFill="1"/>
    <xf numFmtId="0" fontId="28" fillId="0" borderId="0" xfId="0" applyFont="1" applyFill="1"/>
    <xf numFmtId="0" fontId="36" fillId="0" borderId="0" xfId="0" applyFont="1" applyFill="1"/>
    <xf numFmtId="0" fontId="15" fillId="0" borderId="0" xfId="0" applyFont="1" applyFill="1"/>
    <xf numFmtId="3" fontId="56" fillId="0" borderId="1" xfId="1" applyNumberFormat="1" applyFont="1" applyFill="1" applyBorder="1" applyAlignment="1">
      <alignment horizontal="left"/>
    </xf>
    <xf numFmtId="0" fontId="45" fillId="0" borderId="34" xfId="0" applyFont="1" applyFill="1" applyBorder="1"/>
    <xf numFmtId="0" fontId="45" fillId="0" borderId="35" xfId="0" applyFont="1" applyFill="1" applyBorder="1" applyAlignment="1">
      <alignment horizontal="left"/>
    </xf>
    <xf numFmtId="164" fontId="45" fillId="0" borderId="42" xfId="1" applyNumberFormat="1" applyFont="1" applyFill="1" applyBorder="1" applyAlignment="1">
      <alignment horizontal="left"/>
    </xf>
    <xf numFmtId="164" fontId="45" fillId="0" borderId="36" xfId="1" applyNumberFormat="1" applyFont="1" applyFill="1" applyBorder="1" applyAlignment="1">
      <alignment horizontal="left"/>
    </xf>
    <xf numFmtId="164" fontId="45" fillId="0" borderId="3" xfId="1" applyNumberFormat="1" applyFont="1" applyFill="1" applyBorder="1" applyAlignment="1">
      <alignment horizontal="center"/>
    </xf>
    <xf numFmtId="164" fontId="45" fillId="0" borderId="36" xfId="1" applyNumberFormat="1" applyFont="1" applyFill="1" applyBorder="1"/>
    <xf numFmtId="164" fontId="45" fillId="0" borderId="3" xfId="1" applyNumberFormat="1" applyFont="1" applyFill="1" applyBorder="1" applyAlignment="1">
      <alignment horizontal="left"/>
    </xf>
    <xf numFmtId="164" fontId="56" fillId="0" borderId="1" xfId="0" applyNumberFormat="1" applyFont="1" applyFill="1" applyBorder="1" applyAlignment="1">
      <alignment horizontal="left"/>
    </xf>
    <xf numFmtId="164" fontId="56" fillId="0" borderId="3" xfId="1" applyNumberFormat="1" applyFont="1" applyFill="1" applyBorder="1" applyAlignment="1">
      <alignment horizontal="right"/>
    </xf>
    <xf numFmtId="164" fontId="56" fillId="0" borderId="36" xfId="1" applyNumberFormat="1" applyFont="1" applyFill="1" applyBorder="1"/>
    <xf numFmtId="164" fontId="45" fillId="0" borderId="5" xfId="1" applyNumberFormat="1" applyFont="1" applyFill="1" applyBorder="1" applyAlignment="1">
      <alignment horizontal="left"/>
    </xf>
    <xf numFmtId="3" fontId="8" fillId="0" borderId="0" xfId="0" applyNumberFormat="1" applyFont="1" applyFill="1" applyBorder="1"/>
    <xf numFmtId="164" fontId="8" fillId="0" borderId="0" xfId="0" applyNumberFormat="1" applyFont="1" applyFill="1" applyBorder="1"/>
    <xf numFmtId="164" fontId="45" fillId="0" borderId="1" xfId="0" applyNumberFormat="1" applyFont="1" applyFill="1" applyBorder="1" applyAlignment="1">
      <alignment horizontal="right"/>
    </xf>
    <xf numFmtId="164" fontId="56" fillId="0" borderId="38" xfId="1" applyNumberFormat="1" applyFont="1" applyFill="1" applyBorder="1"/>
    <xf numFmtId="0" fontId="56" fillId="0" borderId="9" xfId="0" applyFont="1" applyFill="1" applyBorder="1"/>
    <xf numFmtId="164" fontId="45" fillId="0" borderId="9" xfId="0" applyNumberFormat="1" applyFont="1" applyFill="1" applyBorder="1" applyAlignment="1">
      <alignment horizontal="right"/>
    </xf>
    <xf numFmtId="0" fontId="54" fillId="0" borderId="0" xfId="0" applyFont="1" applyFill="1" applyBorder="1"/>
    <xf numFmtId="0" fontId="54" fillId="0" borderId="0" xfId="0" applyFont="1" applyFill="1"/>
    <xf numFmtId="0" fontId="56" fillId="0" borderId="6" xfId="0" applyFont="1" applyFill="1" applyBorder="1"/>
    <xf numFmtId="164" fontId="45" fillId="0" borderId="6" xfId="1" applyNumberFormat="1" applyFont="1" applyFill="1" applyBorder="1"/>
    <xf numFmtId="3" fontId="45" fillId="0" borderId="6" xfId="0" applyNumberFormat="1" applyFont="1" applyFill="1" applyBorder="1"/>
    <xf numFmtId="0" fontId="52" fillId="0" borderId="0" xfId="0" applyFont="1" applyFill="1" applyBorder="1"/>
    <xf numFmtId="164" fontId="52" fillId="0" borderId="0" xfId="1" applyNumberFormat="1" applyFont="1" applyFill="1" applyBorder="1"/>
    <xf numFmtId="164" fontId="52" fillId="0" borderId="0" xfId="1" applyNumberFormat="1" applyFont="1" applyFill="1"/>
    <xf numFmtId="3" fontId="45" fillId="0" borderId="1" xfId="1" applyNumberFormat="1" applyFont="1" applyFill="1" applyBorder="1" applyAlignment="1">
      <alignment horizontal="right"/>
    </xf>
    <xf numFmtId="3" fontId="56" fillId="0" borderId="1" xfId="0" applyNumberFormat="1" applyFont="1" applyFill="1" applyBorder="1" applyAlignment="1">
      <alignment horizontal="left"/>
    </xf>
    <xf numFmtId="0" fontId="39" fillId="0" borderId="1" xfId="0" applyFont="1" applyFill="1" applyBorder="1"/>
    <xf numFmtId="0" fontId="39" fillId="0" borderId="1" xfId="0" applyFont="1" applyFill="1" applyBorder="1" applyAlignment="1">
      <alignment horizontal="left"/>
    </xf>
    <xf numFmtId="164" fontId="39" fillId="0" borderId="1" xfId="1" applyNumberFormat="1" applyFont="1" applyFill="1" applyBorder="1" applyAlignment="1">
      <alignment horizontal="left"/>
    </xf>
    <xf numFmtId="0" fontId="39" fillId="0" borderId="1" xfId="0" applyFont="1" applyFill="1" applyBorder="1" applyAlignment="1">
      <alignment horizontal="center"/>
    </xf>
    <xf numFmtId="164" fontId="39" fillId="0" borderId="1" xfId="1" applyNumberFormat="1" applyFont="1" applyFill="1" applyBorder="1" applyAlignment="1">
      <alignment horizontal="center"/>
    </xf>
    <xf numFmtId="164" fontId="38" fillId="0" borderId="0" xfId="1" applyNumberFormat="1" applyFont="1" applyFill="1"/>
    <xf numFmtId="3" fontId="38" fillId="0" borderId="1" xfId="1" applyNumberFormat="1" applyFont="1" applyFill="1" applyBorder="1"/>
    <xf numFmtId="0" fontId="38" fillId="0" borderId="1" xfId="0" applyFont="1" applyFill="1" applyBorder="1"/>
    <xf numFmtId="3" fontId="39" fillId="0" borderId="1" xfId="0" applyNumberFormat="1" applyFont="1" applyFill="1" applyBorder="1"/>
    <xf numFmtId="164" fontId="38" fillId="0" borderId="2" xfId="1" applyNumberFormat="1" applyFont="1" applyFill="1" applyBorder="1"/>
    <xf numFmtId="164" fontId="39" fillId="0" borderId="2" xfId="1" applyNumberFormat="1" applyFont="1" applyFill="1" applyBorder="1"/>
    <xf numFmtId="0" fontId="38" fillId="0" borderId="0" xfId="0" applyFont="1" applyFill="1"/>
    <xf numFmtId="3" fontId="39" fillId="0" borderId="2" xfId="0" applyNumberFormat="1" applyFont="1" applyFill="1" applyBorder="1"/>
    <xf numFmtId="41" fontId="0" fillId="0" borderId="0" xfId="0" applyNumberFormat="1" applyFill="1"/>
    <xf numFmtId="41" fontId="65" fillId="0" borderId="0" xfId="0" applyNumberFormat="1" applyFont="1" applyFill="1"/>
    <xf numFmtId="41" fontId="58" fillId="0" borderId="0" xfId="0" applyNumberFormat="1" applyFont="1" applyFill="1"/>
    <xf numFmtId="41" fontId="1" fillId="0" borderId="0" xfId="0" applyNumberFormat="1" applyFont="1" applyFill="1"/>
    <xf numFmtId="164" fontId="58" fillId="0" borderId="0" xfId="0" applyNumberFormat="1" applyFont="1" applyFill="1"/>
    <xf numFmtId="0" fontId="45" fillId="0" borderId="1" xfId="1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64" fontId="31" fillId="0" borderId="1" xfId="1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left" vertical="center"/>
    </xf>
    <xf numFmtId="164" fontId="31" fillId="0" borderId="5" xfId="1" applyNumberFormat="1" applyFont="1" applyFill="1" applyBorder="1" applyAlignment="1">
      <alignment horizontal="left" vertical="center"/>
    </xf>
    <xf numFmtId="0" fontId="45" fillId="0" borderId="5" xfId="0" applyFont="1" applyFill="1" applyBorder="1" applyAlignment="1">
      <alignment horizontal="left" vertical="center"/>
    </xf>
    <xf numFmtId="0" fontId="45" fillId="0" borderId="33" xfId="0" applyFont="1" applyFill="1" applyBorder="1" applyAlignment="1">
      <alignment horizontal="left" vertical="center"/>
    </xf>
    <xf numFmtId="0" fontId="31" fillId="0" borderId="1" xfId="1" applyNumberFormat="1" applyFont="1" applyFill="1" applyBorder="1" applyAlignment="1">
      <alignment horizontal="left" vertical="center"/>
    </xf>
    <xf numFmtId="164" fontId="31" fillId="0" borderId="1" xfId="1" applyNumberFormat="1" applyFont="1" applyFill="1" applyBorder="1" applyAlignment="1">
      <alignment horizontal="left" vertical="center"/>
    </xf>
    <xf numFmtId="0" fontId="73" fillId="0" borderId="4" xfId="0" applyFont="1" applyBorder="1" applyAlignment="1">
      <alignment horizontal="center"/>
    </xf>
    <xf numFmtId="0" fontId="73" fillId="0" borderId="44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164" fontId="29" fillId="0" borderId="0" xfId="1" applyNumberFormat="1" applyFont="1" applyAlignment="1">
      <alignment horizontal="center"/>
    </xf>
    <xf numFmtId="164" fontId="52" fillId="0" borderId="0" xfId="1" applyNumberFormat="1" applyFont="1" applyAlignment="1">
      <alignment horizontal="left"/>
    </xf>
    <xf numFmtId="0" fontId="79" fillId="0" borderId="1" xfId="0" applyFont="1" applyBorder="1" applyAlignment="1">
      <alignment horizontal="center"/>
    </xf>
    <xf numFmtId="0" fontId="80" fillId="0" borderId="40" xfId="0" applyFont="1" applyBorder="1" applyAlignment="1">
      <alignment horizontal="center"/>
    </xf>
    <xf numFmtId="0" fontId="80" fillId="0" borderId="8" xfId="0" applyFont="1" applyBorder="1" applyAlignment="1">
      <alignment horizontal="center"/>
    </xf>
    <xf numFmtId="0" fontId="80" fillId="0" borderId="1" xfId="0" applyFont="1" applyBorder="1" applyAlignment="1">
      <alignment horizontal="center"/>
    </xf>
    <xf numFmtId="0" fontId="73" fillId="0" borderId="3" xfId="0" applyFont="1" applyBorder="1" applyAlignment="1">
      <alignment horizontal="center"/>
    </xf>
    <xf numFmtId="0" fontId="73" fillId="0" borderId="8" xfId="0" applyFont="1" applyBorder="1" applyAlignment="1">
      <alignment horizontal="center"/>
    </xf>
    <xf numFmtId="0" fontId="37" fillId="0" borderId="1" xfId="0" applyFont="1" applyBorder="1" applyAlignment="1">
      <alignment horizontal="center"/>
    </xf>
  </cellXfs>
  <cellStyles count="6">
    <cellStyle name="Comma" xfId="1" builtinId="3"/>
    <cellStyle name="Comma 9" xfId="2"/>
    <cellStyle name="Normal" xfId="0" builtinId="0"/>
    <cellStyle name="Normal 2" xfId="4"/>
    <cellStyle name="Normal 9" xfId="3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8</xdr:row>
      <xdr:rowOff>0</xdr:rowOff>
    </xdr:from>
    <xdr:to>
      <xdr:col>22</xdr:col>
      <xdr:colOff>323850</xdr:colOff>
      <xdr:row>8</xdr:row>
      <xdr:rowOff>76200</xdr:rowOff>
    </xdr:to>
    <xdr:sp macro="" textlink="">
      <xdr:nvSpPr>
        <xdr:cNvPr id="13322" name="Line 10"/>
        <xdr:cNvSpPr>
          <a:spLocks noChangeShapeType="1"/>
        </xdr:cNvSpPr>
      </xdr:nvSpPr>
      <xdr:spPr bwMode="auto">
        <a:xfrm flipH="1">
          <a:off x="9267825" y="2381250"/>
          <a:ext cx="1657350" cy="76200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triangle" w="lg" len="lg"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Abdisalaan%20docments/My%20Documents/Budget%20of%20%202011xx66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MC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A"/>
      <sheetName val="1B"/>
      <sheetName val="2"/>
      <sheetName val="3"/>
      <sheetName val="4"/>
      <sheetName val="5"/>
      <sheetName val="6"/>
      <sheetName val="7"/>
      <sheetName val="8"/>
      <sheetName val="8A"/>
      <sheetName val="8B"/>
      <sheetName val="9"/>
      <sheetName val="10"/>
      <sheetName val="10a"/>
      <sheetName val="10b"/>
      <sheetName val="10c"/>
      <sheetName val="10d"/>
      <sheetName val="11"/>
      <sheetName val="11a"/>
      <sheetName val="11b"/>
      <sheetName val="11c"/>
      <sheetName val="11d"/>
      <sheetName val="12"/>
      <sheetName val="12a"/>
      <sheetName val="13"/>
      <sheetName val="13A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mush 1"/>
      <sheetName val="sum"/>
      <sheetName val="Sheet5"/>
      <sheetName val="Sheet4"/>
      <sheetName val="1.1.0"/>
      <sheetName val="Tahar"/>
      <sheetName val="shaq2"/>
      <sheetName val="shaq,3"/>
      <sheetName val="Shaq"/>
      <sheetName val="sookob2"/>
      <sheetName val="Sheet12"/>
      <sheetName val="Sheet7"/>
      <sheetName val="Sheet13"/>
      <sheetName val="Sheet6"/>
      <sheetName val="Sheet11"/>
      <sheetName val="Sheet10"/>
      <sheetName val="sookob"/>
      <sheetName val="korodh"/>
      <sheetName val="Sheet2"/>
      <sheetName val="Sheet9"/>
      <sheetName val="Sheet8"/>
      <sheetName val="Sheet1"/>
      <sheetName val="B.tagan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51">
          <cell r="L51">
            <v>3203181540</v>
          </cell>
        </row>
      </sheetData>
      <sheetData sheetId="33" refreshError="1"/>
      <sheetData sheetId="34" refreshError="1">
        <row r="47">
          <cell r="K47">
            <v>14633732140</v>
          </cell>
        </row>
      </sheetData>
      <sheetData sheetId="35" refreshError="1"/>
      <sheetData sheetId="36" refreshError="1">
        <row r="53">
          <cell r="K53">
            <v>893742585</v>
          </cell>
        </row>
      </sheetData>
      <sheetData sheetId="37" refreshError="1">
        <row r="43">
          <cell r="L43">
            <v>2423412800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43">
          <cell r="L43">
            <v>1641919631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1A"/>
      <sheetName val="1B"/>
      <sheetName val="2"/>
      <sheetName val="3"/>
      <sheetName val="4"/>
      <sheetName val="5"/>
      <sheetName val="6"/>
      <sheetName val="7"/>
      <sheetName val="8"/>
      <sheetName val="8A"/>
      <sheetName val="9"/>
      <sheetName val="10"/>
      <sheetName val="10a"/>
      <sheetName val="10b"/>
      <sheetName val="10c"/>
      <sheetName val="10d"/>
      <sheetName val="11"/>
      <sheetName val="11a"/>
      <sheetName val="11b"/>
      <sheetName val="11c"/>
      <sheetName val="11d"/>
      <sheetName val="12"/>
      <sheetName val="12a"/>
      <sheetName val="13"/>
      <sheetName val="13A"/>
      <sheetName val="14"/>
      <sheetName val="15"/>
      <sheetName val="16"/>
      <sheetName val="17"/>
      <sheetName val="18"/>
      <sheetName val="19"/>
      <sheetName val="20"/>
      <sheetName val="20B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1.1.0"/>
      <sheetName val="Sum 1"/>
      <sheetName val="shaq,3"/>
      <sheetName val="sookob2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9">
          <cell r="H29">
            <v>3324578400</v>
          </cell>
        </row>
      </sheetData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4"/>
  <sheetViews>
    <sheetView view="pageBreakPreview" topLeftCell="A19" zoomScale="60" workbookViewId="0">
      <selection activeCell="C10" sqref="C10"/>
    </sheetView>
  </sheetViews>
  <sheetFormatPr defaultRowHeight="35.1" customHeight="1"/>
  <cols>
    <col min="1" max="1" width="19.33203125" style="204" bestFit="1" customWidth="1"/>
    <col min="2" max="2" width="92.1640625" bestFit="1" customWidth="1"/>
    <col min="3" max="3" width="41" style="85" customWidth="1"/>
    <col min="4" max="4" width="26.33203125" style="7" bestFit="1" customWidth="1"/>
  </cols>
  <sheetData>
    <row r="4" spans="1:4" ht="35.1" customHeight="1">
      <c r="A4" s="738" t="s">
        <v>1279</v>
      </c>
      <c r="B4" s="739"/>
      <c r="C4" s="739"/>
      <c r="D4" s="740"/>
    </row>
    <row r="5" spans="1:4" s="195" customFormat="1" ht="35.1" customHeight="1">
      <c r="A5" s="202" t="s">
        <v>28</v>
      </c>
      <c r="B5" s="198" t="s">
        <v>798</v>
      </c>
      <c r="C5" s="196" t="s">
        <v>1278</v>
      </c>
      <c r="D5" s="205" t="s">
        <v>801</v>
      </c>
    </row>
    <row r="6" spans="1:4" ht="35.1" customHeight="1">
      <c r="A6" s="201" t="s">
        <v>476</v>
      </c>
      <c r="B6" s="197" t="s">
        <v>31</v>
      </c>
      <c r="C6" s="200">
        <f>'Soo koobida guud'!C64</f>
        <v>370128628334</v>
      </c>
      <c r="D6" s="369">
        <f>C6/C14</f>
        <v>0.49350483777854914</v>
      </c>
    </row>
    <row r="7" spans="1:4" ht="35.1" customHeight="1">
      <c r="A7" s="201" t="s">
        <v>478</v>
      </c>
      <c r="B7" s="197" t="s">
        <v>794</v>
      </c>
      <c r="C7" s="200">
        <f>'Soo koobida guud'!D64</f>
        <v>166778043553.65002</v>
      </c>
      <c r="D7" s="369">
        <f>C7/C14</f>
        <v>0.22237072473814709</v>
      </c>
    </row>
    <row r="8" spans="1:4" ht="35.1" customHeight="1">
      <c r="A8" s="201" t="s">
        <v>481</v>
      </c>
      <c r="B8" s="197" t="s">
        <v>795</v>
      </c>
      <c r="C8" s="200">
        <f>'Soo koobida guud'!E64</f>
        <v>109136652713.81427</v>
      </c>
      <c r="D8" s="369">
        <f>C8/C14</f>
        <v>0.14551553695171771</v>
      </c>
    </row>
    <row r="9" spans="1:4" ht="35.1" customHeight="1">
      <c r="A9" s="201" t="s">
        <v>502</v>
      </c>
      <c r="B9" s="197" t="s">
        <v>796</v>
      </c>
      <c r="C9" s="200">
        <f>'Soo koobida guud'!F64</f>
        <v>7637156208</v>
      </c>
      <c r="D9" s="369">
        <f>C9/C14</f>
        <v>1.0182874943997576E-2</v>
      </c>
    </row>
    <row r="10" spans="1:4" ht="35.1" customHeight="1">
      <c r="A10" s="201" t="s">
        <v>497</v>
      </c>
      <c r="B10" s="197" t="s">
        <v>545</v>
      </c>
      <c r="C10" s="200">
        <f>'Soo koobida guud'!G64</f>
        <v>31147411720</v>
      </c>
      <c r="D10" s="369">
        <f>C10/C14</f>
        <v>4.1529882293323446E-2</v>
      </c>
    </row>
    <row r="11" spans="1:4" ht="35.1" customHeight="1">
      <c r="A11" s="201" t="s">
        <v>338</v>
      </c>
      <c r="B11" s="197" t="s">
        <v>301</v>
      </c>
      <c r="C11" s="200">
        <f>'Soo koobida guud'!H64</f>
        <v>24360000000</v>
      </c>
      <c r="D11" s="369">
        <f>C11/C14</f>
        <v>3.2479999999992265E-2</v>
      </c>
    </row>
    <row r="12" spans="1:4" ht="35.1" customHeight="1">
      <c r="A12" s="201" t="s">
        <v>611</v>
      </c>
      <c r="B12" s="197" t="s">
        <v>797</v>
      </c>
      <c r="C12" s="200">
        <f>'Soo koobida guud'!I64</f>
        <v>6772505085.7142859</v>
      </c>
      <c r="D12" s="369">
        <f>C12/C14</f>
        <v>9.0300067809502317E-3</v>
      </c>
    </row>
    <row r="13" spans="1:4" ht="35.1" customHeight="1">
      <c r="A13" s="201" t="s">
        <v>807</v>
      </c>
      <c r="B13" s="197" t="s">
        <v>1280</v>
      </c>
      <c r="C13" s="200">
        <f>'Soo koobida guud'!J64</f>
        <v>34039602385</v>
      </c>
      <c r="D13" s="369">
        <f>C13/C14</f>
        <v>4.5386136513322524E-2</v>
      </c>
    </row>
    <row r="14" spans="1:4" ht="35.1" customHeight="1">
      <c r="A14" s="203"/>
      <c r="B14" s="199" t="s">
        <v>800</v>
      </c>
      <c r="C14" s="206">
        <f>SUM(C6:C13)</f>
        <v>750000000000.17859</v>
      </c>
      <c r="D14" s="370">
        <f>C14/C14</f>
        <v>1</v>
      </c>
    </row>
  </sheetData>
  <mergeCells count="1">
    <mergeCell ref="A4:D4"/>
  </mergeCells>
  <pageMargins left="0.45" right="0.37" top="3.18" bottom="0.75" header="1.91" footer="0.3"/>
  <pageSetup scale="60" orientation="portrait" r:id="rId1"/>
  <headerFooter>
    <oddHeader>&amp;C&amp;36Shaxda Kharashka Guud ee Miisaaniyadda Sannadka 2013.</oddHeader>
    <oddFooter>&amp;R&amp;"Times New Roman,Bold"&amp;12 55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O61"/>
  <sheetViews>
    <sheetView view="pageBreakPreview" topLeftCell="A44" zoomScale="60" zoomScaleNormal="75" workbookViewId="0">
      <selection activeCell="A44" sqref="A1:XFD1048576"/>
    </sheetView>
  </sheetViews>
  <sheetFormatPr defaultRowHeight="27" customHeight="1"/>
  <cols>
    <col min="1" max="1" width="17.5" style="418" customWidth="1"/>
    <col min="2" max="2" width="82.6640625" style="418" customWidth="1"/>
    <col min="3" max="3" width="17.33203125" style="418" hidden="1" customWidth="1"/>
    <col min="4" max="4" width="15.5" style="418" hidden="1" customWidth="1"/>
    <col min="5" max="5" width="18" style="418" hidden="1" customWidth="1"/>
    <col min="6" max="6" width="2.33203125" style="418" hidden="1" customWidth="1"/>
    <col min="7" max="7" width="23.5" style="418" hidden="1" customWidth="1"/>
    <col min="8" max="9" width="25" style="418" hidden="1" customWidth="1"/>
    <col min="10" max="10" width="1.5" style="418" hidden="1" customWidth="1"/>
    <col min="11" max="11" width="28.83203125" style="418" hidden="1" customWidth="1"/>
    <col min="12" max="12" width="31" style="418" hidden="1" customWidth="1"/>
    <col min="13" max="14" width="30.6640625" style="418" customWidth="1"/>
    <col min="15" max="15" width="32.33203125" style="418" bestFit="1" customWidth="1"/>
    <col min="16" max="16384" width="9.33203125" style="418"/>
  </cols>
  <sheetData>
    <row r="1" spans="1:15" ht="27" customHeight="1">
      <c r="A1" s="371" t="s">
        <v>44</v>
      </c>
      <c r="B1" s="372">
        <v>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27" customHeight="1">
      <c r="A2" s="371" t="s">
        <v>28</v>
      </c>
      <c r="B2" s="371" t="s">
        <v>29</v>
      </c>
      <c r="C2" s="292" t="s">
        <v>43</v>
      </c>
      <c r="D2" s="292" t="s">
        <v>2</v>
      </c>
      <c r="E2" s="292" t="s">
        <v>48</v>
      </c>
      <c r="F2" s="292" t="s">
        <v>52</v>
      </c>
      <c r="G2" s="292" t="s">
        <v>62</v>
      </c>
      <c r="H2" s="271" t="s">
        <v>70</v>
      </c>
      <c r="I2" s="271" t="s">
        <v>130</v>
      </c>
      <c r="J2" s="271" t="s">
        <v>135</v>
      </c>
      <c r="K2" s="271" t="s">
        <v>166</v>
      </c>
      <c r="L2" s="271" t="s">
        <v>300</v>
      </c>
      <c r="M2" s="271" t="s">
        <v>641</v>
      </c>
      <c r="N2" s="271" t="s">
        <v>1103</v>
      </c>
      <c r="O2" s="271" t="s">
        <v>63</v>
      </c>
    </row>
    <row r="3" spans="1:15" ht="27" customHeight="1">
      <c r="A3" s="292" t="s">
        <v>248</v>
      </c>
      <c r="B3" s="292" t="s">
        <v>165</v>
      </c>
      <c r="C3" s="284"/>
      <c r="D3" s="284"/>
      <c r="E3" s="284"/>
      <c r="F3" s="284"/>
      <c r="G3" s="284"/>
      <c r="H3" s="400"/>
      <c r="I3" s="400"/>
      <c r="J3" s="401"/>
      <c r="K3" s="400"/>
      <c r="L3" s="400"/>
      <c r="M3" s="400"/>
      <c r="N3" s="400"/>
      <c r="O3" s="400"/>
    </row>
    <row r="4" spans="1:15" ht="27" customHeight="1">
      <c r="A4" s="292" t="s">
        <v>249</v>
      </c>
      <c r="B4" s="292" t="s">
        <v>250</v>
      </c>
      <c r="C4" s="284">
        <v>61545000</v>
      </c>
      <c r="D4" s="284">
        <v>74124000</v>
      </c>
      <c r="E4" s="284">
        <v>64128000</v>
      </c>
      <c r="F4" s="284">
        <v>72660000</v>
      </c>
      <c r="G4" s="284">
        <v>72660000</v>
      </c>
      <c r="H4" s="284">
        <f>72660000+42936000</f>
        <v>115596000</v>
      </c>
      <c r="I4" s="284">
        <f>150274800+4149600+13104000+3198000</f>
        <v>170726400</v>
      </c>
      <c r="J4" s="334">
        <f>170726400+3198000</f>
        <v>173924400</v>
      </c>
      <c r="K4" s="284"/>
      <c r="L4" s="284"/>
      <c r="M4" s="284"/>
      <c r="N4" s="284"/>
      <c r="O4" s="284"/>
    </row>
    <row r="5" spans="1:15" ht="27" customHeight="1">
      <c r="A5" s="284" t="s">
        <v>247</v>
      </c>
      <c r="B5" s="284" t="s">
        <v>32</v>
      </c>
      <c r="C5" s="284">
        <v>1180900</v>
      </c>
      <c r="D5" s="284"/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334">
        <v>0</v>
      </c>
      <c r="K5" s="284">
        <v>197527200</v>
      </c>
      <c r="L5" s="284">
        <f>'shaq,3'!H9+390967000</f>
        <v>709675000</v>
      </c>
      <c r="M5" s="284">
        <v>368784000</v>
      </c>
      <c r="N5" s="284">
        <v>404539200</v>
      </c>
      <c r="O5" s="284">
        <f>N5-M5</f>
        <v>35755200</v>
      </c>
    </row>
    <row r="6" spans="1:15" ht="27" customHeight="1">
      <c r="A6" s="284" t="s">
        <v>607</v>
      </c>
      <c r="B6" s="284" t="s">
        <v>608</v>
      </c>
      <c r="C6" s="284"/>
      <c r="D6" s="284"/>
      <c r="E6" s="284"/>
      <c r="F6" s="284"/>
      <c r="G6" s="284"/>
      <c r="H6" s="284"/>
      <c r="I6" s="284"/>
      <c r="J6" s="334"/>
      <c r="K6" s="284">
        <v>0</v>
      </c>
      <c r="L6" s="284">
        <f>174*423800*12+295*345800*12+145*266500*12+249*156000*12+177996000+5085600</f>
        <v>3221946000</v>
      </c>
      <c r="M6" s="284">
        <v>3705686400</v>
      </c>
      <c r="N6" s="284">
        <f>M6</f>
        <v>3705686400</v>
      </c>
      <c r="O6" s="284">
        <f t="shared" ref="O6:O53" si="0">N6-M6</f>
        <v>0</v>
      </c>
    </row>
    <row r="7" spans="1:15" ht="27" customHeight="1">
      <c r="A7" s="284" t="s">
        <v>251</v>
      </c>
      <c r="B7" s="284" t="s">
        <v>717</v>
      </c>
      <c r="C7" s="284">
        <v>1123486000</v>
      </c>
      <c r="D7" s="284">
        <v>1227036000</v>
      </c>
      <c r="E7" s="284">
        <v>1192428000</v>
      </c>
      <c r="F7" s="284">
        <f>1935276000+1200000</f>
        <v>1936476000</v>
      </c>
      <c r="G7" s="284">
        <f>1936476000+600000000</f>
        <v>2536476000</v>
      </c>
      <c r="H7" s="284">
        <f>2529276000+54000000</f>
        <v>2583276000</v>
      </c>
      <c r="I7" s="284">
        <f>2530476000+4800000</f>
        <v>2535276000</v>
      </c>
      <c r="J7" s="334">
        <f>2535276000+2400000</f>
        <v>2537676000</v>
      </c>
      <c r="K7" s="284">
        <v>0</v>
      </c>
      <c r="L7" s="284">
        <v>0</v>
      </c>
      <c r="M7" s="284">
        <v>150000000</v>
      </c>
      <c r="N7" s="284">
        <v>150000000</v>
      </c>
      <c r="O7" s="284">
        <f t="shared" si="0"/>
        <v>0</v>
      </c>
    </row>
    <row r="8" spans="1:15" ht="27" customHeight="1">
      <c r="A8" s="284" t="s">
        <v>252</v>
      </c>
      <c r="B8" s="284" t="s">
        <v>448</v>
      </c>
      <c r="C8" s="284"/>
      <c r="D8" s="284"/>
      <c r="E8" s="284"/>
      <c r="F8" s="284"/>
      <c r="G8" s="284"/>
      <c r="H8" s="284"/>
      <c r="I8" s="284"/>
      <c r="J8" s="334"/>
      <c r="K8" s="284">
        <v>191772000</v>
      </c>
      <c r="L8" s="284">
        <v>191772000</v>
      </c>
      <c r="M8" s="284">
        <v>151200000</v>
      </c>
      <c r="N8" s="284">
        <v>199200000</v>
      </c>
      <c r="O8" s="284">
        <f t="shared" si="0"/>
        <v>48000000</v>
      </c>
    </row>
    <row r="9" spans="1:15" ht="27" customHeight="1">
      <c r="A9" s="284" t="s">
        <v>254</v>
      </c>
      <c r="B9" s="284" t="s">
        <v>674</v>
      </c>
      <c r="C9" s="284">
        <v>2500000</v>
      </c>
      <c r="D9" s="284">
        <v>2000000</v>
      </c>
      <c r="E9" s="284">
        <v>2000000</v>
      </c>
      <c r="F9" s="284">
        <v>2000000</v>
      </c>
      <c r="G9" s="284">
        <v>1600000</v>
      </c>
      <c r="H9" s="284">
        <v>41000000</v>
      </c>
      <c r="I9" s="284">
        <v>41000000</v>
      </c>
      <c r="J9" s="334"/>
      <c r="K9" s="284">
        <v>48000000</v>
      </c>
      <c r="L9" s="284">
        <v>48000000</v>
      </c>
      <c r="M9" s="284">
        <f>L9</f>
        <v>48000000</v>
      </c>
      <c r="N9" s="284">
        <f>M9</f>
        <v>48000000</v>
      </c>
      <c r="O9" s="284">
        <f t="shared" si="0"/>
        <v>0</v>
      </c>
    </row>
    <row r="10" spans="1:15" ht="27" customHeight="1">
      <c r="A10" s="292" t="s">
        <v>255</v>
      </c>
      <c r="B10" s="292" t="s">
        <v>256</v>
      </c>
      <c r="C10" s="284"/>
      <c r="D10" s="284"/>
      <c r="E10" s="284"/>
      <c r="F10" s="284"/>
      <c r="G10" s="284"/>
      <c r="H10" s="284"/>
      <c r="I10" s="284"/>
      <c r="J10" s="334"/>
      <c r="K10" s="292">
        <v>0</v>
      </c>
      <c r="L10" s="292">
        <v>0</v>
      </c>
      <c r="M10" s="292">
        <v>0</v>
      </c>
      <c r="N10" s="292">
        <v>0</v>
      </c>
      <c r="O10" s="284">
        <f t="shared" si="0"/>
        <v>0</v>
      </c>
    </row>
    <row r="11" spans="1:15" ht="27" customHeight="1">
      <c r="A11" s="284" t="s">
        <v>259</v>
      </c>
      <c r="B11" s="284" t="s">
        <v>696</v>
      </c>
      <c r="C11" s="284">
        <v>56250000</v>
      </c>
      <c r="D11" s="284">
        <v>65000000</v>
      </c>
      <c r="E11" s="284">
        <v>65000000</v>
      </c>
      <c r="F11" s="284">
        <v>65000000</v>
      </c>
      <c r="G11" s="284">
        <v>86788800</v>
      </c>
      <c r="H11" s="284">
        <v>141500000</v>
      </c>
      <c r="I11" s="284">
        <v>200000000</v>
      </c>
      <c r="J11" s="334">
        <v>230000000</v>
      </c>
      <c r="K11" s="284">
        <v>0</v>
      </c>
      <c r="L11" s="284">
        <v>6570200</v>
      </c>
      <c r="M11" s="284">
        <v>1898304817</v>
      </c>
      <c r="N11" s="284">
        <v>1000000000</v>
      </c>
      <c r="O11" s="284">
        <f t="shared" si="0"/>
        <v>-898304817</v>
      </c>
    </row>
    <row r="12" spans="1:15" ht="27" customHeight="1">
      <c r="A12" s="284" t="s">
        <v>258</v>
      </c>
      <c r="B12" s="284" t="s">
        <v>261</v>
      </c>
      <c r="C12" s="284">
        <v>18000000</v>
      </c>
      <c r="D12" s="284">
        <f>25000000-2000000</f>
        <v>23000000</v>
      </c>
      <c r="E12" s="284">
        <v>23000000</v>
      </c>
      <c r="F12" s="284">
        <v>23000000</v>
      </c>
      <c r="G12" s="284">
        <v>18400000</v>
      </c>
      <c r="H12" s="284">
        <v>56000000</v>
      </c>
      <c r="I12" s="284">
        <v>100000000</v>
      </c>
      <c r="J12" s="334">
        <v>80000000</v>
      </c>
      <c r="K12" s="284">
        <v>0</v>
      </c>
      <c r="L12" s="284">
        <v>0</v>
      </c>
      <c r="M12" s="284">
        <v>0</v>
      </c>
      <c r="N12" s="284">
        <v>0</v>
      </c>
      <c r="O12" s="284">
        <f t="shared" si="0"/>
        <v>0</v>
      </c>
    </row>
    <row r="13" spans="1:15" ht="27" customHeight="1">
      <c r="A13" s="284"/>
      <c r="B13" s="292" t="s">
        <v>119</v>
      </c>
      <c r="C13" s="284">
        <v>11878000</v>
      </c>
      <c r="D13" s="284">
        <f>2000000+2000000</f>
        <v>4000000</v>
      </c>
      <c r="E13" s="284">
        <v>2000000</v>
      </c>
      <c r="F13" s="284">
        <v>2000000</v>
      </c>
      <c r="G13" s="284">
        <v>1600000</v>
      </c>
      <c r="H13" s="284">
        <v>30000000</v>
      </c>
      <c r="I13" s="284">
        <v>60000000</v>
      </c>
      <c r="J13" s="334">
        <v>50000000</v>
      </c>
      <c r="K13" s="292">
        <f>SUM(K5:K12)</f>
        <v>437299200</v>
      </c>
      <c r="L13" s="292">
        <f>SUM(L5:L12)</f>
        <v>4177963200</v>
      </c>
      <c r="M13" s="292">
        <f>SUM(M5:M12)</f>
        <v>6321975217</v>
      </c>
      <c r="N13" s="292">
        <f>SUM(N5:N12)</f>
        <v>5507425600</v>
      </c>
      <c r="O13" s="292">
        <f t="shared" si="0"/>
        <v>-814549617</v>
      </c>
    </row>
    <row r="14" spans="1:15" ht="27" customHeight="1">
      <c r="A14" s="292" t="s">
        <v>262</v>
      </c>
      <c r="B14" s="292" t="s">
        <v>263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200000000</v>
      </c>
      <c r="I14" s="284">
        <v>200000000</v>
      </c>
      <c r="J14" s="334">
        <v>280000000</v>
      </c>
      <c r="K14" s="284"/>
      <c r="L14" s="284"/>
      <c r="M14" s="284"/>
      <c r="N14" s="284"/>
      <c r="O14" s="284">
        <f t="shared" si="0"/>
        <v>0</v>
      </c>
    </row>
    <row r="15" spans="1:15" ht="27" customHeight="1">
      <c r="A15" s="292" t="s">
        <v>265</v>
      </c>
      <c r="B15" s="292" t="s">
        <v>264</v>
      </c>
      <c r="C15" s="284"/>
      <c r="D15" s="284"/>
      <c r="E15" s="284"/>
      <c r="F15" s="284"/>
      <c r="G15" s="284"/>
      <c r="H15" s="284"/>
      <c r="I15" s="284"/>
      <c r="J15" s="334"/>
      <c r="K15" s="284"/>
      <c r="L15" s="284"/>
      <c r="M15" s="284"/>
      <c r="N15" s="284"/>
      <c r="O15" s="284">
        <f t="shared" si="0"/>
        <v>0</v>
      </c>
    </row>
    <row r="16" spans="1:15" s="412" customFormat="1" ht="27" customHeight="1">
      <c r="A16" s="284" t="s">
        <v>266</v>
      </c>
      <c r="B16" s="284" t="s">
        <v>38</v>
      </c>
      <c r="C16" s="28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356850000</v>
      </c>
      <c r="I16" s="284">
        <v>0</v>
      </c>
      <c r="J16" s="334">
        <v>84000000</v>
      </c>
      <c r="K16" s="284">
        <v>13406400</v>
      </c>
      <c r="L16" s="284">
        <f>13406400*70%</f>
        <v>9384480</v>
      </c>
      <c r="M16" s="284">
        <f>13406400*70%</f>
        <v>9384480</v>
      </c>
      <c r="N16" s="284">
        <f>13406400*70%</f>
        <v>9384480</v>
      </c>
      <c r="O16" s="284">
        <f t="shared" si="0"/>
        <v>0</v>
      </c>
    </row>
    <row r="17" spans="1:15" ht="27" customHeight="1">
      <c r="A17" s="284" t="s">
        <v>269</v>
      </c>
      <c r="B17" s="284" t="s">
        <v>186</v>
      </c>
      <c r="C17" s="284"/>
      <c r="D17" s="284"/>
      <c r="E17" s="284"/>
      <c r="F17" s="284"/>
      <c r="G17" s="284"/>
      <c r="H17" s="284"/>
      <c r="I17" s="284"/>
      <c r="J17" s="334"/>
      <c r="K17" s="284">
        <v>16000000</v>
      </c>
      <c r="L17" s="284">
        <f>16000000*70%</f>
        <v>11200000</v>
      </c>
      <c r="M17" s="284">
        <f>16000000*70%</f>
        <v>11200000</v>
      </c>
      <c r="N17" s="284">
        <f>16000000*70%</f>
        <v>11200000</v>
      </c>
      <c r="O17" s="284">
        <f t="shared" si="0"/>
        <v>0</v>
      </c>
    </row>
    <row r="18" spans="1:15" ht="27" customHeight="1">
      <c r="A18" s="284" t="s">
        <v>270</v>
      </c>
      <c r="B18" s="284" t="s">
        <v>163</v>
      </c>
      <c r="C18" s="284"/>
      <c r="D18" s="284"/>
      <c r="E18" s="284"/>
      <c r="F18" s="284"/>
      <c r="G18" s="284"/>
      <c r="H18" s="284"/>
      <c r="I18" s="284"/>
      <c r="J18" s="334"/>
      <c r="K18" s="284">
        <v>0</v>
      </c>
      <c r="L18" s="284">
        <v>0</v>
      </c>
      <c r="M18" s="284">
        <v>0</v>
      </c>
      <c r="N18" s="284">
        <v>0</v>
      </c>
      <c r="O18" s="284">
        <f t="shared" si="0"/>
        <v>0</v>
      </c>
    </row>
    <row r="19" spans="1:15" ht="27" customHeight="1">
      <c r="A19" s="284" t="s">
        <v>271</v>
      </c>
      <c r="B19" s="284" t="s">
        <v>832</v>
      </c>
      <c r="C19" s="284">
        <v>2500000</v>
      </c>
      <c r="D19" s="284">
        <v>2000000</v>
      </c>
      <c r="E19" s="284">
        <v>2000000</v>
      </c>
      <c r="F19" s="284">
        <v>2000000</v>
      </c>
      <c r="G19" s="284">
        <v>1600000</v>
      </c>
      <c r="H19" s="284">
        <v>41000000</v>
      </c>
      <c r="I19" s="284">
        <v>41000000</v>
      </c>
      <c r="J19" s="334">
        <v>31000000</v>
      </c>
      <c r="K19" s="284">
        <v>71417600</v>
      </c>
      <c r="L19" s="284">
        <f>71417600*70%</f>
        <v>49992320</v>
      </c>
      <c r="M19" s="284">
        <v>897864000</v>
      </c>
      <c r="N19" s="284">
        <v>600000000</v>
      </c>
      <c r="O19" s="284">
        <f t="shared" si="0"/>
        <v>-297864000</v>
      </c>
    </row>
    <row r="20" spans="1:15" ht="27" customHeight="1">
      <c r="A20" s="284" t="s">
        <v>274</v>
      </c>
      <c r="B20" s="284" t="s">
        <v>164</v>
      </c>
      <c r="C20" s="284">
        <v>23000000</v>
      </c>
      <c r="D20" s="284">
        <v>15000000</v>
      </c>
      <c r="E20" s="284">
        <v>8949700</v>
      </c>
      <c r="F20" s="284">
        <v>8949700</v>
      </c>
      <c r="G20" s="284">
        <v>12000000</v>
      </c>
      <c r="H20" s="284">
        <v>80000000</v>
      </c>
      <c r="I20" s="284">
        <v>80000000</v>
      </c>
      <c r="J20" s="334">
        <v>80000000</v>
      </c>
      <c r="K20" s="284">
        <v>3079200</v>
      </c>
      <c r="L20" s="284">
        <f>3079200*70%</f>
        <v>2155440</v>
      </c>
      <c r="M20" s="284">
        <f>3079200*70%</f>
        <v>2155440</v>
      </c>
      <c r="N20" s="284">
        <f>3079200*70%</f>
        <v>2155440</v>
      </c>
      <c r="O20" s="284">
        <f t="shared" si="0"/>
        <v>0</v>
      </c>
    </row>
    <row r="21" spans="1:15" ht="27" customHeight="1">
      <c r="A21" s="284" t="s">
        <v>275</v>
      </c>
      <c r="B21" s="284" t="s">
        <v>40</v>
      </c>
      <c r="C21" s="284">
        <v>10061000</v>
      </c>
      <c r="D21" s="284">
        <v>2000000</v>
      </c>
      <c r="E21" s="284">
        <v>0</v>
      </c>
      <c r="F21" s="284">
        <v>0</v>
      </c>
      <c r="G21" s="284">
        <v>0</v>
      </c>
      <c r="H21" s="284">
        <v>30000000</v>
      </c>
      <c r="I21" s="284">
        <v>40000000</v>
      </c>
      <c r="J21" s="334">
        <v>30000000</v>
      </c>
      <c r="K21" s="284">
        <v>10586000</v>
      </c>
      <c r="L21" s="284">
        <f>10586000*70%</f>
        <v>7410199.9999999991</v>
      </c>
      <c r="M21" s="284">
        <f>10586000*70%</f>
        <v>7410199.9999999991</v>
      </c>
      <c r="N21" s="284">
        <f>10586000*70%</f>
        <v>7410199.9999999991</v>
      </c>
      <c r="O21" s="284">
        <f t="shared" si="0"/>
        <v>0</v>
      </c>
    </row>
    <row r="22" spans="1:15" ht="27" customHeight="1">
      <c r="A22" s="284" t="s">
        <v>277</v>
      </c>
      <c r="B22" s="284" t="s">
        <v>218</v>
      </c>
      <c r="C22" s="284">
        <v>3000000</v>
      </c>
      <c r="D22" s="284">
        <v>1500000</v>
      </c>
      <c r="E22" s="284">
        <v>0</v>
      </c>
      <c r="F22" s="284">
        <v>0</v>
      </c>
      <c r="G22" s="284">
        <v>0</v>
      </c>
      <c r="H22" s="284">
        <v>15000000</v>
      </c>
      <c r="I22" s="284">
        <v>20000000</v>
      </c>
      <c r="J22" s="334">
        <v>20000000</v>
      </c>
      <c r="K22" s="284">
        <v>120000000</v>
      </c>
      <c r="L22" s="284">
        <f>120000000*70%</f>
        <v>84000000</v>
      </c>
      <c r="M22" s="284">
        <v>0</v>
      </c>
      <c r="N22" s="284">
        <v>0</v>
      </c>
      <c r="O22" s="284">
        <f t="shared" si="0"/>
        <v>0</v>
      </c>
    </row>
    <row r="23" spans="1:15" ht="27" customHeight="1">
      <c r="A23" s="284" t="s">
        <v>335</v>
      </c>
      <c r="B23" s="284" t="s">
        <v>1123</v>
      </c>
      <c r="C23" s="284"/>
      <c r="D23" s="284"/>
      <c r="E23" s="284"/>
      <c r="F23" s="284"/>
      <c r="G23" s="284"/>
      <c r="H23" s="284"/>
      <c r="I23" s="284"/>
      <c r="J23" s="334"/>
      <c r="K23" s="284"/>
      <c r="L23" s="284"/>
      <c r="M23" s="284"/>
      <c r="N23" s="284">
        <v>100000000</v>
      </c>
      <c r="O23" s="284">
        <f t="shared" si="0"/>
        <v>100000000</v>
      </c>
    </row>
    <row r="24" spans="1:15" ht="27" customHeight="1">
      <c r="A24" s="284" t="s">
        <v>1173</v>
      </c>
      <c r="B24" s="284" t="s">
        <v>1124</v>
      </c>
      <c r="C24" s="284"/>
      <c r="D24" s="284"/>
      <c r="E24" s="284"/>
      <c r="F24" s="284"/>
      <c r="G24" s="284"/>
      <c r="H24" s="284"/>
      <c r="I24" s="284"/>
      <c r="J24" s="334"/>
      <c r="K24" s="284"/>
      <c r="L24" s="284"/>
      <c r="M24" s="284">
        <v>0</v>
      </c>
      <c r="N24" s="284">
        <v>60000000</v>
      </c>
      <c r="O24" s="284">
        <f>N24-M24</f>
        <v>60000000</v>
      </c>
    </row>
    <row r="25" spans="1:15" ht="27" customHeight="1">
      <c r="A25" s="284" t="s">
        <v>778</v>
      </c>
      <c r="B25" s="284" t="s">
        <v>779</v>
      </c>
      <c r="C25" s="284"/>
      <c r="D25" s="284"/>
      <c r="E25" s="284"/>
      <c r="F25" s="284"/>
      <c r="G25" s="284"/>
      <c r="H25" s="284"/>
      <c r="I25" s="284"/>
      <c r="J25" s="334"/>
      <c r="K25" s="284"/>
      <c r="L25" s="284">
        <v>0</v>
      </c>
      <c r="M25" s="284">
        <v>500000000</v>
      </c>
      <c r="N25" s="284">
        <v>500000000</v>
      </c>
      <c r="O25" s="284">
        <f t="shared" si="0"/>
        <v>0</v>
      </c>
    </row>
    <row r="26" spans="1:15" ht="27" customHeight="1">
      <c r="A26" s="284"/>
      <c r="B26" s="292" t="s">
        <v>119</v>
      </c>
      <c r="C26" s="284">
        <v>0</v>
      </c>
      <c r="D26" s="284">
        <v>0</v>
      </c>
      <c r="E26" s="284">
        <v>0</v>
      </c>
      <c r="F26" s="284">
        <v>0</v>
      </c>
      <c r="G26" s="284">
        <v>16000000</v>
      </c>
      <c r="H26" s="284">
        <v>360113000</v>
      </c>
      <c r="I26" s="284">
        <v>208212162</v>
      </c>
      <c r="J26" s="334">
        <v>330000000</v>
      </c>
      <c r="K26" s="292">
        <f>SUM(K16:K22)</f>
        <v>234489200</v>
      </c>
      <c r="L26" s="292">
        <f>SUM(L16:L22)</f>
        <v>164142440</v>
      </c>
      <c r="M26" s="292">
        <f>SUM(M16:M25)</f>
        <v>1428014120</v>
      </c>
      <c r="N26" s="292">
        <f>SUM(N16:N25)</f>
        <v>1290150120</v>
      </c>
      <c r="O26" s="292">
        <f>N26-M26</f>
        <v>-137864000</v>
      </c>
    </row>
    <row r="27" spans="1:15" ht="27" customHeight="1">
      <c r="A27" s="292" t="s">
        <v>279</v>
      </c>
      <c r="B27" s="292" t="s">
        <v>278</v>
      </c>
      <c r="C27" s="284"/>
      <c r="D27" s="284"/>
      <c r="E27" s="284"/>
      <c r="F27" s="284"/>
      <c r="G27" s="284"/>
      <c r="H27" s="284"/>
      <c r="I27" s="284">
        <v>0</v>
      </c>
      <c r="J27" s="334">
        <v>35000000</v>
      </c>
      <c r="K27" s="292"/>
      <c r="L27" s="292"/>
      <c r="M27" s="292"/>
      <c r="N27" s="292"/>
      <c r="O27" s="284">
        <f t="shared" si="0"/>
        <v>0</v>
      </c>
    </row>
    <row r="28" spans="1:15" ht="27" customHeight="1">
      <c r="A28" s="284" t="s">
        <v>280</v>
      </c>
      <c r="B28" s="284" t="s">
        <v>160</v>
      </c>
      <c r="C28" s="292" t="e">
        <f>#REF!+#REF!+#REF!+#REF!+#REF!</f>
        <v>#REF!</v>
      </c>
      <c r="D28" s="292" t="e">
        <f>#REF!+#REF!+#REF!+#REF!+#REF!</f>
        <v>#REF!</v>
      </c>
      <c r="E28" s="292" t="e">
        <f>#REF!+#REF!+#REF!+#REF!+#REF!</f>
        <v>#REF!</v>
      </c>
      <c r="F28" s="292" t="e">
        <f>#REF!+#REF!+#REF!+#REF!+#REF!</f>
        <v>#REF!</v>
      </c>
      <c r="G28" s="292" t="e">
        <f>#REF!+#REF!+#REF!+#REF!+#REF!</f>
        <v>#REF!</v>
      </c>
      <c r="H28" s="292" t="e">
        <f>#REF!+#REF!+#REF!+#REF!+#REF!</f>
        <v>#REF!</v>
      </c>
      <c r="I28" s="292" t="e">
        <f>#REF!+#REF!+#REF!+#REF!+#REF!</f>
        <v>#REF!</v>
      </c>
      <c r="J28" s="402" t="e">
        <f>#REF!+#REF!+#REF!+#REF!+#REF!</f>
        <v>#REF!</v>
      </c>
      <c r="K28" s="284">
        <v>0</v>
      </c>
      <c r="L28" s="284">
        <v>0</v>
      </c>
      <c r="M28" s="284">
        <v>0</v>
      </c>
      <c r="N28" s="284">
        <v>0</v>
      </c>
      <c r="O28" s="284">
        <f t="shared" si="0"/>
        <v>0</v>
      </c>
    </row>
    <row r="29" spans="1:15" ht="27" customHeight="1">
      <c r="A29" s="284" t="s">
        <v>281</v>
      </c>
      <c r="B29" s="284" t="s">
        <v>161</v>
      </c>
      <c r="C29" s="335"/>
      <c r="D29" s="335"/>
      <c r="E29" s="335"/>
      <c r="F29" s="336">
        <v>0</v>
      </c>
      <c r="G29" s="336" t="s">
        <v>4</v>
      </c>
      <c r="H29" s="336"/>
      <c r="I29" s="336"/>
      <c r="J29" s="403"/>
      <c r="K29" s="284">
        <v>69000000</v>
      </c>
      <c r="L29" s="284">
        <f>69000000*70%</f>
        <v>48300000</v>
      </c>
      <c r="M29" s="284">
        <f>L29*80%</f>
        <v>38640000</v>
      </c>
      <c r="N29" s="284">
        <v>58640000</v>
      </c>
      <c r="O29" s="284">
        <f t="shared" si="0"/>
        <v>20000000</v>
      </c>
    </row>
    <row r="30" spans="1:15" ht="27" customHeight="1">
      <c r="A30" s="284" t="s">
        <v>282</v>
      </c>
      <c r="B30" s="284" t="s">
        <v>155</v>
      </c>
      <c r="C30" s="335"/>
      <c r="D30" s="335"/>
      <c r="E30" s="335"/>
      <c r="F30" s="336"/>
      <c r="G30" s="336"/>
      <c r="H30" s="336"/>
      <c r="I30" s="336"/>
      <c r="J30" s="403"/>
      <c r="K30" s="284">
        <v>14151200</v>
      </c>
      <c r="L30" s="284">
        <f>14151200*70%</f>
        <v>9905840</v>
      </c>
      <c r="M30" s="284">
        <f>14151200*70%</f>
        <v>9905840</v>
      </c>
      <c r="N30" s="284">
        <v>19905840</v>
      </c>
      <c r="O30" s="284">
        <f t="shared" si="0"/>
        <v>10000000</v>
      </c>
    </row>
    <row r="31" spans="1:15" ht="27" customHeight="1">
      <c r="A31" s="284" t="s">
        <v>283</v>
      </c>
      <c r="B31" s="284" t="s">
        <v>156</v>
      </c>
      <c r="C31" s="284"/>
      <c r="D31" s="284"/>
      <c r="E31" s="284"/>
      <c r="F31" s="284"/>
      <c r="G31" s="284"/>
      <c r="H31" s="284"/>
      <c r="I31" s="284"/>
      <c r="J31" s="334"/>
      <c r="K31" s="336">
        <v>1489600</v>
      </c>
      <c r="L31" s="336">
        <f>1489600*70%</f>
        <v>1042719.9999999999</v>
      </c>
      <c r="M31" s="336">
        <f>1489600*70%</f>
        <v>1042719.9999999999</v>
      </c>
      <c r="N31" s="336">
        <f>1489600*70%</f>
        <v>1042719.9999999999</v>
      </c>
      <c r="O31" s="284">
        <f t="shared" si="0"/>
        <v>0</v>
      </c>
    </row>
    <row r="32" spans="1:15" ht="27" customHeight="1">
      <c r="A32" s="284" t="s">
        <v>284</v>
      </c>
      <c r="B32" s="284" t="s">
        <v>162</v>
      </c>
      <c r="C32" s="284">
        <v>4000000</v>
      </c>
      <c r="D32" s="284">
        <v>2000000</v>
      </c>
      <c r="E32" s="284">
        <v>0</v>
      </c>
      <c r="F32" s="284">
        <v>0</v>
      </c>
      <c r="G32" s="284">
        <v>0</v>
      </c>
      <c r="H32" s="284">
        <v>200000000</v>
      </c>
      <c r="I32" s="284">
        <v>200000000</v>
      </c>
      <c r="J32" s="334">
        <v>200000000</v>
      </c>
      <c r="K32" s="336">
        <v>0</v>
      </c>
      <c r="L32" s="336">
        <v>0</v>
      </c>
      <c r="M32" s="336">
        <v>0</v>
      </c>
      <c r="N32" s="336">
        <v>0</v>
      </c>
      <c r="O32" s="284">
        <f t="shared" si="0"/>
        <v>0</v>
      </c>
    </row>
    <row r="33" spans="1:15" ht="27" customHeight="1">
      <c r="A33" s="284" t="s">
        <v>298</v>
      </c>
      <c r="B33" s="284" t="s">
        <v>219</v>
      </c>
      <c r="C33" s="284">
        <v>0</v>
      </c>
      <c r="D33" s="284">
        <v>0</v>
      </c>
      <c r="E33" s="284">
        <v>0</v>
      </c>
      <c r="F33" s="284">
        <v>0</v>
      </c>
      <c r="G33" s="284">
        <v>0</v>
      </c>
      <c r="H33" s="284">
        <v>150000000</v>
      </c>
      <c r="I33" s="284">
        <v>150000000</v>
      </c>
      <c r="J33" s="334">
        <v>150000000</v>
      </c>
      <c r="K33" s="284">
        <v>0</v>
      </c>
      <c r="L33" s="284">
        <v>0</v>
      </c>
      <c r="M33" s="284">
        <v>0</v>
      </c>
      <c r="N33" s="284">
        <v>0</v>
      </c>
      <c r="O33" s="284">
        <f t="shared" si="0"/>
        <v>0</v>
      </c>
    </row>
    <row r="34" spans="1:15" ht="27" customHeight="1">
      <c r="A34" s="284"/>
      <c r="B34" s="292" t="s">
        <v>119</v>
      </c>
      <c r="C34" s="284">
        <v>10089000</v>
      </c>
      <c r="D34" s="284">
        <v>10004000</v>
      </c>
      <c r="E34" s="284">
        <v>20004000</v>
      </c>
      <c r="F34" s="284">
        <v>20004000</v>
      </c>
      <c r="G34" s="284">
        <v>40003200</v>
      </c>
      <c r="H34" s="284">
        <v>100000000</v>
      </c>
      <c r="I34" s="284">
        <v>100000000</v>
      </c>
      <c r="J34" s="334">
        <v>100000000</v>
      </c>
      <c r="K34" s="292">
        <f>SUM(K28:K33)</f>
        <v>84640800</v>
      </c>
      <c r="L34" s="292">
        <f>SUM(L28:L33)</f>
        <v>59248560</v>
      </c>
      <c r="M34" s="292">
        <f>SUM(M28:M33)</f>
        <v>49588560</v>
      </c>
      <c r="N34" s="292">
        <f>SUM(N28:N33)</f>
        <v>79588560</v>
      </c>
      <c r="O34" s="284">
        <f t="shared" si="0"/>
        <v>30000000</v>
      </c>
    </row>
    <row r="35" spans="1:15" ht="27" customHeight="1">
      <c r="A35" s="292" t="s">
        <v>285</v>
      </c>
      <c r="B35" s="292" t="s">
        <v>158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616200000</v>
      </c>
      <c r="I35" s="284">
        <v>616200000</v>
      </c>
      <c r="J35" s="334">
        <v>616200000</v>
      </c>
      <c r="K35" s="284"/>
      <c r="L35" s="284"/>
      <c r="M35" s="284"/>
      <c r="N35" s="284"/>
      <c r="O35" s="284">
        <f t="shared" si="0"/>
        <v>0</v>
      </c>
    </row>
    <row r="36" spans="1:15" ht="27" customHeight="1">
      <c r="A36" s="284" t="s">
        <v>286</v>
      </c>
      <c r="B36" s="284" t="s">
        <v>55</v>
      </c>
      <c r="C36" s="284">
        <v>13333000</v>
      </c>
      <c r="D36" s="284">
        <v>5000000</v>
      </c>
      <c r="E36" s="284">
        <v>0</v>
      </c>
      <c r="F36" s="284">
        <v>0</v>
      </c>
      <c r="G36" s="284">
        <v>0</v>
      </c>
      <c r="H36" s="284">
        <v>100000000</v>
      </c>
      <c r="I36" s="284">
        <v>70000000</v>
      </c>
      <c r="J36" s="334">
        <v>70000000</v>
      </c>
      <c r="K36" s="284">
        <v>4000000</v>
      </c>
      <c r="L36" s="284">
        <f>4000000*70%</f>
        <v>2800000</v>
      </c>
      <c r="M36" s="284">
        <f>4000000*70%</f>
        <v>2800000</v>
      </c>
      <c r="N36" s="284">
        <f>4000000*70%</f>
        <v>2800000</v>
      </c>
      <c r="O36" s="284">
        <f t="shared" si="0"/>
        <v>0</v>
      </c>
    </row>
    <row r="37" spans="1:15" ht="27" customHeight="1">
      <c r="A37" s="284" t="s">
        <v>288</v>
      </c>
      <c r="B37" s="284" t="s">
        <v>287</v>
      </c>
      <c r="C37" s="284">
        <v>0</v>
      </c>
      <c r="D37" s="284">
        <v>0</v>
      </c>
      <c r="E37" s="284">
        <v>0</v>
      </c>
      <c r="F37" s="284">
        <v>0</v>
      </c>
      <c r="G37" s="284">
        <v>0</v>
      </c>
      <c r="H37" s="284">
        <v>0</v>
      </c>
      <c r="I37" s="284">
        <v>0</v>
      </c>
      <c r="J37" s="334">
        <v>0</v>
      </c>
      <c r="K37" s="284">
        <v>1558122</v>
      </c>
      <c r="L37" s="284">
        <f>1558122*70%</f>
        <v>1090685.3999999999</v>
      </c>
      <c r="M37" s="284">
        <f>1558122*70%</f>
        <v>1090685.3999999999</v>
      </c>
      <c r="N37" s="284">
        <f>1558122*70%</f>
        <v>1090685.3999999999</v>
      </c>
      <c r="O37" s="284">
        <f t="shared" si="0"/>
        <v>0</v>
      </c>
    </row>
    <row r="38" spans="1:15" ht="27" customHeight="1">
      <c r="A38" s="284" t="s">
        <v>289</v>
      </c>
      <c r="B38" s="284" t="s">
        <v>290</v>
      </c>
      <c r="C38" s="292">
        <f t="shared" ref="C38:J38" si="1">SUM(C36:C37)</f>
        <v>13333000</v>
      </c>
      <c r="D38" s="292">
        <f t="shared" si="1"/>
        <v>5000000</v>
      </c>
      <c r="E38" s="292">
        <f t="shared" si="1"/>
        <v>0</v>
      </c>
      <c r="F38" s="292">
        <f t="shared" si="1"/>
        <v>0</v>
      </c>
      <c r="G38" s="292">
        <f t="shared" si="1"/>
        <v>0</v>
      </c>
      <c r="H38" s="292">
        <f t="shared" si="1"/>
        <v>100000000</v>
      </c>
      <c r="I38" s="292">
        <f t="shared" si="1"/>
        <v>70000000</v>
      </c>
      <c r="J38" s="402">
        <f t="shared" si="1"/>
        <v>70000000</v>
      </c>
      <c r="K38" s="284">
        <v>0</v>
      </c>
      <c r="L38" s="284">
        <v>0</v>
      </c>
      <c r="M38" s="284">
        <v>0</v>
      </c>
      <c r="N38" s="284">
        <v>0</v>
      </c>
      <c r="O38" s="284">
        <f t="shared" si="0"/>
        <v>0</v>
      </c>
    </row>
    <row r="39" spans="1:15" ht="27" customHeight="1">
      <c r="A39" s="284"/>
      <c r="B39" s="292" t="s">
        <v>119</v>
      </c>
      <c r="C39" s="292" t="e">
        <f>C38+#REF!+C31+#REF!+#REF!</f>
        <v>#REF!</v>
      </c>
      <c r="D39" s="292" t="e">
        <f>D38+#REF!+D31+#REF!+#REF!</f>
        <v>#REF!</v>
      </c>
      <c r="E39" s="292" t="e">
        <f>E38+#REF!+E31+#REF!+#REF!</f>
        <v>#REF!</v>
      </c>
      <c r="F39" s="292" t="e">
        <f>F38+#REF!+F31+#REF!+#REF!</f>
        <v>#REF!</v>
      </c>
      <c r="G39" s="292" t="e">
        <f>G38+#REF!+#REF!+G31+#REF!</f>
        <v>#REF!</v>
      </c>
      <c r="H39" s="292" t="e">
        <f>H38+#REF!+H31+#REF!+#REF!</f>
        <v>#REF!</v>
      </c>
      <c r="I39" s="292" t="e">
        <f>I38+#REF!+I31+#REF!+#REF!</f>
        <v>#REF!</v>
      </c>
      <c r="J39" s="402" t="e">
        <f>SUM(#REF!+#REF!+J31+J38)</f>
        <v>#REF!</v>
      </c>
      <c r="K39" s="292">
        <f>SUM(K36:K38)</f>
        <v>5558122</v>
      </c>
      <c r="L39" s="292">
        <f>SUM(L36:L38)</f>
        <v>3890685.4</v>
      </c>
      <c r="M39" s="292">
        <f>SUM(M36:M38)</f>
        <v>3890685.4</v>
      </c>
      <c r="N39" s="292">
        <f>SUM(N36:N38)</f>
        <v>3890685.4</v>
      </c>
      <c r="O39" s="292">
        <f t="shared" si="0"/>
        <v>0</v>
      </c>
    </row>
    <row r="40" spans="1:15" ht="27" customHeight="1">
      <c r="A40" s="292" t="s">
        <v>293</v>
      </c>
      <c r="B40" s="292" t="s">
        <v>292</v>
      </c>
      <c r="C40" s="395"/>
      <c r="D40" s="395"/>
      <c r="E40" s="395"/>
      <c r="F40" s="395"/>
      <c r="G40" s="395"/>
      <c r="H40" s="395"/>
      <c r="I40" s="395"/>
      <c r="J40" s="395"/>
      <c r="K40" s="292"/>
      <c r="L40" s="292"/>
      <c r="M40" s="292"/>
      <c r="N40" s="292"/>
      <c r="O40" s="284">
        <f t="shared" si="0"/>
        <v>0</v>
      </c>
    </row>
    <row r="41" spans="1:15" ht="27" customHeight="1">
      <c r="A41" s="292" t="s">
        <v>294</v>
      </c>
      <c r="B41" s="292" t="s">
        <v>291</v>
      </c>
      <c r="C41" s="395"/>
      <c r="D41" s="395"/>
      <c r="E41" s="395"/>
      <c r="F41" s="395"/>
      <c r="G41" s="395"/>
      <c r="H41" s="395"/>
      <c r="I41" s="395"/>
      <c r="J41" s="395"/>
      <c r="K41" s="292"/>
      <c r="L41" s="292"/>
      <c r="M41" s="292"/>
      <c r="N41" s="292"/>
      <c r="O41" s="284">
        <f t="shared" si="0"/>
        <v>0</v>
      </c>
    </row>
    <row r="42" spans="1:15" ht="27" customHeight="1">
      <c r="A42" s="284" t="s">
        <v>389</v>
      </c>
      <c r="B42" s="284" t="s">
        <v>307</v>
      </c>
      <c r="C42" s="395"/>
      <c r="D42" s="395"/>
      <c r="E42" s="395"/>
      <c r="F42" s="395"/>
      <c r="G42" s="395"/>
      <c r="H42" s="395"/>
      <c r="I42" s="395"/>
      <c r="J42" s="395"/>
      <c r="K42" s="284">
        <v>0</v>
      </c>
      <c r="L42" s="284">
        <v>46690000</v>
      </c>
      <c r="M42" s="284">
        <v>0</v>
      </c>
      <c r="N42" s="284">
        <v>30000000</v>
      </c>
      <c r="O42" s="284">
        <f t="shared" si="0"/>
        <v>30000000</v>
      </c>
    </row>
    <row r="43" spans="1:15" ht="27" customHeight="1">
      <c r="A43" s="284" t="s">
        <v>388</v>
      </c>
      <c r="B43" s="284" t="s">
        <v>309</v>
      </c>
      <c r="C43" s="395"/>
      <c r="D43" s="395"/>
      <c r="E43" s="395"/>
      <c r="F43" s="395"/>
      <c r="G43" s="395"/>
      <c r="H43" s="395"/>
      <c r="I43" s="395"/>
      <c r="J43" s="395"/>
      <c r="K43" s="284">
        <v>0</v>
      </c>
      <c r="L43" s="284">
        <v>0</v>
      </c>
      <c r="M43" s="284">
        <v>96000000</v>
      </c>
      <c r="N43" s="284">
        <v>108000000</v>
      </c>
      <c r="O43" s="284">
        <f t="shared" si="0"/>
        <v>12000000</v>
      </c>
    </row>
    <row r="44" spans="1:15" ht="27" customHeight="1">
      <c r="A44" s="284" t="s">
        <v>295</v>
      </c>
      <c r="B44" s="284" t="s">
        <v>176</v>
      </c>
      <c r="C44" s="395"/>
      <c r="D44" s="395"/>
      <c r="E44" s="395"/>
      <c r="F44" s="395"/>
      <c r="G44" s="395"/>
      <c r="H44" s="395"/>
      <c r="I44" s="395"/>
      <c r="J44" s="395"/>
      <c r="K44" s="284">
        <v>0</v>
      </c>
      <c r="L44" s="284">
        <v>0</v>
      </c>
      <c r="M44" s="284">
        <v>0</v>
      </c>
      <c r="N44" s="284">
        <v>0</v>
      </c>
      <c r="O44" s="284">
        <f t="shared" si="0"/>
        <v>0</v>
      </c>
    </row>
    <row r="45" spans="1:15" ht="27" customHeight="1">
      <c r="A45" s="284" t="s">
        <v>296</v>
      </c>
      <c r="B45" s="284" t="s">
        <v>177</v>
      </c>
      <c r="C45" s="395"/>
      <c r="D45" s="395"/>
      <c r="E45" s="395"/>
      <c r="F45" s="395"/>
      <c r="G45" s="395"/>
      <c r="H45" s="395"/>
      <c r="I45" s="395"/>
      <c r="J45" s="395"/>
      <c r="K45" s="284">
        <v>0</v>
      </c>
      <c r="L45" s="284">
        <v>0</v>
      </c>
      <c r="M45" s="284">
        <v>0</v>
      </c>
      <c r="N45" s="284">
        <v>0</v>
      </c>
      <c r="O45" s="284">
        <f t="shared" si="0"/>
        <v>0</v>
      </c>
    </row>
    <row r="46" spans="1:15" ht="27" customHeight="1">
      <c r="A46" s="284"/>
      <c r="B46" s="284" t="s">
        <v>119</v>
      </c>
      <c r="C46" s="395"/>
      <c r="D46" s="395"/>
      <c r="E46" s="395"/>
      <c r="F46" s="395"/>
      <c r="G46" s="395"/>
      <c r="H46" s="395"/>
      <c r="I46" s="395"/>
      <c r="J46" s="395"/>
      <c r="K46" s="292">
        <f>SUM(K42:K45)</f>
        <v>0</v>
      </c>
      <c r="L46" s="292">
        <f>SUM(L42:L45)</f>
        <v>46690000</v>
      </c>
      <c r="M46" s="292">
        <f>SUM(M42:M45)</f>
        <v>96000000</v>
      </c>
      <c r="N46" s="292">
        <f>SUM(N42:N45)</f>
        <v>138000000</v>
      </c>
      <c r="O46" s="284">
        <f t="shared" si="0"/>
        <v>42000000</v>
      </c>
    </row>
    <row r="47" spans="1:15" ht="27" customHeight="1">
      <c r="A47" s="421" t="s">
        <v>611</v>
      </c>
      <c r="B47" s="422" t="s">
        <v>612</v>
      </c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>
        <f t="shared" si="0"/>
        <v>0</v>
      </c>
    </row>
    <row r="48" spans="1:15" ht="27" customHeight="1">
      <c r="A48" s="283" t="s">
        <v>433</v>
      </c>
      <c r="B48" s="284" t="s">
        <v>637</v>
      </c>
      <c r="C48" s="284"/>
      <c r="D48" s="284"/>
      <c r="E48" s="284"/>
      <c r="F48" s="284"/>
      <c r="G48" s="284"/>
      <c r="H48" s="284"/>
      <c r="I48" s="284"/>
      <c r="J48" s="284">
        <v>350400000</v>
      </c>
      <c r="K48" s="284">
        <v>145236000</v>
      </c>
      <c r="L48" s="284">
        <v>101665200</v>
      </c>
      <c r="M48" s="284">
        <v>101665200</v>
      </c>
      <c r="N48" s="284">
        <v>251665200</v>
      </c>
      <c r="O48" s="284">
        <f t="shared" si="0"/>
        <v>150000000</v>
      </c>
    </row>
    <row r="49" spans="1:15" ht="27" customHeight="1">
      <c r="A49" s="283"/>
      <c r="B49" s="292" t="s">
        <v>119</v>
      </c>
      <c r="C49" s="284"/>
      <c r="D49" s="284"/>
      <c r="E49" s="284"/>
      <c r="F49" s="284"/>
      <c r="G49" s="284"/>
      <c r="H49" s="284"/>
      <c r="I49" s="284"/>
      <c r="J49" s="292">
        <f>SUM(J48)</f>
        <v>350400000</v>
      </c>
      <c r="K49" s="292">
        <v>145236000</v>
      </c>
      <c r="L49" s="292">
        <f>L48</f>
        <v>101665200</v>
      </c>
      <c r="M49" s="292">
        <f>M48</f>
        <v>101665200</v>
      </c>
      <c r="N49" s="292">
        <f>N48</f>
        <v>251665200</v>
      </c>
      <c r="O49" s="292">
        <f t="shared" si="0"/>
        <v>150000000</v>
      </c>
    </row>
    <row r="50" spans="1:15" ht="27" customHeight="1">
      <c r="A50" s="423" t="s">
        <v>338</v>
      </c>
      <c r="B50" s="394" t="s">
        <v>683</v>
      </c>
      <c r="C50" s="424"/>
      <c r="D50" s="424"/>
      <c r="E50" s="424"/>
      <c r="F50" s="424"/>
      <c r="G50" s="424"/>
      <c r="H50" s="424"/>
      <c r="I50" s="424"/>
      <c r="J50" s="413"/>
      <c r="K50" s="394"/>
      <c r="L50" s="394"/>
      <c r="M50" s="394"/>
      <c r="N50" s="394"/>
      <c r="O50" s="284">
        <f t="shared" si="0"/>
        <v>0</v>
      </c>
    </row>
    <row r="51" spans="1:15" ht="27" customHeight="1">
      <c r="A51" s="423" t="s">
        <v>446</v>
      </c>
      <c r="B51" s="389" t="s">
        <v>747</v>
      </c>
      <c r="C51" s="424"/>
      <c r="D51" s="424"/>
      <c r="E51" s="424"/>
      <c r="F51" s="424"/>
      <c r="G51" s="424"/>
      <c r="H51" s="424"/>
      <c r="I51" s="424"/>
      <c r="J51" s="413"/>
      <c r="K51" s="394"/>
      <c r="L51" s="389">
        <v>0</v>
      </c>
      <c r="M51" s="389">
        <v>240000000</v>
      </c>
      <c r="N51" s="389">
        <v>0</v>
      </c>
      <c r="O51" s="284">
        <f t="shared" si="0"/>
        <v>-240000000</v>
      </c>
    </row>
    <row r="52" spans="1:15" ht="27" customHeight="1">
      <c r="A52" s="423"/>
      <c r="B52" s="394" t="s">
        <v>119</v>
      </c>
      <c r="C52" s="424"/>
      <c r="D52" s="424"/>
      <c r="E52" s="424"/>
      <c r="F52" s="424"/>
      <c r="G52" s="424"/>
      <c r="H52" s="424"/>
      <c r="I52" s="424"/>
      <c r="J52" s="413"/>
      <c r="K52" s="394"/>
      <c r="L52" s="394">
        <v>0</v>
      </c>
      <c r="M52" s="394">
        <f>SUM(M51)</f>
        <v>240000000</v>
      </c>
      <c r="N52" s="394">
        <v>0</v>
      </c>
      <c r="O52" s="284">
        <f t="shared" si="0"/>
        <v>-240000000</v>
      </c>
    </row>
    <row r="53" spans="1:15" ht="27" customHeight="1" thickBot="1">
      <c r="A53" s="404"/>
      <c r="B53" s="405" t="s">
        <v>42</v>
      </c>
      <c r="C53" s="414"/>
      <c r="D53" s="414"/>
      <c r="E53" s="414"/>
      <c r="F53" s="414"/>
      <c r="G53" s="414"/>
      <c r="H53" s="414"/>
      <c r="I53" s="414"/>
      <c r="J53" s="414"/>
      <c r="K53" s="405">
        <f>K49+K46+K39+K34+K26+K13</f>
        <v>907223322</v>
      </c>
      <c r="L53" s="405">
        <f>L49+L46+L39+L34+L26+L13</f>
        <v>4553600085.3999996</v>
      </c>
      <c r="M53" s="405">
        <f>M52+M49+M39+M34+M26+M13+M46</f>
        <v>8241133782.3999996</v>
      </c>
      <c r="N53" s="405">
        <f>N52+N49+N39+N34+N26+N13+N46</f>
        <v>7270720165.3999996</v>
      </c>
      <c r="O53" s="292">
        <f t="shared" si="0"/>
        <v>-970413617</v>
      </c>
    </row>
    <row r="54" spans="1:15" ht="27" customHeight="1">
      <c r="A54" s="407"/>
      <c r="B54" s="407"/>
      <c r="C54" s="407"/>
      <c r="D54" s="407"/>
      <c r="E54" s="407"/>
      <c r="F54" s="407"/>
      <c r="G54" s="407"/>
      <c r="H54" s="407"/>
      <c r="I54" s="407"/>
      <c r="J54" s="407"/>
      <c r="K54" s="408"/>
      <c r="L54" s="408"/>
      <c r="M54" s="408"/>
      <c r="N54" s="408"/>
      <c r="O54" s="408"/>
    </row>
    <row r="61" spans="1:15" ht="27" customHeight="1">
      <c r="B61" s="419"/>
    </row>
  </sheetData>
  <phoneticPr fontId="0" type="noConversion"/>
  <printOptions gridLines="1"/>
  <pageMargins left="0.67" right="0.33" top="0.54" bottom="0.48" header="0.17" footer="0.17"/>
  <pageSetup scale="50" orientation="portrait" r:id="rId1"/>
  <headerFooter alignWithMargins="0">
    <oddHeader>&amp;C&amp;"Albertus Medium,Bold"&amp;36Hay'adda Shaqaalaha Dawladda</oddHeader>
    <oddFooter>&amp;C&amp;"Algerian,Regular"&amp;18 &amp;R&amp;"Times New Roman,Bold"&amp;14 &amp;18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P47"/>
  <sheetViews>
    <sheetView view="pageBreakPreview" zoomScale="60" zoomScaleNormal="75" workbookViewId="0">
      <selection sqref="A1:XFD1048576"/>
    </sheetView>
  </sheetViews>
  <sheetFormatPr defaultRowHeight="23.1" customHeight="1"/>
  <cols>
    <col min="1" max="1" width="18.1640625" style="425" bestFit="1" customWidth="1"/>
    <col min="2" max="2" width="86.33203125" style="425" bestFit="1" customWidth="1"/>
    <col min="3" max="3" width="19" style="425" hidden="1" customWidth="1"/>
    <col min="4" max="4" width="15.83203125" style="425" hidden="1" customWidth="1"/>
    <col min="5" max="5" width="18" style="425" hidden="1" customWidth="1"/>
    <col min="6" max="6" width="2.1640625" style="425" hidden="1" customWidth="1"/>
    <col min="7" max="7" width="18.6640625" style="425" hidden="1" customWidth="1"/>
    <col min="8" max="8" width="0.1640625" style="425" hidden="1" customWidth="1"/>
    <col min="9" max="9" width="28.83203125" style="425" hidden="1" customWidth="1"/>
    <col min="10" max="11" width="14.33203125" style="425" hidden="1" customWidth="1"/>
    <col min="12" max="12" width="25" style="425" hidden="1" customWidth="1"/>
    <col min="13" max="13" width="24.33203125" style="425" hidden="1" customWidth="1"/>
    <col min="14" max="15" width="27.6640625" style="425" bestFit="1" customWidth="1"/>
    <col min="16" max="16" width="22.5" style="425" bestFit="1" customWidth="1"/>
    <col min="17" max="17" width="17.33203125" style="425" bestFit="1" customWidth="1"/>
    <col min="18" max="16384" width="9.33203125" style="425"/>
  </cols>
  <sheetData>
    <row r="1" spans="1:16" ht="27" customHeight="1">
      <c r="A1" s="371" t="s">
        <v>44</v>
      </c>
      <c r="B1" s="371">
        <v>7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92"/>
      <c r="O1" s="292"/>
      <c r="P1" s="292"/>
    </row>
    <row r="2" spans="1:16" ht="27" customHeight="1">
      <c r="A2" s="371" t="s">
        <v>28</v>
      </c>
      <c r="B2" s="371" t="s">
        <v>29</v>
      </c>
      <c r="C2" s="292" t="s">
        <v>43</v>
      </c>
      <c r="D2" s="292" t="s">
        <v>2</v>
      </c>
      <c r="E2" s="292" t="s">
        <v>48</v>
      </c>
      <c r="F2" s="292" t="s">
        <v>52</v>
      </c>
      <c r="G2" s="292" t="s">
        <v>62</v>
      </c>
      <c r="H2" s="271" t="s">
        <v>70</v>
      </c>
      <c r="I2" s="271" t="s">
        <v>130</v>
      </c>
      <c r="J2" s="271" t="s">
        <v>135</v>
      </c>
      <c r="K2" s="271" t="s">
        <v>166</v>
      </c>
      <c r="L2" s="271" t="s">
        <v>310</v>
      </c>
      <c r="M2" s="271" t="s">
        <v>300</v>
      </c>
      <c r="N2" s="271" t="s">
        <v>1108</v>
      </c>
      <c r="O2" s="271" t="s">
        <v>1107</v>
      </c>
      <c r="P2" s="271" t="s">
        <v>63</v>
      </c>
    </row>
    <row r="3" spans="1:16" ht="27" customHeight="1">
      <c r="A3" s="292" t="s">
        <v>248</v>
      </c>
      <c r="B3" s="292" t="s">
        <v>165</v>
      </c>
      <c r="C3" s="284"/>
      <c r="D3" s="284"/>
      <c r="E3" s="284"/>
      <c r="F3" s="284"/>
      <c r="G3" s="284"/>
      <c r="H3" s="400"/>
      <c r="I3" s="400"/>
      <c r="J3" s="400"/>
      <c r="K3" s="400"/>
      <c r="L3" s="400"/>
      <c r="M3" s="400"/>
      <c r="N3" s="284"/>
      <c r="O3" s="284"/>
      <c r="P3" s="284"/>
    </row>
    <row r="4" spans="1:16" ht="27" customHeight="1">
      <c r="A4" s="292" t="s">
        <v>249</v>
      </c>
      <c r="B4" s="292" t="s">
        <v>250</v>
      </c>
      <c r="C4" s="284">
        <v>61545000</v>
      </c>
      <c r="D4" s="284">
        <v>74124000</v>
      </c>
      <c r="E4" s="284">
        <v>64128000</v>
      </c>
      <c r="F4" s="284">
        <v>72660000</v>
      </c>
      <c r="G4" s="284">
        <v>72660000</v>
      </c>
      <c r="H4" s="284">
        <f>72660000+42936000</f>
        <v>115596000</v>
      </c>
      <c r="I4" s="284">
        <f>150274800+4149600+13104000+3198000</f>
        <v>170726400</v>
      </c>
      <c r="J4" s="284">
        <f>170726400+3198000</f>
        <v>173924400</v>
      </c>
      <c r="K4" s="284"/>
      <c r="L4" s="284"/>
      <c r="M4" s="284"/>
      <c r="N4" s="284"/>
      <c r="O4" s="284"/>
      <c r="P4" s="284"/>
    </row>
    <row r="5" spans="1:16" ht="27" customHeight="1">
      <c r="A5" s="284" t="s">
        <v>247</v>
      </c>
      <c r="B5" s="284" t="s">
        <v>32</v>
      </c>
      <c r="C5" s="284">
        <v>1180900</v>
      </c>
      <c r="D5" s="284"/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>
        <v>197527200</v>
      </c>
      <c r="L5" s="284">
        <v>265824000</v>
      </c>
      <c r="M5" s="284">
        <f>'shaq,3'!H10+10171200+3744000</f>
        <v>415646400</v>
      </c>
      <c r="N5" s="284">
        <v>410030400</v>
      </c>
      <c r="O5" s="284">
        <v>410030400</v>
      </c>
      <c r="P5" s="284">
        <f>O5-N5</f>
        <v>0</v>
      </c>
    </row>
    <row r="6" spans="1:16" ht="27" customHeight="1">
      <c r="A6" s="284" t="s">
        <v>251</v>
      </c>
      <c r="B6" s="284" t="s">
        <v>900</v>
      </c>
      <c r="C6" s="284">
        <v>1123486000</v>
      </c>
      <c r="D6" s="284">
        <v>1227036000</v>
      </c>
      <c r="E6" s="284">
        <v>1192428000</v>
      </c>
      <c r="F6" s="284">
        <f>1935276000+1200000</f>
        <v>1936476000</v>
      </c>
      <c r="G6" s="284">
        <f>1936476000+600000000</f>
        <v>2536476000</v>
      </c>
      <c r="H6" s="284">
        <f>2529276000+54000000</f>
        <v>2583276000</v>
      </c>
      <c r="I6" s="284">
        <f>2530476000+4800000</f>
        <v>2535276000</v>
      </c>
      <c r="J6" s="284">
        <f>2535276000+2400000</f>
        <v>2537676000</v>
      </c>
      <c r="K6" s="284">
        <v>0</v>
      </c>
      <c r="L6" s="284">
        <v>11280000</v>
      </c>
      <c r="M6" s="284">
        <v>11280000</v>
      </c>
      <c r="N6" s="284">
        <v>89280000</v>
      </c>
      <c r="O6" s="284">
        <v>89280000</v>
      </c>
      <c r="P6" s="284">
        <f t="shared" ref="P6:P47" si="0">O6-N6</f>
        <v>0</v>
      </c>
    </row>
    <row r="7" spans="1:16" ht="27" customHeight="1">
      <c r="A7" s="284" t="s">
        <v>252</v>
      </c>
      <c r="B7" s="284" t="s">
        <v>1109</v>
      </c>
      <c r="C7" s="284"/>
      <c r="D7" s="284"/>
      <c r="E7" s="284"/>
      <c r="F7" s="284"/>
      <c r="G7" s="284"/>
      <c r="H7" s="284"/>
      <c r="I7" s="284"/>
      <c r="J7" s="284"/>
      <c r="K7" s="284">
        <v>191772000</v>
      </c>
      <c r="L7" s="284">
        <v>31776000</v>
      </c>
      <c r="M7" s="284">
        <v>31776000</v>
      </c>
      <c r="N7" s="284">
        <v>46176000</v>
      </c>
      <c r="O7" s="284">
        <v>64800000</v>
      </c>
      <c r="P7" s="284">
        <f t="shared" si="0"/>
        <v>18624000</v>
      </c>
    </row>
    <row r="8" spans="1:16" ht="27" customHeight="1">
      <c r="A8" s="284" t="s">
        <v>254</v>
      </c>
      <c r="B8" s="284" t="s">
        <v>829</v>
      </c>
      <c r="C8" s="284">
        <v>2500000</v>
      </c>
      <c r="D8" s="284">
        <v>2000000</v>
      </c>
      <c r="E8" s="284">
        <v>2000000</v>
      </c>
      <c r="F8" s="284">
        <v>2000000</v>
      </c>
      <c r="G8" s="284">
        <v>1600000</v>
      </c>
      <c r="H8" s="284">
        <v>41000000</v>
      </c>
      <c r="I8" s="284">
        <v>41000000</v>
      </c>
      <c r="J8" s="284"/>
      <c r="K8" s="284">
        <v>48000000</v>
      </c>
      <c r="L8" s="284">
        <v>337200000</v>
      </c>
      <c r="M8" s="284">
        <v>337200000</v>
      </c>
      <c r="N8" s="284">
        <v>698400000</v>
      </c>
      <c r="O8" s="284">
        <v>698400000</v>
      </c>
      <c r="P8" s="284">
        <f t="shared" si="0"/>
        <v>0</v>
      </c>
    </row>
    <row r="9" spans="1:16" ht="27" customHeight="1">
      <c r="A9" s="292" t="s">
        <v>255</v>
      </c>
      <c r="B9" s="292" t="s">
        <v>256</v>
      </c>
      <c r="C9" s="284"/>
      <c r="D9" s="284"/>
      <c r="E9" s="284"/>
      <c r="F9" s="284"/>
      <c r="G9" s="284"/>
      <c r="H9" s="284"/>
      <c r="I9" s="284"/>
      <c r="J9" s="284"/>
      <c r="K9" s="292"/>
      <c r="L9" s="284"/>
      <c r="M9" s="284"/>
      <c r="N9" s="284"/>
      <c r="O9" s="284"/>
      <c r="P9" s="284">
        <f t="shared" si="0"/>
        <v>0</v>
      </c>
    </row>
    <row r="10" spans="1:16" ht="27" customHeight="1">
      <c r="A10" s="284" t="s">
        <v>258</v>
      </c>
      <c r="B10" s="284" t="s">
        <v>261</v>
      </c>
      <c r="C10" s="284">
        <v>18000000</v>
      </c>
      <c r="D10" s="284">
        <f>25000000-2000000</f>
        <v>23000000</v>
      </c>
      <c r="E10" s="284">
        <v>23000000</v>
      </c>
      <c r="F10" s="284">
        <v>23000000</v>
      </c>
      <c r="G10" s="284">
        <v>18400000</v>
      </c>
      <c r="H10" s="284">
        <v>56000000</v>
      </c>
      <c r="I10" s="284">
        <v>100000000</v>
      </c>
      <c r="J10" s="284">
        <v>80000000</v>
      </c>
      <c r="K10" s="284">
        <v>0</v>
      </c>
      <c r="L10" s="284">
        <v>0</v>
      </c>
      <c r="M10" s="284">
        <v>0</v>
      </c>
      <c r="N10" s="284">
        <v>0</v>
      </c>
      <c r="O10" s="284">
        <v>0</v>
      </c>
      <c r="P10" s="284">
        <f t="shared" si="0"/>
        <v>0</v>
      </c>
    </row>
    <row r="11" spans="1:16" ht="27" customHeight="1">
      <c r="A11" s="284"/>
      <c r="B11" s="292" t="s">
        <v>119</v>
      </c>
      <c r="C11" s="284">
        <v>11878000</v>
      </c>
      <c r="D11" s="284">
        <f>2000000+2000000</f>
        <v>4000000</v>
      </c>
      <c r="E11" s="284">
        <v>2000000</v>
      </c>
      <c r="F11" s="284">
        <v>2000000</v>
      </c>
      <c r="G11" s="284">
        <v>1600000</v>
      </c>
      <c r="H11" s="284">
        <v>30000000</v>
      </c>
      <c r="I11" s="284">
        <v>60000000</v>
      </c>
      <c r="J11" s="284">
        <v>50000000</v>
      </c>
      <c r="K11" s="292">
        <f>SUM(K5:K10)</f>
        <v>437299200</v>
      </c>
      <c r="L11" s="292">
        <f>SUM(L5:L10)</f>
        <v>646080000</v>
      </c>
      <c r="M11" s="292">
        <f>SUM(M5:M10)</f>
        <v>795902400</v>
      </c>
      <c r="N11" s="292">
        <f>SUM(N5:N10)</f>
        <v>1243886400</v>
      </c>
      <c r="O11" s="292">
        <f>SUM(O5:O10)</f>
        <v>1262510400</v>
      </c>
      <c r="P11" s="284">
        <f t="shared" si="0"/>
        <v>18624000</v>
      </c>
    </row>
    <row r="12" spans="1:16" ht="27" customHeight="1">
      <c r="A12" s="292" t="s">
        <v>262</v>
      </c>
      <c r="B12" s="292" t="s">
        <v>263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200000000</v>
      </c>
      <c r="I12" s="284">
        <v>200000000</v>
      </c>
      <c r="J12" s="284">
        <v>280000000</v>
      </c>
      <c r="K12" s="284"/>
      <c r="L12" s="284"/>
      <c r="M12" s="284"/>
      <c r="N12" s="284"/>
      <c r="O12" s="284"/>
      <c r="P12" s="284">
        <f t="shared" si="0"/>
        <v>0</v>
      </c>
    </row>
    <row r="13" spans="1:16" ht="27" customHeight="1">
      <c r="A13" s="292" t="s">
        <v>265</v>
      </c>
      <c r="B13" s="292" t="s">
        <v>264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>
        <f t="shared" si="0"/>
        <v>0</v>
      </c>
    </row>
    <row r="14" spans="1:16" ht="27" customHeight="1">
      <c r="A14" s="284" t="s">
        <v>266</v>
      </c>
      <c r="B14" s="284" t="s">
        <v>38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356850000</v>
      </c>
      <c r="I14" s="284">
        <v>0</v>
      </c>
      <c r="J14" s="284">
        <v>84000000</v>
      </c>
      <c r="K14" s="284">
        <v>13406400</v>
      </c>
      <c r="L14" s="284">
        <v>354239920</v>
      </c>
      <c r="M14" s="284">
        <f>354239920*70%-3744000</f>
        <v>244223943.99999997</v>
      </c>
      <c r="N14" s="284">
        <f>354239920*70%-3744000</f>
        <v>244223943.99999997</v>
      </c>
      <c r="O14" s="284">
        <v>294223944</v>
      </c>
      <c r="P14" s="284">
        <f t="shared" si="0"/>
        <v>50000000.00000003</v>
      </c>
    </row>
    <row r="15" spans="1:16" ht="27" customHeight="1">
      <c r="A15" s="284" t="s">
        <v>267</v>
      </c>
      <c r="B15" s="284" t="s">
        <v>152</v>
      </c>
      <c r="C15" s="284">
        <v>1500000</v>
      </c>
      <c r="D15" s="284">
        <v>5500000</v>
      </c>
      <c r="E15" s="284">
        <v>500000</v>
      </c>
      <c r="F15" s="284">
        <v>500000</v>
      </c>
      <c r="G15" s="284">
        <v>400000</v>
      </c>
      <c r="H15" s="284">
        <v>12000000</v>
      </c>
      <c r="I15" s="284">
        <v>20000000</v>
      </c>
      <c r="J15" s="284">
        <v>20000000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f t="shared" si="0"/>
        <v>0</v>
      </c>
    </row>
    <row r="16" spans="1:16" ht="27" customHeight="1">
      <c r="A16" s="284" t="s">
        <v>268</v>
      </c>
      <c r="B16" s="284" t="s">
        <v>153</v>
      </c>
      <c r="C16" s="284"/>
      <c r="D16" s="284"/>
      <c r="E16" s="284"/>
      <c r="F16" s="284"/>
      <c r="G16" s="284"/>
      <c r="H16" s="284"/>
      <c r="I16" s="284"/>
      <c r="J16" s="284"/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f t="shared" si="0"/>
        <v>0</v>
      </c>
    </row>
    <row r="17" spans="1:16" ht="27" customHeight="1">
      <c r="A17" s="284" t="s">
        <v>269</v>
      </c>
      <c r="B17" s="284" t="s">
        <v>186</v>
      </c>
      <c r="C17" s="284"/>
      <c r="D17" s="284"/>
      <c r="E17" s="284"/>
      <c r="F17" s="284"/>
      <c r="G17" s="284"/>
      <c r="H17" s="284"/>
      <c r="I17" s="284"/>
      <c r="J17" s="284"/>
      <c r="K17" s="284">
        <v>16000000</v>
      </c>
      <c r="L17" s="284">
        <v>43292000</v>
      </c>
      <c r="M17" s="284">
        <f>43292000*70%</f>
        <v>30304399.999999996</v>
      </c>
      <c r="N17" s="284">
        <f>43292000*70%</f>
        <v>30304399.999999996</v>
      </c>
      <c r="O17" s="284">
        <f>43292000*70%</f>
        <v>30304399.999999996</v>
      </c>
      <c r="P17" s="284">
        <f t="shared" si="0"/>
        <v>0</v>
      </c>
    </row>
    <row r="18" spans="1:16" s="412" customFormat="1" ht="27" customHeight="1">
      <c r="A18" s="284" t="s">
        <v>270</v>
      </c>
      <c r="B18" s="284" t="s">
        <v>163</v>
      </c>
      <c r="C18" s="284"/>
      <c r="D18" s="284"/>
      <c r="E18" s="284"/>
      <c r="F18" s="284"/>
      <c r="G18" s="284"/>
      <c r="H18" s="284"/>
      <c r="I18" s="284"/>
      <c r="J18" s="284"/>
      <c r="K18" s="284">
        <v>0</v>
      </c>
      <c r="L18" s="284"/>
      <c r="M18" s="284">
        <v>0</v>
      </c>
      <c r="N18" s="284">
        <v>0</v>
      </c>
      <c r="O18" s="284">
        <v>0</v>
      </c>
      <c r="P18" s="284">
        <f t="shared" si="0"/>
        <v>0</v>
      </c>
    </row>
    <row r="19" spans="1:16" ht="27" customHeight="1">
      <c r="A19" s="284" t="s">
        <v>271</v>
      </c>
      <c r="B19" s="284" t="s">
        <v>154</v>
      </c>
      <c r="C19" s="284">
        <v>2500000</v>
      </c>
      <c r="D19" s="284">
        <v>2000000</v>
      </c>
      <c r="E19" s="284">
        <v>2000000</v>
      </c>
      <c r="F19" s="284">
        <v>2000000</v>
      </c>
      <c r="G19" s="284">
        <v>1600000</v>
      </c>
      <c r="H19" s="284">
        <v>41000000</v>
      </c>
      <c r="I19" s="284">
        <v>41000000</v>
      </c>
      <c r="J19" s="284">
        <v>31000000</v>
      </c>
      <c r="K19" s="284">
        <v>71417600</v>
      </c>
      <c r="L19" s="284">
        <v>11820400</v>
      </c>
      <c r="M19" s="284">
        <f>11820400*70%</f>
        <v>8274279.9999999991</v>
      </c>
      <c r="N19" s="284">
        <v>0</v>
      </c>
      <c r="O19" s="284">
        <v>0</v>
      </c>
      <c r="P19" s="284">
        <f t="shared" si="0"/>
        <v>0</v>
      </c>
    </row>
    <row r="20" spans="1:16" ht="27" customHeight="1">
      <c r="A20" s="284" t="s">
        <v>272</v>
      </c>
      <c r="B20" s="284" t="s">
        <v>54</v>
      </c>
      <c r="C20" s="284">
        <f t="shared" ref="C20:J20" si="1">SUM(C14:C19)</f>
        <v>4000000</v>
      </c>
      <c r="D20" s="284">
        <f t="shared" si="1"/>
        <v>7500000</v>
      </c>
      <c r="E20" s="284">
        <f t="shared" si="1"/>
        <v>2500000</v>
      </c>
      <c r="F20" s="284">
        <f t="shared" si="1"/>
        <v>2500000</v>
      </c>
      <c r="G20" s="284">
        <f t="shared" si="1"/>
        <v>2000000</v>
      </c>
      <c r="H20" s="284">
        <f t="shared" si="1"/>
        <v>409850000</v>
      </c>
      <c r="I20" s="292">
        <f t="shared" si="1"/>
        <v>61000000</v>
      </c>
      <c r="J20" s="292">
        <f t="shared" si="1"/>
        <v>135000000</v>
      </c>
      <c r="K20" s="284">
        <v>0</v>
      </c>
      <c r="L20" s="292">
        <v>0</v>
      </c>
      <c r="M20" s="292">
        <v>0</v>
      </c>
      <c r="N20" s="292">
        <v>0</v>
      </c>
      <c r="O20" s="292">
        <v>0</v>
      </c>
      <c r="P20" s="284">
        <f t="shared" si="0"/>
        <v>0</v>
      </c>
    </row>
    <row r="21" spans="1:16" ht="27" customHeight="1">
      <c r="A21" s="284" t="s">
        <v>273</v>
      </c>
      <c r="B21" s="284" t="s">
        <v>120</v>
      </c>
      <c r="C21" s="284"/>
      <c r="D21" s="284"/>
      <c r="E21" s="284"/>
      <c r="F21" s="284"/>
      <c r="G21" s="284"/>
      <c r="H21" s="284"/>
      <c r="I21" s="284"/>
      <c r="J21" s="284"/>
      <c r="K21" s="292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f t="shared" si="0"/>
        <v>0</v>
      </c>
    </row>
    <row r="22" spans="1:16" ht="27" customHeight="1">
      <c r="A22" s="284" t="s">
        <v>274</v>
      </c>
      <c r="B22" s="284" t="s">
        <v>164</v>
      </c>
      <c r="C22" s="284">
        <v>23000000</v>
      </c>
      <c r="D22" s="284">
        <v>15000000</v>
      </c>
      <c r="E22" s="284">
        <v>8949700</v>
      </c>
      <c r="F22" s="284">
        <v>8949700</v>
      </c>
      <c r="G22" s="284">
        <v>12000000</v>
      </c>
      <c r="H22" s="284">
        <v>80000000</v>
      </c>
      <c r="I22" s="284">
        <v>80000000</v>
      </c>
      <c r="J22" s="284">
        <v>80000000</v>
      </c>
      <c r="K22" s="284">
        <v>3079200</v>
      </c>
      <c r="L22" s="284">
        <v>16500000</v>
      </c>
      <c r="M22" s="284">
        <f>16500000*70%</f>
        <v>11550000</v>
      </c>
      <c r="N22" s="284">
        <f>16500000*70%</f>
        <v>11550000</v>
      </c>
      <c r="O22" s="284">
        <f>16500000*70%</f>
        <v>11550000</v>
      </c>
      <c r="P22" s="284">
        <f t="shared" si="0"/>
        <v>0</v>
      </c>
    </row>
    <row r="23" spans="1:16" ht="27" customHeight="1">
      <c r="A23" s="284" t="s">
        <v>275</v>
      </c>
      <c r="B23" s="284" t="s">
        <v>40</v>
      </c>
      <c r="C23" s="284">
        <v>10061000</v>
      </c>
      <c r="D23" s="284">
        <v>2000000</v>
      </c>
      <c r="E23" s="284">
        <v>0</v>
      </c>
      <c r="F23" s="284">
        <v>0</v>
      </c>
      <c r="G23" s="284">
        <v>0</v>
      </c>
      <c r="H23" s="284">
        <v>30000000</v>
      </c>
      <c r="I23" s="284">
        <v>40000000</v>
      </c>
      <c r="J23" s="284">
        <v>30000000</v>
      </c>
      <c r="K23" s="284">
        <v>10586000</v>
      </c>
      <c r="L23" s="284">
        <v>21000000</v>
      </c>
      <c r="M23" s="284">
        <f>21000000*70%</f>
        <v>14699999.999999998</v>
      </c>
      <c r="N23" s="284">
        <f>21000000*70%</f>
        <v>14699999.999999998</v>
      </c>
      <c r="O23" s="284">
        <f>21000000*70%</f>
        <v>14699999.999999998</v>
      </c>
      <c r="P23" s="284">
        <f t="shared" si="0"/>
        <v>0</v>
      </c>
    </row>
    <row r="24" spans="1:16" ht="27" customHeight="1">
      <c r="A24" s="284" t="s">
        <v>302</v>
      </c>
      <c r="B24" s="284" t="s">
        <v>303</v>
      </c>
      <c r="C24" s="284"/>
      <c r="D24" s="284"/>
      <c r="E24" s="284"/>
      <c r="F24" s="284"/>
      <c r="G24" s="284"/>
      <c r="H24" s="284"/>
      <c r="I24" s="284"/>
      <c r="J24" s="284"/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f t="shared" si="0"/>
        <v>0</v>
      </c>
    </row>
    <row r="25" spans="1:16" ht="27" customHeight="1">
      <c r="A25" s="284" t="s">
        <v>277</v>
      </c>
      <c r="B25" s="284" t="s">
        <v>218</v>
      </c>
      <c r="C25" s="284">
        <v>3000000</v>
      </c>
      <c r="D25" s="284">
        <v>1500000</v>
      </c>
      <c r="E25" s="284">
        <v>0</v>
      </c>
      <c r="F25" s="284">
        <v>0</v>
      </c>
      <c r="G25" s="284">
        <v>0</v>
      </c>
      <c r="H25" s="284">
        <v>15000000</v>
      </c>
      <c r="I25" s="284">
        <v>20000000</v>
      </c>
      <c r="J25" s="284">
        <v>20000000</v>
      </c>
      <c r="K25" s="284">
        <v>120000000</v>
      </c>
      <c r="L25" s="284">
        <v>53267680</v>
      </c>
      <c r="M25" s="284">
        <f>53267680*70%</f>
        <v>37287376</v>
      </c>
      <c r="N25" s="284">
        <v>0</v>
      </c>
      <c r="O25" s="284">
        <v>0</v>
      </c>
      <c r="P25" s="284">
        <f t="shared" si="0"/>
        <v>0</v>
      </c>
    </row>
    <row r="26" spans="1:16" ht="27" customHeight="1">
      <c r="A26" s="284"/>
      <c r="B26" s="292" t="s">
        <v>119</v>
      </c>
      <c r="C26" s="284">
        <v>0</v>
      </c>
      <c r="D26" s="284">
        <v>0</v>
      </c>
      <c r="E26" s="284">
        <v>0</v>
      </c>
      <c r="F26" s="284">
        <v>0</v>
      </c>
      <c r="G26" s="284">
        <v>16000000</v>
      </c>
      <c r="H26" s="284">
        <v>360113000</v>
      </c>
      <c r="I26" s="284">
        <v>208212162</v>
      </c>
      <c r="J26" s="284">
        <v>330000000</v>
      </c>
      <c r="K26" s="292">
        <f>SUM(K14:K25)</f>
        <v>234489200</v>
      </c>
      <c r="L26" s="292">
        <f>SUM(L14:L25)</f>
        <v>500120000</v>
      </c>
      <c r="M26" s="292">
        <f>SUM(M14:M25)</f>
        <v>346339999.99999994</v>
      </c>
      <c r="N26" s="292">
        <f>SUM(N14:N25)</f>
        <v>300778343.99999994</v>
      </c>
      <c r="O26" s="292">
        <f>SUM(O14:O25)</f>
        <v>350778344</v>
      </c>
      <c r="P26" s="284">
        <f t="shared" si="0"/>
        <v>50000000.00000006</v>
      </c>
    </row>
    <row r="27" spans="1:16" ht="27" customHeight="1">
      <c r="A27" s="292" t="s">
        <v>279</v>
      </c>
      <c r="B27" s="292" t="s">
        <v>278</v>
      </c>
      <c r="C27" s="284"/>
      <c r="D27" s="284"/>
      <c r="E27" s="284"/>
      <c r="F27" s="284"/>
      <c r="G27" s="284"/>
      <c r="H27" s="284"/>
      <c r="I27" s="284">
        <v>0</v>
      </c>
      <c r="J27" s="284">
        <v>35000000</v>
      </c>
      <c r="K27" s="292"/>
      <c r="L27" s="284"/>
      <c r="M27" s="284"/>
      <c r="N27" s="284"/>
      <c r="O27" s="284"/>
      <c r="P27" s="284">
        <f t="shared" si="0"/>
        <v>0</v>
      </c>
    </row>
    <row r="28" spans="1:16" ht="27" customHeight="1">
      <c r="A28" s="284" t="s">
        <v>280</v>
      </c>
      <c r="B28" s="284" t="s">
        <v>160</v>
      </c>
      <c r="C28" s="292" t="e">
        <f>#REF!+#REF!+#REF!+#REF!+#REF!</f>
        <v>#REF!</v>
      </c>
      <c r="D28" s="292" t="e">
        <f>#REF!+#REF!+#REF!+#REF!+#REF!</f>
        <v>#REF!</v>
      </c>
      <c r="E28" s="292" t="e">
        <f>#REF!+#REF!+#REF!+#REF!+#REF!</f>
        <v>#REF!</v>
      </c>
      <c r="F28" s="292" t="e">
        <f>#REF!+#REF!+#REF!+#REF!+#REF!</f>
        <v>#REF!</v>
      </c>
      <c r="G28" s="292" t="e">
        <f>#REF!+#REF!+#REF!+#REF!+#REF!</f>
        <v>#REF!</v>
      </c>
      <c r="H28" s="292" t="e">
        <f>#REF!+#REF!+#REF!+#REF!+#REF!</f>
        <v>#REF!</v>
      </c>
      <c r="I28" s="292" t="e">
        <f>#REF!+#REF!+#REF!+#REF!+#REF!</f>
        <v>#REF!</v>
      </c>
      <c r="J28" s="292" t="e">
        <f>#REF!+#REF!+#REF!+#REF!+#REF!</f>
        <v>#REF!</v>
      </c>
      <c r="K28" s="284">
        <v>0</v>
      </c>
      <c r="L28" s="284">
        <v>0</v>
      </c>
      <c r="M28" s="284">
        <v>0</v>
      </c>
      <c r="N28" s="284">
        <v>0</v>
      </c>
      <c r="O28" s="284">
        <v>0</v>
      </c>
      <c r="P28" s="284">
        <f t="shared" si="0"/>
        <v>0</v>
      </c>
    </row>
    <row r="29" spans="1:16" s="412" customFormat="1" ht="27" customHeight="1">
      <c r="A29" s="284" t="s">
        <v>281</v>
      </c>
      <c r="B29" s="284" t="s">
        <v>161</v>
      </c>
      <c r="C29" s="335"/>
      <c r="D29" s="335"/>
      <c r="E29" s="335"/>
      <c r="F29" s="336">
        <v>0</v>
      </c>
      <c r="G29" s="336" t="s">
        <v>4</v>
      </c>
      <c r="H29" s="336"/>
      <c r="I29" s="336"/>
      <c r="J29" s="336"/>
      <c r="K29" s="284">
        <v>69000000</v>
      </c>
      <c r="L29" s="284">
        <v>336960000</v>
      </c>
      <c r="M29" s="284">
        <f>336960000*70%</f>
        <v>235871999.99999997</v>
      </c>
      <c r="N29" s="284">
        <f>M29*80%</f>
        <v>188697600</v>
      </c>
      <c r="O29" s="284">
        <v>188697600</v>
      </c>
      <c r="P29" s="284">
        <f t="shared" si="0"/>
        <v>0</v>
      </c>
    </row>
    <row r="30" spans="1:16" s="412" customFormat="1" ht="27" customHeight="1">
      <c r="A30" s="284" t="s">
        <v>282</v>
      </c>
      <c r="B30" s="284" t="s">
        <v>155</v>
      </c>
      <c r="C30" s="335"/>
      <c r="D30" s="335"/>
      <c r="E30" s="335"/>
      <c r="F30" s="336"/>
      <c r="G30" s="336"/>
      <c r="H30" s="336"/>
      <c r="I30" s="336"/>
      <c r="J30" s="336"/>
      <c r="K30" s="284">
        <v>14151200</v>
      </c>
      <c r="L30" s="284">
        <v>50516000</v>
      </c>
      <c r="M30" s="284">
        <f>50516000*70%</f>
        <v>35361200</v>
      </c>
      <c r="N30" s="284">
        <f>50516000*70%</f>
        <v>35361200</v>
      </c>
      <c r="O30" s="284">
        <f>50516000*70%</f>
        <v>35361200</v>
      </c>
      <c r="P30" s="284">
        <f t="shared" si="0"/>
        <v>0</v>
      </c>
    </row>
    <row r="31" spans="1:16" ht="27" customHeight="1">
      <c r="A31" s="284" t="s">
        <v>283</v>
      </c>
      <c r="B31" s="284" t="s">
        <v>156</v>
      </c>
      <c r="C31" s="284"/>
      <c r="D31" s="284"/>
      <c r="E31" s="284"/>
      <c r="F31" s="284"/>
      <c r="G31" s="284"/>
      <c r="H31" s="284"/>
      <c r="I31" s="284"/>
      <c r="J31" s="284"/>
      <c r="K31" s="336">
        <v>1489600</v>
      </c>
      <c r="L31" s="284">
        <v>22661600</v>
      </c>
      <c r="M31" s="284">
        <f>22661600*70%</f>
        <v>15863119.999999998</v>
      </c>
      <c r="N31" s="284">
        <f>22661600*70%</f>
        <v>15863119.999999998</v>
      </c>
      <c r="O31" s="284">
        <f>22661600*70%</f>
        <v>15863119.999999998</v>
      </c>
      <c r="P31" s="284">
        <f t="shared" si="0"/>
        <v>0</v>
      </c>
    </row>
    <row r="32" spans="1:16" ht="27" customHeight="1">
      <c r="A32" s="284" t="s">
        <v>284</v>
      </c>
      <c r="B32" s="284" t="s">
        <v>162</v>
      </c>
      <c r="C32" s="284">
        <v>4000000</v>
      </c>
      <c r="D32" s="284">
        <v>2000000</v>
      </c>
      <c r="E32" s="284">
        <v>0</v>
      </c>
      <c r="F32" s="284">
        <v>0</v>
      </c>
      <c r="G32" s="284">
        <v>0</v>
      </c>
      <c r="H32" s="284">
        <v>200000000</v>
      </c>
      <c r="I32" s="284">
        <v>200000000</v>
      </c>
      <c r="J32" s="284">
        <v>200000000</v>
      </c>
      <c r="K32" s="361"/>
      <c r="L32" s="284">
        <v>0</v>
      </c>
      <c r="M32" s="284">
        <v>0</v>
      </c>
      <c r="N32" s="284">
        <v>0</v>
      </c>
      <c r="O32" s="284">
        <v>0</v>
      </c>
      <c r="P32" s="284">
        <f t="shared" si="0"/>
        <v>0</v>
      </c>
    </row>
    <row r="33" spans="1:16" ht="27" customHeight="1">
      <c r="A33" s="284" t="s">
        <v>298</v>
      </c>
      <c r="B33" s="284" t="s">
        <v>219</v>
      </c>
      <c r="C33" s="284">
        <v>0</v>
      </c>
      <c r="D33" s="284">
        <v>0</v>
      </c>
      <c r="E33" s="284">
        <v>0</v>
      </c>
      <c r="F33" s="284">
        <v>0</v>
      </c>
      <c r="G33" s="284">
        <v>0</v>
      </c>
      <c r="H33" s="284">
        <v>150000000</v>
      </c>
      <c r="I33" s="284">
        <v>150000000</v>
      </c>
      <c r="J33" s="284">
        <v>150000000</v>
      </c>
      <c r="K33" s="284"/>
      <c r="L33" s="284">
        <v>8500000</v>
      </c>
      <c r="M33" s="284">
        <f>8500000*70%</f>
        <v>5950000</v>
      </c>
      <c r="N33" s="284">
        <v>0</v>
      </c>
      <c r="O33" s="284">
        <v>0</v>
      </c>
      <c r="P33" s="284">
        <f t="shared" si="0"/>
        <v>0</v>
      </c>
    </row>
    <row r="34" spans="1:16" ht="27" customHeight="1">
      <c r="A34" s="284"/>
      <c r="B34" s="292" t="s">
        <v>119</v>
      </c>
      <c r="C34" s="284">
        <v>10089000</v>
      </c>
      <c r="D34" s="284">
        <v>10004000</v>
      </c>
      <c r="E34" s="284">
        <v>20004000</v>
      </c>
      <c r="F34" s="284">
        <v>20004000</v>
      </c>
      <c r="G34" s="284">
        <v>40003200</v>
      </c>
      <c r="H34" s="284">
        <v>100000000</v>
      </c>
      <c r="I34" s="284">
        <v>100000000</v>
      </c>
      <c r="J34" s="284">
        <v>100000000</v>
      </c>
      <c r="K34" s="292">
        <f>SUM(K28:K33)</f>
        <v>84640800</v>
      </c>
      <c r="L34" s="292">
        <f>SUM(L28:L33)</f>
        <v>418637600</v>
      </c>
      <c r="M34" s="292">
        <f>SUM(M28:M33)</f>
        <v>293046320</v>
      </c>
      <c r="N34" s="292">
        <f>SUM(N28:N33)</f>
        <v>239921920</v>
      </c>
      <c r="O34" s="292">
        <f>SUM(O28:O33)</f>
        <v>239921920</v>
      </c>
      <c r="P34" s="284">
        <f t="shared" si="0"/>
        <v>0</v>
      </c>
    </row>
    <row r="35" spans="1:16" ht="27" customHeight="1">
      <c r="A35" s="292" t="s">
        <v>285</v>
      </c>
      <c r="B35" s="292" t="s">
        <v>158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616200000</v>
      </c>
      <c r="I35" s="284">
        <v>616200000</v>
      </c>
      <c r="J35" s="284">
        <v>616200000</v>
      </c>
      <c r="K35" s="284"/>
      <c r="L35" s="284"/>
      <c r="M35" s="284"/>
      <c r="N35" s="284"/>
      <c r="O35" s="284"/>
      <c r="P35" s="284">
        <f t="shared" si="0"/>
        <v>0</v>
      </c>
    </row>
    <row r="36" spans="1:16" ht="27" customHeight="1">
      <c r="A36" s="284" t="s">
        <v>286</v>
      </c>
      <c r="B36" s="284" t="s">
        <v>55</v>
      </c>
      <c r="C36" s="284">
        <v>13333000</v>
      </c>
      <c r="D36" s="284">
        <v>5000000</v>
      </c>
      <c r="E36" s="284">
        <v>0</v>
      </c>
      <c r="F36" s="284">
        <v>0</v>
      </c>
      <c r="G36" s="284">
        <v>0</v>
      </c>
      <c r="H36" s="284">
        <v>100000000</v>
      </c>
      <c r="I36" s="284">
        <v>70000000</v>
      </c>
      <c r="J36" s="284">
        <v>70000000</v>
      </c>
      <c r="K36" s="284">
        <v>4000000</v>
      </c>
      <c r="L36" s="284">
        <v>65115200</v>
      </c>
      <c r="M36" s="284">
        <f>65115200*70%</f>
        <v>45580640</v>
      </c>
      <c r="N36" s="284">
        <f>65115200*70%</f>
        <v>45580640</v>
      </c>
      <c r="O36" s="284">
        <f>65115200*70%</f>
        <v>45580640</v>
      </c>
      <c r="P36" s="284">
        <f t="shared" si="0"/>
        <v>0</v>
      </c>
    </row>
    <row r="37" spans="1:16" ht="27" customHeight="1">
      <c r="A37" s="284" t="s">
        <v>288</v>
      </c>
      <c r="B37" s="284" t="s">
        <v>287</v>
      </c>
      <c r="C37" s="284">
        <v>0</v>
      </c>
      <c r="D37" s="284">
        <v>0</v>
      </c>
      <c r="E37" s="284">
        <v>0</v>
      </c>
      <c r="F37" s="284">
        <v>0</v>
      </c>
      <c r="G37" s="284">
        <v>0</v>
      </c>
      <c r="H37" s="284">
        <v>0</v>
      </c>
      <c r="I37" s="284">
        <v>0</v>
      </c>
      <c r="J37" s="284">
        <v>0</v>
      </c>
      <c r="K37" s="284">
        <v>1558122</v>
      </c>
      <c r="L37" s="284">
        <v>1489600</v>
      </c>
      <c r="M37" s="284">
        <f>1489600*70%</f>
        <v>1042719.9999999999</v>
      </c>
      <c r="N37" s="284">
        <f>1489600*70%</f>
        <v>1042719.9999999999</v>
      </c>
      <c r="O37" s="284">
        <f>1489600*70%</f>
        <v>1042719.9999999999</v>
      </c>
      <c r="P37" s="284">
        <f t="shared" si="0"/>
        <v>0</v>
      </c>
    </row>
    <row r="38" spans="1:16" ht="27" customHeight="1">
      <c r="A38" s="284" t="s">
        <v>289</v>
      </c>
      <c r="B38" s="284" t="s">
        <v>290</v>
      </c>
      <c r="C38" s="292">
        <f t="shared" ref="C38:J38" si="2">SUM(C36:C37)</f>
        <v>13333000</v>
      </c>
      <c r="D38" s="292">
        <f t="shared" si="2"/>
        <v>5000000</v>
      </c>
      <c r="E38" s="292">
        <f t="shared" si="2"/>
        <v>0</v>
      </c>
      <c r="F38" s="292">
        <f t="shared" si="2"/>
        <v>0</v>
      </c>
      <c r="G38" s="292">
        <f t="shared" si="2"/>
        <v>0</v>
      </c>
      <c r="H38" s="292">
        <f t="shared" si="2"/>
        <v>100000000</v>
      </c>
      <c r="I38" s="292">
        <f t="shared" si="2"/>
        <v>70000000</v>
      </c>
      <c r="J38" s="292">
        <f t="shared" si="2"/>
        <v>70000000</v>
      </c>
      <c r="K38" s="284"/>
      <c r="L38" s="284">
        <v>0</v>
      </c>
      <c r="M38" s="284">
        <v>0</v>
      </c>
      <c r="N38" s="284">
        <v>0</v>
      </c>
      <c r="O38" s="284">
        <v>0</v>
      </c>
      <c r="P38" s="284">
        <f t="shared" si="0"/>
        <v>0</v>
      </c>
    </row>
    <row r="39" spans="1:16" ht="27" customHeight="1">
      <c r="A39" s="284"/>
      <c r="B39" s="292" t="s">
        <v>119</v>
      </c>
      <c r="C39" s="292" t="e">
        <f>C38+#REF!+C31+C20+#REF!</f>
        <v>#REF!</v>
      </c>
      <c r="D39" s="292" t="e">
        <f>D38+#REF!+D31+D20+#REF!</f>
        <v>#REF!</v>
      </c>
      <c r="E39" s="292" t="e">
        <f>E38+#REF!+E31+E20+#REF!</f>
        <v>#REF!</v>
      </c>
      <c r="F39" s="292" t="e">
        <f>F38+#REF!+F31+F20+#REF!</f>
        <v>#REF!</v>
      </c>
      <c r="G39" s="292" t="e">
        <f>G38+#REF!+G20+G31+#REF!</f>
        <v>#REF!</v>
      </c>
      <c r="H39" s="292" t="e">
        <f>H38+#REF!+H31+H20+#REF!</f>
        <v>#REF!</v>
      </c>
      <c r="I39" s="292" t="e">
        <f>I38+#REF!+I31+I20+#REF!</f>
        <v>#REF!</v>
      </c>
      <c r="J39" s="292" t="e">
        <f>SUM(#REF!+J20+J31+J38)</f>
        <v>#REF!</v>
      </c>
      <c r="K39" s="292">
        <f>SUM(K36:K38)</f>
        <v>5558122</v>
      </c>
      <c r="L39" s="292">
        <f>SUM(L36:L38)</f>
        <v>66604800</v>
      </c>
      <c r="M39" s="292">
        <f>SUM(M36:M38)</f>
        <v>46623360</v>
      </c>
      <c r="N39" s="292">
        <f>SUM(N36:N38)</f>
        <v>46623360</v>
      </c>
      <c r="O39" s="292">
        <f>SUM(O36:O38)</f>
        <v>46623360</v>
      </c>
      <c r="P39" s="284">
        <f t="shared" si="0"/>
        <v>0</v>
      </c>
    </row>
    <row r="40" spans="1:16" ht="27" customHeight="1">
      <c r="A40" s="292" t="s">
        <v>293</v>
      </c>
      <c r="B40" s="292" t="s">
        <v>292</v>
      </c>
      <c r="C40" s="284"/>
      <c r="D40" s="284"/>
      <c r="E40" s="284"/>
      <c r="F40" s="284"/>
      <c r="G40" s="284"/>
      <c r="H40" s="284"/>
      <c r="I40" s="284"/>
      <c r="J40" s="284"/>
      <c r="K40" s="292"/>
      <c r="L40" s="284"/>
      <c r="M40" s="284"/>
      <c r="N40" s="284"/>
      <c r="O40" s="284"/>
      <c r="P40" s="284">
        <f t="shared" si="0"/>
        <v>0</v>
      </c>
    </row>
    <row r="41" spans="1:16" ht="27" customHeight="1">
      <c r="A41" s="292" t="s">
        <v>294</v>
      </c>
      <c r="B41" s="292" t="s">
        <v>291</v>
      </c>
      <c r="C41" s="284"/>
      <c r="D41" s="284"/>
      <c r="E41" s="284"/>
      <c r="F41" s="284"/>
      <c r="G41" s="284"/>
      <c r="H41" s="284"/>
      <c r="I41" s="284"/>
      <c r="J41" s="284"/>
      <c r="K41" s="292"/>
      <c r="L41" s="284"/>
      <c r="M41" s="284"/>
      <c r="N41" s="284"/>
      <c r="O41" s="284"/>
      <c r="P41" s="284">
        <f t="shared" si="0"/>
        <v>0</v>
      </c>
    </row>
    <row r="42" spans="1:16" ht="27" customHeight="1">
      <c r="A42" s="284" t="s">
        <v>389</v>
      </c>
      <c r="B42" s="284" t="s">
        <v>307</v>
      </c>
      <c r="C42" s="284"/>
      <c r="D42" s="284"/>
      <c r="E42" s="284"/>
      <c r="F42" s="284"/>
      <c r="G42" s="284"/>
      <c r="H42" s="284"/>
      <c r="I42" s="284"/>
      <c r="J42" s="284"/>
      <c r="K42" s="284">
        <v>0</v>
      </c>
      <c r="L42" s="284">
        <v>0</v>
      </c>
      <c r="M42" s="284">
        <v>0</v>
      </c>
      <c r="N42" s="284">
        <v>0</v>
      </c>
      <c r="O42" s="284">
        <v>0</v>
      </c>
      <c r="P42" s="284">
        <f t="shared" si="0"/>
        <v>0</v>
      </c>
    </row>
    <row r="43" spans="1:16" ht="27" customHeight="1">
      <c r="A43" s="284" t="s">
        <v>388</v>
      </c>
      <c r="B43" s="284" t="s">
        <v>309</v>
      </c>
      <c r="C43" s="284"/>
      <c r="D43" s="284"/>
      <c r="E43" s="284"/>
      <c r="F43" s="284"/>
      <c r="G43" s="284"/>
      <c r="H43" s="284"/>
      <c r="I43" s="284"/>
      <c r="J43" s="284"/>
      <c r="K43" s="292">
        <v>0</v>
      </c>
      <c r="L43" s="284">
        <v>120000000</v>
      </c>
      <c r="M43" s="284">
        <v>0</v>
      </c>
      <c r="N43" s="284">
        <v>0</v>
      </c>
      <c r="O43" s="284">
        <v>0</v>
      </c>
      <c r="P43" s="284">
        <f t="shared" si="0"/>
        <v>0</v>
      </c>
    </row>
    <row r="44" spans="1:16" ht="27" customHeight="1">
      <c r="A44" s="284" t="s">
        <v>295</v>
      </c>
      <c r="B44" s="284" t="s">
        <v>176</v>
      </c>
      <c r="C44" s="284"/>
      <c r="D44" s="284"/>
      <c r="E44" s="284"/>
      <c r="F44" s="284"/>
      <c r="G44" s="284"/>
      <c r="H44" s="284"/>
      <c r="I44" s="284"/>
      <c r="J44" s="284"/>
      <c r="K44" s="284">
        <v>0</v>
      </c>
      <c r="L44" s="284">
        <v>5000000</v>
      </c>
      <c r="M44" s="284">
        <f>5000000*70%</f>
        <v>3500000</v>
      </c>
      <c r="N44" s="284">
        <v>0</v>
      </c>
      <c r="O44" s="284">
        <v>0</v>
      </c>
      <c r="P44" s="284">
        <f t="shared" si="0"/>
        <v>0</v>
      </c>
    </row>
    <row r="45" spans="1:16" ht="27" customHeight="1">
      <c r="A45" s="284" t="s">
        <v>296</v>
      </c>
      <c r="B45" s="284" t="s">
        <v>177</v>
      </c>
      <c r="C45" s="284"/>
      <c r="D45" s="284"/>
      <c r="E45" s="284"/>
      <c r="F45" s="284"/>
      <c r="G45" s="284"/>
      <c r="H45" s="284"/>
      <c r="I45" s="284"/>
      <c r="J45" s="284"/>
      <c r="K45" s="284">
        <v>0</v>
      </c>
      <c r="L45" s="284">
        <v>2524000</v>
      </c>
      <c r="M45" s="284">
        <f>2524000*70%</f>
        <v>1766800</v>
      </c>
      <c r="N45" s="284">
        <v>0</v>
      </c>
      <c r="O45" s="284">
        <v>0</v>
      </c>
      <c r="P45" s="284">
        <f t="shared" si="0"/>
        <v>0</v>
      </c>
    </row>
    <row r="46" spans="1:16" ht="27" customHeight="1">
      <c r="A46" s="284"/>
      <c r="B46" s="292" t="s">
        <v>119</v>
      </c>
      <c r="C46" s="284"/>
      <c r="D46" s="284"/>
      <c r="E46" s="284"/>
      <c r="F46" s="284"/>
      <c r="G46" s="284"/>
      <c r="H46" s="284"/>
      <c r="I46" s="284"/>
      <c r="J46" s="284"/>
      <c r="K46" s="292">
        <f>SUM(K42:K45)</f>
        <v>0</v>
      </c>
      <c r="L46" s="292">
        <f>SUM(L42:L45)</f>
        <v>127524000</v>
      </c>
      <c r="M46" s="292">
        <f>SUM(M42:M45)</f>
        <v>5266800</v>
      </c>
      <c r="N46" s="292">
        <f>SUM(N42:N45)</f>
        <v>0</v>
      </c>
      <c r="O46" s="292">
        <f>SUM(O42:O45)</f>
        <v>0</v>
      </c>
      <c r="P46" s="284">
        <f t="shared" si="0"/>
        <v>0</v>
      </c>
    </row>
    <row r="47" spans="1:16" ht="27" customHeight="1">
      <c r="A47" s="284"/>
      <c r="B47" s="292" t="s">
        <v>42</v>
      </c>
      <c r="C47" s="284"/>
      <c r="D47" s="284"/>
      <c r="E47" s="284"/>
      <c r="F47" s="284"/>
      <c r="G47" s="284"/>
      <c r="H47" s="284"/>
      <c r="I47" s="284"/>
      <c r="J47" s="284"/>
      <c r="K47" s="292">
        <f>K11+K26+K34+K39+K46</f>
        <v>761987322</v>
      </c>
      <c r="L47" s="292">
        <f>L11+L26+L34+L39+L46</f>
        <v>1758966400</v>
      </c>
      <c r="M47" s="292">
        <f>M11+M26+M34+M39+M46</f>
        <v>1487178880</v>
      </c>
      <c r="N47" s="292">
        <f>N11+N26+N34+N39+N46</f>
        <v>1831210024</v>
      </c>
      <c r="O47" s="292">
        <f>O11+O26+O34+O39+O46</f>
        <v>1899834024</v>
      </c>
      <c r="P47" s="292">
        <f t="shared" si="0"/>
        <v>68624000</v>
      </c>
    </row>
  </sheetData>
  <phoneticPr fontId="0" type="noConversion"/>
  <printOptions gridLines="1"/>
  <pageMargins left="0.79" right="0.25" top="0.72" bottom="0.3" header="0.24" footer="0.17"/>
  <pageSetup scale="55" orientation="portrait" r:id="rId1"/>
  <headerFooter alignWithMargins="0">
    <oddHeader>&amp;C&amp;"Algerian,Bold"&amp;36Hanti-dhawrka Guud ee &amp;28Qaranka</oddHeader>
    <oddFooter xml:space="preserve">&amp;R&amp;"Times New Roman,Bold"&amp;14 8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7" enableFormatConditionsCalculation="0">
    <tabColor indexed="48"/>
  </sheetPr>
  <dimension ref="A1:N58"/>
  <sheetViews>
    <sheetView view="pageBreakPreview" zoomScale="60" zoomScaleNormal="75" workbookViewId="0">
      <selection sqref="A1:XFD1048576"/>
    </sheetView>
  </sheetViews>
  <sheetFormatPr defaultRowHeight="23.45" customHeight="1"/>
  <cols>
    <col min="1" max="1" width="19.83203125" style="429" bestFit="1" customWidth="1"/>
    <col min="2" max="2" width="94.5" style="429" customWidth="1"/>
    <col min="3" max="3" width="18.6640625" style="429" hidden="1" customWidth="1"/>
    <col min="4" max="4" width="0.83203125" style="429" hidden="1" customWidth="1"/>
    <col min="5" max="5" width="7.83203125" style="429" hidden="1" customWidth="1"/>
    <col min="6" max="6" width="0.1640625" style="429" hidden="1" customWidth="1"/>
    <col min="7" max="7" width="22.6640625" style="429" hidden="1" customWidth="1"/>
    <col min="8" max="8" width="23" style="429" hidden="1" customWidth="1"/>
    <col min="9" max="9" width="0.33203125" style="429" hidden="1" customWidth="1"/>
    <col min="10" max="10" width="24.6640625" style="155" hidden="1" customWidth="1"/>
    <col min="11" max="11" width="29.83203125" style="155" hidden="1" customWidth="1"/>
    <col min="12" max="12" width="29.83203125" style="155" bestFit="1" customWidth="1"/>
    <col min="13" max="13" width="29.83203125" style="155" customWidth="1"/>
    <col min="14" max="14" width="27.6640625" style="155" bestFit="1" customWidth="1"/>
    <col min="15" max="16384" width="9.33203125" style="155"/>
  </cols>
  <sheetData>
    <row r="1" spans="1:14" ht="23.45" customHeight="1">
      <c r="A1" s="371" t="s">
        <v>44</v>
      </c>
      <c r="B1" s="372" t="s">
        <v>870</v>
      </c>
      <c r="C1" s="284"/>
      <c r="D1" s="284"/>
      <c r="E1" s="284"/>
      <c r="F1" s="284"/>
      <c r="G1" s="284"/>
      <c r="H1" s="284"/>
      <c r="I1" s="284"/>
      <c r="J1" s="284"/>
      <c r="K1" s="284"/>
      <c r="L1" s="292"/>
      <c r="M1" s="292"/>
      <c r="N1" s="292"/>
    </row>
    <row r="2" spans="1:14" s="426" customFormat="1" ht="23.45" customHeight="1">
      <c r="A2" s="371" t="s">
        <v>248</v>
      </c>
      <c r="B2" s="292" t="s">
        <v>165</v>
      </c>
      <c r="C2" s="284"/>
      <c r="D2" s="284"/>
      <c r="E2" s="284"/>
      <c r="F2" s="284"/>
      <c r="G2" s="284"/>
      <c r="H2" s="400"/>
      <c r="I2" s="400"/>
      <c r="J2" s="400" t="s">
        <v>180</v>
      </c>
      <c r="K2" s="400" t="s">
        <v>297</v>
      </c>
      <c r="L2" s="292" t="s">
        <v>641</v>
      </c>
      <c r="M2" s="292" t="s">
        <v>1103</v>
      </c>
      <c r="N2" s="271" t="s">
        <v>63</v>
      </c>
    </row>
    <row r="3" spans="1:14" ht="23.45" customHeight="1">
      <c r="A3" s="371" t="s">
        <v>249</v>
      </c>
      <c r="B3" s="292" t="s">
        <v>250</v>
      </c>
      <c r="C3" s="284">
        <v>61545000</v>
      </c>
      <c r="D3" s="284">
        <v>74124000</v>
      </c>
      <c r="E3" s="284">
        <v>64128000</v>
      </c>
      <c r="F3" s="284">
        <v>72660000</v>
      </c>
      <c r="G3" s="284">
        <v>72660000</v>
      </c>
      <c r="H3" s="284">
        <f>72660000+42936000</f>
        <v>115596000</v>
      </c>
      <c r="I3" s="284">
        <f>150274800+4149600+13104000+3198000</f>
        <v>170726400</v>
      </c>
      <c r="J3" s="284"/>
      <c r="K3" s="284"/>
      <c r="L3" s="284"/>
      <c r="M3" s="284"/>
      <c r="N3" s="284"/>
    </row>
    <row r="4" spans="1:14" ht="23.45" customHeight="1">
      <c r="A4" s="283" t="s">
        <v>247</v>
      </c>
      <c r="B4" s="284" t="s">
        <v>508</v>
      </c>
      <c r="C4" s="284">
        <v>1180900</v>
      </c>
      <c r="D4" s="284"/>
      <c r="E4" s="284">
        <v>0</v>
      </c>
      <c r="F4" s="284">
        <v>0</v>
      </c>
      <c r="G4" s="284">
        <v>0</v>
      </c>
      <c r="H4" s="284">
        <v>0</v>
      </c>
      <c r="I4" s="284">
        <v>0</v>
      </c>
      <c r="J4" s="284">
        <v>305572400</v>
      </c>
      <c r="K4" s="284">
        <f>539449200+174686000+80800</f>
        <v>714216000</v>
      </c>
      <c r="L4" s="284">
        <v>636043200</v>
      </c>
      <c r="M4" s="284">
        <v>733075200</v>
      </c>
      <c r="N4" s="284">
        <f>M4-L4</f>
        <v>97032000</v>
      </c>
    </row>
    <row r="5" spans="1:14" ht="23.45" customHeight="1">
      <c r="A5" s="283" t="s">
        <v>251</v>
      </c>
      <c r="B5" s="284" t="s">
        <v>901</v>
      </c>
      <c r="C5" s="284">
        <v>1123486000</v>
      </c>
      <c r="D5" s="284">
        <v>1227036000</v>
      </c>
      <c r="E5" s="284">
        <v>1192428000</v>
      </c>
      <c r="F5" s="284">
        <f>1935276000+1200000</f>
        <v>1936476000</v>
      </c>
      <c r="G5" s="284">
        <f>1936476000+600000000</f>
        <v>2536476000</v>
      </c>
      <c r="H5" s="284">
        <f>2529276000+54000000</f>
        <v>2583276000</v>
      </c>
      <c r="I5" s="284">
        <f>2530476000+4800000</f>
        <v>2535276000</v>
      </c>
      <c r="J5" s="284">
        <v>0</v>
      </c>
      <c r="K5" s="284">
        <v>61320000</v>
      </c>
      <c r="L5" s="284">
        <v>194520000</v>
      </c>
      <c r="M5" s="284">
        <v>158520000</v>
      </c>
      <c r="N5" s="284">
        <f t="shared" ref="N5:N58" si="0">M5-L5</f>
        <v>-36000000</v>
      </c>
    </row>
    <row r="6" spans="1:14" ht="23.45" customHeight="1">
      <c r="A6" s="283" t="s">
        <v>252</v>
      </c>
      <c r="B6" s="284" t="s">
        <v>1106</v>
      </c>
      <c r="C6" s="284"/>
      <c r="D6" s="284"/>
      <c r="E6" s="284"/>
      <c r="F6" s="284"/>
      <c r="G6" s="284"/>
      <c r="H6" s="284"/>
      <c r="I6" s="284"/>
      <c r="J6" s="284">
        <v>338400000</v>
      </c>
      <c r="K6" s="284">
        <v>828000000</v>
      </c>
      <c r="L6" s="284">
        <v>644400000</v>
      </c>
      <c r="M6" s="284">
        <v>766800000</v>
      </c>
      <c r="N6" s="284">
        <f t="shared" si="0"/>
        <v>122400000</v>
      </c>
    </row>
    <row r="7" spans="1:14" ht="23.45" customHeight="1">
      <c r="A7" s="283" t="s">
        <v>254</v>
      </c>
      <c r="B7" s="284" t="s">
        <v>776</v>
      </c>
      <c r="C7" s="284">
        <v>2500000</v>
      </c>
      <c r="D7" s="284">
        <v>2000000</v>
      </c>
      <c r="E7" s="284">
        <v>2000000</v>
      </c>
      <c r="F7" s="284">
        <v>2000000</v>
      </c>
      <c r="G7" s="284">
        <v>1600000</v>
      </c>
      <c r="H7" s="284">
        <v>41000000</v>
      </c>
      <c r="I7" s="284">
        <v>41000000</v>
      </c>
      <c r="J7" s="284">
        <v>0</v>
      </c>
      <c r="K7" s="284">
        <v>827864000</v>
      </c>
      <c r="L7" s="284">
        <f>K7</f>
        <v>827864000</v>
      </c>
      <c r="M7" s="284">
        <f>L7</f>
        <v>827864000</v>
      </c>
      <c r="N7" s="284">
        <f t="shared" si="0"/>
        <v>0</v>
      </c>
    </row>
    <row r="8" spans="1:14" s="427" customFormat="1" ht="23.45" customHeight="1">
      <c r="A8" s="371" t="s">
        <v>255</v>
      </c>
      <c r="B8" s="292" t="s">
        <v>256</v>
      </c>
      <c r="C8" s="284"/>
      <c r="D8" s="284"/>
      <c r="E8" s="284"/>
      <c r="F8" s="284"/>
      <c r="G8" s="284"/>
      <c r="H8" s="284"/>
      <c r="I8" s="284"/>
      <c r="J8" s="284">
        <v>0</v>
      </c>
      <c r="K8" s="284">
        <v>0</v>
      </c>
      <c r="L8" s="284">
        <v>0</v>
      </c>
      <c r="M8" s="284">
        <v>0</v>
      </c>
      <c r="N8" s="284">
        <f t="shared" si="0"/>
        <v>0</v>
      </c>
    </row>
    <row r="9" spans="1:14" ht="23.45" customHeight="1">
      <c r="A9" s="283" t="s">
        <v>257</v>
      </c>
      <c r="B9" s="284" t="s">
        <v>506</v>
      </c>
      <c r="C9" s="284">
        <v>0</v>
      </c>
      <c r="D9" s="284">
        <v>0</v>
      </c>
      <c r="E9" s="284">
        <v>0</v>
      </c>
      <c r="F9" s="284">
        <v>0</v>
      </c>
      <c r="G9" s="284"/>
      <c r="H9" s="284">
        <v>0</v>
      </c>
      <c r="I9" s="284">
        <v>0</v>
      </c>
      <c r="J9" s="284">
        <v>0</v>
      </c>
      <c r="K9" s="284">
        <v>216000000</v>
      </c>
      <c r="L9" s="284">
        <v>238410000</v>
      </c>
      <c r="M9" s="284">
        <v>238410000</v>
      </c>
      <c r="N9" s="284">
        <f t="shared" si="0"/>
        <v>0</v>
      </c>
    </row>
    <row r="10" spans="1:14" ht="23.45" customHeight="1">
      <c r="A10" s="283" t="s">
        <v>259</v>
      </c>
      <c r="B10" s="284" t="s">
        <v>211</v>
      </c>
      <c r="C10" s="284">
        <v>56250000</v>
      </c>
      <c r="D10" s="284">
        <v>65000000</v>
      </c>
      <c r="E10" s="284">
        <v>65000000</v>
      </c>
      <c r="F10" s="284">
        <v>65000000</v>
      </c>
      <c r="G10" s="284">
        <v>86788800</v>
      </c>
      <c r="H10" s="284">
        <v>141500000</v>
      </c>
      <c r="I10" s="284">
        <v>200000000</v>
      </c>
      <c r="J10" s="284">
        <v>6869200</v>
      </c>
      <c r="K10" s="284">
        <v>35612200</v>
      </c>
      <c r="L10" s="284">
        <v>0</v>
      </c>
      <c r="M10" s="284">
        <v>0</v>
      </c>
      <c r="N10" s="284">
        <f t="shared" si="0"/>
        <v>0</v>
      </c>
    </row>
    <row r="11" spans="1:14" ht="23.45" customHeight="1">
      <c r="A11" s="283" t="s">
        <v>258</v>
      </c>
      <c r="B11" s="284" t="s">
        <v>261</v>
      </c>
      <c r="C11" s="284">
        <v>18000000</v>
      </c>
      <c r="D11" s="284">
        <f>25000000-2000000</f>
        <v>23000000</v>
      </c>
      <c r="E11" s="284">
        <v>23000000</v>
      </c>
      <c r="F11" s="284">
        <v>23000000</v>
      </c>
      <c r="G11" s="284">
        <v>18400000</v>
      </c>
      <c r="H11" s="284">
        <v>56000000</v>
      </c>
      <c r="I11" s="284">
        <v>100000000</v>
      </c>
      <c r="J11" s="284">
        <v>0</v>
      </c>
      <c r="K11" s="284">
        <v>0</v>
      </c>
      <c r="L11" s="284">
        <v>0</v>
      </c>
      <c r="M11" s="284">
        <v>0</v>
      </c>
      <c r="N11" s="284">
        <f t="shared" si="0"/>
        <v>0</v>
      </c>
    </row>
    <row r="12" spans="1:14" ht="23.45" customHeight="1">
      <c r="A12" s="283"/>
      <c r="B12" s="292" t="s">
        <v>119</v>
      </c>
      <c r="C12" s="284">
        <v>11878000</v>
      </c>
      <c r="D12" s="284">
        <f>2000000+2000000</f>
        <v>4000000</v>
      </c>
      <c r="E12" s="284">
        <v>2000000</v>
      </c>
      <c r="F12" s="284">
        <v>2000000</v>
      </c>
      <c r="G12" s="284">
        <v>1600000</v>
      </c>
      <c r="H12" s="284">
        <v>30000000</v>
      </c>
      <c r="I12" s="284">
        <v>60000000</v>
      </c>
      <c r="J12" s="292">
        <f>SUM(J4:J11)</f>
        <v>650841600</v>
      </c>
      <c r="K12" s="292">
        <f>SUM(K4:K11)</f>
        <v>2683012200</v>
      </c>
      <c r="L12" s="292">
        <f>SUM(L4:L11)</f>
        <v>2541237200</v>
      </c>
      <c r="M12" s="292">
        <f>SUM(M4:M11)</f>
        <v>2724669200</v>
      </c>
      <c r="N12" s="284">
        <f t="shared" si="0"/>
        <v>183432000</v>
      </c>
    </row>
    <row r="13" spans="1:14" ht="23.45" customHeight="1">
      <c r="A13" s="371" t="s">
        <v>262</v>
      </c>
      <c r="B13" s="292" t="s">
        <v>263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200000000</v>
      </c>
      <c r="I13" s="284">
        <v>200000000</v>
      </c>
      <c r="J13" s="284"/>
      <c r="K13" s="284"/>
      <c r="L13" s="284"/>
      <c r="M13" s="284"/>
      <c r="N13" s="284">
        <f t="shared" si="0"/>
        <v>0</v>
      </c>
    </row>
    <row r="14" spans="1:14" ht="23.45" customHeight="1">
      <c r="A14" s="371" t="s">
        <v>265</v>
      </c>
      <c r="B14" s="292" t="s">
        <v>264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>
        <f t="shared" si="0"/>
        <v>0</v>
      </c>
    </row>
    <row r="15" spans="1:14" ht="23.45" customHeight="1">
      <c r="A15" s="283" t="s">
        <v>266</v>
      </c>
      <c r="B15" s="284" t="s">
        <v>38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356850000</v>
      </c>
      <c r="I15" s="284">
        <v>0</v>
      </c>
      <c r="J15" s="284">
        <v>11479200</v>
      </c>
      <c r="K15" s="284">
        <f>39500000*70%</f>
        <v>27650000</v>
      </c>
      <c r="L15" s="284">
        <f>39500000*70%</f>
        <v>27650000</v>
      </c>
      <c r="M15" s="284">
        <f>L15</f>
        <v>27650000</v>
      </c>
      <c r="N15" s="284">
        <f>M15-L15</f>
        <v>0</v>
      </c>
    </row>
    <row r="16" spans="1:14" ht="23.45" customHeight="1">
      <c r="A16" s="283" t="s">
        <v>267</v>
      </c>
      <c r="B16" s="284" t="s">
        <v>152</v>
      </c>
      <c r="C16" s="284">
        <v>1500000</v>
      </c>
      <c r="D16" s="284">
        <v>5500000</v>
      </c>
      <c r="E16" s="284">
        <v>500000</v>
      </c>
      <c r="F16" s="284">
        <v>500000</v>
      </c>
      <c r="G16" s="284">
        <v>400000</v>
      </c>
      <c r="H16" s="284">
        <v>12000000</v>
      </c>
      <c r="I16" s="284">
        <v>20000000</v>
      </c>
      <c r="J16" s="284">
        <v>0</v>
      </c>
      <c r="K16" s="284">
        <f>693900000*70%</f>
        <v>485729999.99999994</v>
      </c>
      <c r="L16" s="284">
        <f>693900000*70%</f>
        <v>485729999.99999994</v>
      </c>
      <c r="M16" s="284">
        <f>L16</f>
        <v>485729999.99999994</v>
      </c>
      <c r="N16" s="284">
        <f t="shared" si="0"/>
        <v>0</v>
      </c>
    </row>
    <row r="17" spans="1:14" ht="23.45" customHeight="1">
      <c r="A17" s="283" t="s">
        <v>268</v>
      </c>
      <c r="B17" s="284" t="s">
        <v>153</v>
      </c>
      <c r="C17" s="284"/>
      <c r="D17" s="284"/>
      <c r="E17" s="284"/>
      <c r="F17" s="284"/>
      <c r="G17" s="284"/>
      <c r="H17" s="284"/>
      <c r="I17" s="284"/>
      <c r="J17" s="284">
        <v>8500000</v>
      </c>
      <c r="K17" s="284">
        <f>2340000000*70%</f>
        <v>1638000000</v>
      </c>
      <c r="L17" s="284">
        <f>K17</f>
        <v>1638000000</v>
      </c>
      <c r="M17" s="284">
        <v>1878000000</v>
      </c>
      <c r="N17" s="284">
        <f t="shared" si="0"/>
        <v>240000000</v>
      </c>
    </row>
    <row r="18" spans="1:14" s="427" customFormat="1" ht="23.45" customHeight="1">
      <c r="A18" s="283" t="s">
        <v>269</v>
      </c>
      <c r="B18" s="284" t="s">
        <v>186</v>
      </c>
      <c r="C18" s="284"/>
      <c r="D18" s="284"/>
      <c r="E18" s="284"/>
      <c r="F18" s="284"/>
      <c r="G18" s="284"/>
      <c r="H18" s="284"/>
      <c r="I18" s="284"/>
      <c r="J18" s="284">
        <v>32726886</v>
      </c>
      <c r="K18" s="284">
        <f>275160000*70%</f>
        <v>192612000</v>
      </c>
      <c r="L18" s="284">
        <f>275160000*70%</f>
        <v>192612000</v>
      </c>
      <c r="M18" s="284">
        <f>L18</f>
        <v>192612000</v>
      </c>
      <c r="N18" s="284">
        <f t="shared" si="0"/>
        <v>0</v>
      </c>
    </row>
    <row r="19" spans="1:14" ht="23.45" customHeight="1">
      <c r="A19" s="283" t="s">
        <v>270</v>
      </c>
      <c r="B19" s="284" t="s">
        <v>581</v>
      </c>
      <c r="C19" s="284"/>
      <c r="D19" s="284"/>
      <c r="E19" s="284"/>
      <c r="F19" s="284"/>
      <c r="G19" s="284"/>
      <c r="H19" s="284"/>
      <c r="I19" s="284"/>
      <c r="J19" s="284">
        <v>136500000</v>
      </c>
      <c r="K19" s="284">
        <f>136500000*70%+400000000</f>
        <v>495550000</v>
      </c>
      <c r="L19" s="284">
        <f>136500000*70%+400000000</f>
        <v>495550000</v>
      </c>
      <c r="M19" s="284">
        <f>L19</f>
        <v>495550000</v>
      </c>
      <c r="N19" s="284">
        <f t="shared" si="0"/>
        <v>0</v>
      </c>
    </row>
    <row r="20" spans="1:14" ht="23.45" customHeight="1">
      <c r="A20" s="283" t="s">
        <v>271</v>
      </c>
      <c r="B20" s="284" t="s">
        <v>154</v>
      </c>
      <c r="C20" s="284">
        <v>2500000</v>
      </c>
      <c r="D20" s="284">
        <v>2000000</v>
      </c>
      <c r="E20" s="284">
        <v>2000000</v>
      </c>
      <c r="F20" s="284">
        <v>2000000</v>
      </c>
      <c r="G20" s="284">
        <v>1600000</v>
      </c>
      <c r="H20" s="284">
        <v>41000000</v>
      </c>
      <c r="I20" s="284">
        <v>41000000</v>
      </c>
      <c r="J20" s="284">
        <v>15735744</v>
      </c>
      <c r="K20" s="284">
        <f>40400000*70%</f>
        <v>28280000</v>
      </c>
      <c r="L20" s="284">
        <v>20000000</v>
      </c>
      <c r="M20" s="284">
        <v>20000000</v>
      </c>
      <c r="N20" s="284">
        <f t="shared" si="0"/>
        <v>0</v>
      </c>
    </row>
    <row r="21" spans="1:14" ht="23.45" customHeight="1">
      <c r="A21" s="283" t="s">
        <v>272</v>
      </c>
      <c r="B21" s="284" t="s">
        <v>54</v>
      </c>
      <c r="C21" s="284">
        <f t="shared" ref="C21:I21" si="1">SUM(C15:C20)</f>
        <v>4000000</v>
      </c>
      <c r="D21" s="284">
        <f t="shared" si="1"/>
        <v>7500000</v>
      </c>
      <c r="E21" s="284">
        <f t="shared" si="1"/>
        <v>2500000</v>
      </c>
      <c r="F21" s="284">
        <f t="shared" si="1"/>
        <v>2500000</v>
      </c>
      <c r="G21" s="284">
        <f t="shared" si="1"/>
        <v>2000000</v>
      </c>
      <c r="H21" s="284">
        <f t="shared" si="1"/>
        <v>409850000</v>
      </c>
      <c r="I21" s="292">
        <f t="shared" si="1"/>
        <v>61000000</v>
      </c>
      <c r="J21" s="284">
        <v>19737600</v>
      </c>
      <c r="K21" s="284">
        <v>1447754000</v>
      </c>
      <c r="L21" s="284">
        <f>K21</f>
        <v>1447754000</v>
      </c>
      <c r="M21" s="284">
        <v>1647754000</v>
      </c>
      <c r="N21" s="284">
        <f t="shared" si="0"/>
        <v>200000000</v>
      </c>
    </row>
    <row r="22" spans="1:14" s="427" customFormat="1" ht="23.45" customHeight="1">
      <c r="A22" s="283" t="s">
        <v>273</v>
      </c>
      <c r="B22" s="284" t="s">
        <v>120</v>
      </c>
      <c r="C22" s="284"/>
      <c r="D22" s="284"/>
      <c r="E22" s="284"/>
      <c r="F22" s="284"/>
      <c r="G22" s="284"/>
      <c r="H22" s="284"/>
      <c r="I22" s="284"/>
      <c r="J22" s="284">
        <v>0</v>
      </c>
      <c r="K22" s="284">
        <v>2527600000</v>
      </c>
      <c r="L22" s="284">
        <f>K22</f>
        <v>2527600000</v>
      </c>
      <c r="M22" s="284">
        <v>3307600000</v>
      </c>
      <c r="N22" s="284">
        <f t="shared" si="0"/>
        <v>780000000</v>
      </c>
    </row>
    <row r="23" spans="1:14" s="427" customFormat="1" ht="23.45" customHeight="1">
      <c r="A23" s="283" t="s">
        <v>274</v>
      </c>
      <c r="B23" s="284" t="s">
        <v>164</v>
      </c>
      <c r="C23" s="284">
        <v>23000000</v>
      </c>
      <c r="D23" s="284">
        <v>15000000</v>
      </c>
      <c r="E23" s="284">
        <v>8949700</v>
      </c>
      <c r="F23" s="284">
        <v>8949700</v>
      </c>
      <c r="G23" s="284">
        <v>12000000</v>
      </c>
      <c r="H23" s="284">
        <v>80000000</v>
      </c>
      <c r="I23" s="284">
        <v>80000000</v>
      </c>
      <c r="J23" s="284">
        <v>25610000</v>
      </c>
      <c r="K23" s="284">
        <f>127605000*70%</f>
        <v>89323500</v>
      </c>
      <c r="L23" s="284">
        <f>127605000*70%</f>
        <v>89323500</v>
      </c>
      <c r="M23" s="284">
        <f>L23</f>
        <v>89323500</v>
      </c>
      <c r="N23" s="284">
        <f t="shared" si="0"/>
        <v>0</v>
      </c>
    </row>
    <row r="24" spans="1:14" ht="23.45" customHeight="1">
      <c r="A24" s="283" t="s">
        <v>275</v>
      </c>
      <c r="B24" s="284" t="s">
        <v>40</v>
      </c>
      <c r="C24" s="284">
        <v>10061000</v>
      </c>
      <c r="D24" s="284">
        <v>2000000</v>
      </c>
      <c r="E24" s="284">
        <v>0</v>
      </c>
      <c r="F24" s="284">
        <v>0</v>
      </c>
      <c r="G24" s="284">
        <v>0</v>
      </c>
      <c r="H24" s="284">
        <v>30000000</v>
      </c>
      <c r="I24" s="284">
        <v>40000000</v>
      </c>
      <c r="J24" s="284">
        <v>3038784</v>
      </c>
      <c r="K24" s="284">
        <v>70800000</v>
      </c>
      <c r="L24" s="284">
        <v>70800000</v>
      </c>
      <c r="M24" s="284">
        <f>L24</f>
        <v>70800000</v>
      </c>
      <c r="N24" s="284">
        <f t="shared" si="0"/>
        <v>0</v>
      </c>
    </row>
    <row r="25" spans="1:14" ht="23.45" customHeight="1">
      <c r="A25" s="283" t="s">
        <v>526</v>
      </c>
      <c r="B25" s="284" t="s">
        <v>527</v>
      </c>
      <c r="C25" s="284"/>
      <c r="D25" s="284"/>
      <c r="E25" s="284"/>
      <c r="F25" s="284"/>
      <c r="G25" s="284"/>
      <c r="H25" s="284"/>
      <c r="I25" s="284"/>
      <c r="J25" s="284">
        <v>0</v>
      </c>
      <c r="K25" s="284">
        <f>315450000*70%</f>
        <v>220815000</v>
      </c>
      <c r="L25" s="284">
        <f>315450000*70%</f>
        <v>220815000</v>
      </c>
      <c r="M25" s="284">
        <f>L25</f>
        <v>220815000</v>
      </c>
      <c r="N25" s="284">
        <f t="shared" si="0"/>
        <v>0</v>
      </c>
    </row>
    <row r="26" spans="1:14" ht="23.45" customHeight="1">
      <c r="A26" s="283" t="s">
        <v>342</v>
      </c>
      <c r="B26" s="284" t="s">
        <v>312</v>
      </c>
      <c r="C26" s="284"/>
      <c r="D26" s="284"/>
      <c r="E26" s="284"/>
      <c r="F26" s="284"/>
      <c r="G26" s="284"/>
      <c r="H26" s="284"/>
      <c r="I26" s="284"/>
      <c r="J26" s="284">
        <v>9256033256</v>
      </c>
      <c r="K26" s="284">
        <f>16005243233</f>
        <v>16005243233</v>
      </c>
      <c r="L26" s="284">
        <f>K26</f>
        <v>16005243233</v>
      </c>
      <c r="M26" s="284">
        <f>L26</f>
        <v>16005243233</v>
      </c>
      <c r="N26" s="284">
        <f t="shared" si="0"/>
        <v>0</v>
      </c>
    </row>
    <row r="27" spans="1:14" ht="23.45" customHeight="1">
      <c r="A27" s="283" t="s">
        <v>277</v>
      </c>
      <c r="B27" s="284" t="s">
        <v>218</v>
      </c>
      <c r="C27" s="284">
        <v>3000000</v>
      </c>
      <c r="D27" s="284">
        <v>1500000</v>
      </c>
      <c r="E27" s="284">
        <v>0</v>
      </c>
      <c r="F27" s="284">
        <v>0</v>
      </c>
      <c r="G27" s="284">
        <v>0</v>
      </c>
      <c r="H27" s="284">
        <v>15000000</v>
      </c>
      <c r="I27" s="284">
        <v>20000000</v>
      </c>
      <c r="J27" s="284">
        <v>1355821960</v>
      </c>
      <c r="K27" s="284">
        <v>2306215372</v>
      </c>
      <c r="L27" s="284">
        <v>2283805372</v>
      </c>
      <c r="M27" s="284">
        <f>L27</f>
        <v>2283805372</v>
      </c>
      <c r="N27" s="284">
        <f t="shared" si="0"/>
        <v>0</v>
      </c>
    </row>
    <row r="28" spans="1:14" ht="23.45" customHeight="1">
      <c r="A28" s="283" t="s">
        <v>805</v>
      </c>
      <c r="B28" s="284" t="s">
        <v>806</v>
      </c>
      <c r="C28" s="284"/>
      <c r="D28" s="284"/>
      <c r="E28" s="284"/>
      <c r="F28" s="284"/>
      <c r="G28" s="284"/>
      <c r="H28" s="284"/>
      <c r="I28" s="284"/>
      <c r="J28" s="284"/>
      <c r="K28" s="284">
        <v>0</v>
      </c>
      <c r="L28" s="284">
        <v>200000000</v>
      </c>
      <c r="M28" s="284">
        <v>0</v>
      </c>
      <c r="N28" s="284">
        <f>M28-L28</f>
        <v>-200000000</v>
      </c>
    </row>
    <row r="29" spans="1:14" ht="23.45" customHeight="1">
      <c r="A29" s="283" t="s">
        <v>1125</v>
      </c>
      <c r="B29" s="284" t="s">
        <v>1126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>
        <v>2200000000</v>
      </c>
      <c r="N29" s="284">
        <f t="shared" si="0"/>
        <v>2200000000</v>
      </c>
    </row>
    <row r="30" spans="1:14" ht="23.45" customHeight="1">
      <c r="A30" s="283" t="s">
        <v>276</v>
      </c>
      <c r="B30" s="284" t="s">
        <v>830</v>
      </c>
      <c r="C30" s="284">
        <v>0</v>
      </c>
      <c r="D30" s="284">
        <v>0</v>
      </c>
      <c r="E30" s="284">
        <v>0</v>
      </c>
      <c r="F30" s="284">
        <v>0</v>
      </c>
      <c r="G30" s="284">
        <v>0</v>
      </c>
      <c r="H30" s="284">
        <v>40000000</v>
      </c>
      <c r="I30" s="284">
        <v>70000000</v>
      </c>
      <c r="J30" s="284">
        <v>0</v>
      </c>
      <c r="K30" s="284">
        <v>5100000000</v>
      </c>
      <c r="L30" s="284">
        <v>5900000000</v>
      </c>
      <c r="M30" s="284">
        <v>0</v>
      </c>
      <c r="N30" s="284">
        <f t="shared" si="0"/>
        <v>-5900000000</v>
      </c>
    </row>
    <row r="31" spans="1:14" ht="23.45" customHeight="1">
      <c r="A31" s="283" t="s">
        <v>623</v>
      </c>
      <c r="B31" s="284" t="s">
        <v>751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>
        <v>1000000000</v>
      </c>
      <c r="N31" s="284">
        <f t="shared" si="0"/>
        <v>1000000000</v>
      </c>
    </row>
    <row r="32" spans="1:14" s="427" customFormat="1" ht="23.45" customHeight="1">
      <c r="A32" s="283"/>
      <c r="B32" s="292" t="s">
        <v>119</v>
      </c>
      <c r="C32" s="284">
        <v>0</v>
      </c>
      <c r="D32" s="284">
        <v>0</v>
      </c>
      <c r="E32" s="284">
        <v>0</v>
      </c>
      <c r="F32" s="284">
        <v>0</v>
      </c>
      <c r="G32" s="284">
        <v>16000000</v>
      </c>
      <c r="H32" s="284">
        <v>360113000</v>
      </c>
      <c r="I32" s="284">
        <v>208212162</v>
      </c>
      <c r="J32" s="292">
        <f>SUM(J15:J30)</f>
        <v>10865183430</v>
      </c>
      <c r="K32" s="292">
        <f>SUM(K15:K30)</f>
        <v>30635573105</v>
      </c>
      <c r="L32" s="292">
        <f>SUM(L15:L30)</f>
        <v>31604883105</v>
      </c>
      <c r="M32" s="292">
        <f>SUM(M15:M31)</f>
        <v>29924883105</v>
      </c>
      <c r="N32" s="292">
        <f>M32-L32</f>
        <v>-1680000000</v>
      </c>
    </row>
    <row r="33" spans="1:14" ht="23.45" customHeight="1">
      <c r="A33" s="371" t="s">
        <v>279</v>
      </c>
      <c r="B33" s="292" t="s">
        <v>278</v>
      </c>
      <c r="C33" s="284"/>
      <c r="D33" s="284"/>
      <c r="E33" s="284"/>
      <c r="F33" s="284"/>
      <c r="G33" s="284"/>
      <c r="H33" s="284"/>
      <c r="I33" s="284">
        <v>0</v>
      </c>
      <c r="J33" s="284"/>
      <c r="K33" s="284"/>
      <c r="L33" s="284"/>
      <c r="M33" s="284"/>
      <c r="N33" s="284">
        <f t="shared" si="0"/>
        <v>0</v>
      </c>
    </row>
    <row r="34" spans="1:14" ht="23.45" customHeight="1">
      <c r="A34" s="283" t="s">
        <v>280</v>
      </c>
      <c r="B34" s="284" t="s">
        <v>160</v>
      </c>
      <c r="C34" s="292" t="e">
        <f>#REF!+#REF!+#REF!+#REF!+#REF!</f>
        <v>#REF!</v>
      </c>
      <c r="D34" s="292" t="e">
        <f>#REF!+#REF!+#REF!+#REF!+#REF!</f>
        <v>#REF!</v>
      </c>
      <c r="E34" s="292" t="e">
        <f>#REF!+#REF!+#REF!+#REF!+#REF!</f>
        <v>#REF!</v>
      </c>
      <c r="F34" s="292" t="e">
        <f>#REF!+#REF!+#REF!+#REF!+#REF!</f>
        <v>#REF!</v>
      </c>
      <c r="G34" s="292" t="e">
        <f>#REF!+#REF!+#REF!+#REF!+#REF!</f>
        <v>#REF!</v>
      </c>
      <c r="H34" s="292" t="e">
        <f>#REF!+#REF!+#REF!+#REF!+#REF!</f>
        <v>#REF!</v>
      </c>
      <c r="I34" s="292" t="e">
        <f>#REF!+#REF!+#REF!+#REF!+#REF!</f>
        <v>#REF!</v>
      </c>
      <c r="J34" s="284">
        <v>7800000</v>
      </c>
      <c r="K34" s="284">
        <f>7800000*70%</f>
        <v>5460000</v>
      </c>
      <c r="L34" s="284">
        <f>7800000*70%</f>
        <v>5460000</v>
      </c>
      <c r="M34" s="284">
        <f>7800000*70%</f>
        <v>5460000</v>
      </c>
      <c r="N34" s="284">
        <f t="shared" si="0"/>
        <v>0</v>
      </c>
    </row>
    <row r="35" spans="1:14" ht="23.45" customHeight="1">
      <c r="A35" s="283" t="s">
        <v>281</v>
      </c>
      <c r="B35" s="284" t="s">
        <v>161</v>
      </c>
      <c r="C35" s="335"/>
      <c r="D35" s="335"/>
      <c r="E35" s="335"/>
      <c r="F35" s="336">
        <v>0</v>
      </c>
      <c r="G35" s="336" t="s">
        <v>4</v>
      </c>
      <c r="H35" s="336"/>
      <c r="I35" s="336"/>
      <c r="J35" s="284">
        <v>660119248</v>
      </c>
      <c r="K35" s="284">
        <v>1334950874</v>
      </c>
      <c r="L35" s="284">
        <f>K35</f>
        <v>1334950874</v>
      </c>
      <c r="M35" s="284">
        <v>1134950874</v>
      </c>
      <c r="N35" s="284">
        <f t="shared" si="0"/>
        <v>-200000000</v>
      </c>
    </row>
    <row r="36" spans="1:14" ht="23.45" customHeight="1">
      <c r="A36" s="283" t="s">
        <v>282</v>
      </c>
      <c r="B36" s="284" t="s">
        <v>155</v>
      </c>
      <c r="C36" s="335"/>
      <c r="D36" s="335"/>
      <c r="E36" s="335"/>
      <c r="F36" s="336"/>
      <c r="G36" s="336"/>
      <c r="H36" s="336"/>
      <c r="I36" s="336"/>
      <c r="J36" s="284">
        <v>38304400</v>
      </c>
      <c r="K36" s="284">
        <v>120715500</v>
      </c>
      <c r="L36" s="284">
        <v>120715500</v>
      </c>
      <c r="M36" s="284">
        <f>L36</f>
        <v>120715500</v>
      </c>
      <c r="N36" s="284">
        <f t="shared" si="0"/>
        <v>0</v>
      </c>
    </row>
    <row r="37" spans="1:14" ht="23.45" customHeight="1">
      <c r="A37" s="283" t="s">
        <v>283</v>
      </c>
      <c r="B37" s="284" t="s">
        <v>156</v>
      </c>
      <c r="C37" s="284"/>
      <c r="D37" s="284"/>
      <c r="E37" s="284"/>
      <c r="F37" s="284"/>
      <c r="G37" s="284"/>
      <c r="H37" s="284"/>
      <c r="I37" s="284"/>
      <c r="J37" s="284">
        <v>6017984</v>
      </c>
      <c r="K37" s="284">
        <f>72185000*70%</f>
        <v>50529500</v>
      </c>
      <c r="L37" s="284">
        <f>72185000*70%</f>
        <v>50529500</v>
      </c>
      <c r="M37" s="284">
        <f>L37</f>
        <v>50529500</v>
      </c>
      <c r="N37" s="284">
        <f t="shared" si="0"/>
        <v>0</v>
      </c>
    </row>
    <row r="38" spans="1:14" ht="23.45" customHeight="1">
      <c r="A38" s="283" t="s">
        <v>284</v>
      </c>
      <c r="B38" s="284" t="s">
        <v>162</v>
      </c>
      <c r="C38" s="284">
        <v>4000000</v>
      </c>
      <c r="D38" s="284">
        <v>2000000</v>
      </c>
      <c r="E38" s="284">
        <v>0</v>
      </c>
      <c r="F38" s="284">
        <v>0</v>
      </c>
      <c r="G38" s="284">
        <v>0</v>
      </c>
      <c r="H38" s="284">
        <v>200000000</v>
      </c>
      <c r="I38" s="284">
        <v>200000000</v>
      </c>
      <c r="J38" s="284">
        <v>0</v>
      </c>
      <c r="K38" s="284">
        <v>0</v>
      </c>
      <c r="L38" s="284">
        <v>0</v>
      </c>
      <c r="M38" s="284">
        <v>0</v>
      </c>
      <c r="N38" s="284">
        <f t="shared" si="0"/>
        <v>0</v>
      </c>
    </row>
    <row r="39" spans="1:14" ht="23.45" customHeight="1">
      <c r="A39" s="283" t="s">
        <v>298</v>
      </c>
      <c r="B39" s="284" t="s">
        <v>219</v>
      </c>
      <c r="C39" s="284">
        <v>0</v>
      </c>
      <c r="D39" s="284">
        <v>0</v>
      </c>
      <c r="E39" s="284">
        <v>0</v>
      </c>
      <c r="F39" s="284">
        <v>0</v>
      </c>
      <c r="G39" s="284">
        <v>0</v>
      </c>
      <c r="H39" s="284">
        <v>150000000</v>
      </c>
      <c r="I39" s="284">
        <v>150000000</v>
      </c>
      <c r="J39" s="284">
        <v>21501800</v>
      </c>
      <c r="K39" s="284">
        <f>1385605000*70%</f>
        <v>969923499.99999988</v>
      </c>
      <c r="L39" s="284">
        <v>300000000</v>
      </c>
      <c r="M39" s="284">
        <f>L39</f>
        <v>300000000</v>
      </c>
      <c r="N39" s="284">
        <f t="shared" si="0"/>
        <v>0</v>
      </c>
    </row>
    <row r="40" spans="1:14" ht="23.45" customHeight="1">
      <c r="A40" s="283"/>
      <c r="B40" s="292" t="s">
        <v>119</v>
      </c>
      <c r="C40" s="284">
        <v>10089000</v>
      </c>
      <c r="D40" s="284">
        <v>10004000</v>
      </c>
      <c r="E40" s="284">
        <v>20004000</v>
      </c>
      <c r="F40" s="284">
        <v>20004000</v>
      </c>
      <c r="G40" s="284">
        <v>40003200</v>
      </c>
      <c r="H40" s="284">
        <v>100000000</v>
      </c>
      <c r="I40" s="284">
        <v>100000000</v>
      </c>
      <c r="J40" s="292">
        <f>SUM(J34:J39)</f>
        <v>733743432</v>
      </c>
      <c r="K40" s="292">
        <f>SUM(K34:K39)</f>
        <v>2481579374</v>
      </c>
      <c r="L40" s="292">
        <f>SUM(L34:L39)</f>
        <v>1811655874</v>
      </c>
      <c r="M40" s="292">
        <f>SUM(M34:M39)</f>
        <v>1611655874</v>
      </c>
      <c r="N40" s="284">
        <f t="shared" si="0"/>
        <v>-200000000</v>
      </c>
    </row>
    <row r="41" spans="1:14" ht="23.45" customHeight="1">
      <c r="A41" s="371" t="s">
        <v>285</v>
      </c>
      <c r="B41" s="292" t="s">
        <v>158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616200000</v>
      </c>
      <c r="I41" s="284">
        <v>616200000</v>
      </c>
      <c r="J41" s="284"/>
      <c r="K41" s="284"/>
      <c r="L41" s="284"/>
      <c r="M41" s="284"/>
      <c r="N41" s="284">
        <f t="shared" si="0"/>
        <v>0</v>
      </c>
    </row>
    <row r="42" spans="1:14" ht="23.45" customHeight="1">
      <c r="A42" s="283" t="s">
        <v>286</v>
      </c>
      <c r="B42" s="284" t="s">
        <v>55</v>
      </c>
      <c r="C42" s="284">
        <v>13333000</v>
      </c>
      <c r="D42" s="284">
        <v>5000000</v>
      </c>
      <c r="E42" s="284">
        <v>0</v>
      </c>
      <c r="F42" s="284">
        <v>0</v>
      </c>
      <c r="G42" s="284">
        <v>0</v>
      </c>
      <c r="H42" s="284">
        <v>100000000</v>
      </c>
      <c r="I42" s="284">
        <v>70000000</v>
      </c>
      <c r="J42" s="284">
        <v>59340500</v>
      </c>
      <c r="K42" s="284">
        <v>117060845</v>
      </c>
      <c r="L42" s="284">
        <v>117060845</v>
      </c>
      <c r="M42" s="284">
        <f>L42</f>
        <v>117060845</v>
      </c>
      <c r="N42" s="284">
        <f t="shared" si="0"/>
        <v>0</v>
      </c>
    </row>
    <row r="43" spans="1:14" ht="23.45" customHeight="1">
      <c r="A43" s="283" t="s">
        <v>288</v>
      </c>
      <c r="B43" s="284" t="s">
        <v>287</v>
      </c>
      <c r="C43" s="284">
        <v>0</v>
      </c>
      <c r="D43" s="284">
        <v>0</v>
      </c>
      <c r="E43" s="284">
        <v>0</v>
      </c>
      <c r="F43" s="284">
        <v>0</v>
      </c>
      <c r="G43" s="284">
        <v>0</v>
      </c>
      <c r="H43" s="284">
        <v>0</v>
      </c>
      <c r="I43" s="284">
        <v>0</v>
      </c>
      <c r="J43" s="284">
        <v>4424000</v>
      </c>
      <c r="K43" s="284">
        <f>36424000*70%</f>
        <v>25496800</v>
      </c>
      <c r="L43" s="284">
        <f>36424000*70%</f>
        <v>25496800</v>
      </c>
      <c r="M43" s="284">
        <f>L43</f>
        <v>25496800</v>
      </c>
      <c r="N43" s="284">
        <f t="shared" si="0"/>
        <v>0</v>
      </c>
    </row>
    <row r="44" spans="1:14" ht="23.45" customHeight="1">
      <c r="A44" s="283"/>
      <c r="B44" s="292" t="s">
        <v>119</v>
      </c>
      <c r="C44" s="292" t="e">
        <f>#REF!+#REF!+C37+C21+#REF!</f>
        <v>#REF!</v>
      </c>
      <c r="D44" s="292" t="e">
        <f>#REF!+#REF!+D37+D21+#REF!</f>
        <v>#REF!</v>
      </c>
      <c r="E44" s="292" t="e">
        <f>#REF!+#REF!+E37+E21+#REF!</f>
        <v>#REF!</v>
      </c>
      <c r="F44" s="292" t="e">
        <f>#REF!+#REF!+F37+F21+#REF!</f>
        <v>#REF!</v>
      </c>
      <c r="G44" s="292" t="e">
        <f>#REF!+#REF!+G21+G37+#REF!</f>
        <v>#REF!</v>
      </c>
      <c r="H44" s="292" t="e">
        <f>#REF!+#REF!+H37+H21+#REF!</f>
        <v>#REF!</v>
      </c>
      <c r="I44" s="292" t="e">
        <f>#REF!+#REF!+I37+I21+#REF!</f>
        <v>#REF!</v>
      </c>
      <c r="J44" s="292">
        <f>SUM(J42:J43)</f>
        <v>63764500</v>
      </c>
      <c r="K44" s="292">
        <f>SUM(K42:K43)</f>
        <v>142557645</v>
      </c>
      <c r="L44" s="292">
        <f>SUM(L42:L43)</f>
        <v>142557645</v>
      </c>
      <c r="M44" s="292">
        <f>SUM(M42:M43)</f>
        <v>142557645</v>
      </c>
      <c r="N44" s="284">
        <f t="shared" si="0"/>
        <v>0</v>
      </c>
    </row>
    <row r="45" spans="1:14" ht="23.45" customHeight="1">
      <c r="A45" s="371" t="s">
        <v>293</v>
      </c>
      <c r="B45" s="292" t="s">
        <v>292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>
        <f t="shared" si="0"/>
        <v>0</v>
      </c>
    </row>
    <row r="46" spans="1:14" ht="23.45" customHeight="1">
      <c r="A46" s="371" t="s">
        <v>294</v>
      </c>
      <c r="B46" s="292" t="s">
        <v>291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>
        <f t="shared" si="0"/>
        <v>0</v>
      </c>
    </row>
    <row r="47" spans="1:14" ht="23.45" customHeight="1">
      <c r="A47" s="283" t="s">
        <v>389</v>
      </c>
      <c r="B47" s="284" t="s">
        <v>307</v>
      </c>
      <c r="C47" s="284"/>
      <c r="D47" s="284"/>
      <c r="E47" s="284"/>
      <c r="F47" s="284"/>
      <c r="G47" s="284"/>
      <c r="H47" s="284"/>
      <c r="I47" s="284"/>
      <c r="J47" s="284">
        <v>7480000</v>
      </c>
      <c r="K47" s="284">
        <f>146040000*70%</f>
        <v>102228000</v>
      </c>
      <c r="L47" s="284">
        <f>K47</f>
        <v>102228000</v>
      </c>
      <c r="M47" s="284">
        <f>L47</f>
        <v>102228000</v>
      </c>
      <c r="N47" s="284">
        <f t="shared" si="0"/>
        <v>0</v>
      </c>
    </row>
    <row r="48" spans="1:14" ht="23.45" customHeight="1">
      <c r="A48" s="283" t="s">
        <v>388</v>
      </c>
      <c r="B48" s="284" t="s">
        <v>728</v>
      </c>
      <c r="C48" s="284"/>
      <c r="D48" s="284"/>
      <c r="E48" s="284"/>
      <c r="F48" s="284"/>
      <c r="G48" s="284"/>
      <c r="H48" s="284"/>
      <c r="I48" s="284"/>
      <c r="J48" s="284">
        <v>524149920</v>
      </c>
      <c r="K48" s="284">
        <v>599475000</v>
      </c>
      <c r="L48" s="284">
        <v>126000000</v>
      </c>
      <c r="M48" s="284">
        <v>708000000</v>
      </c>
      <c r="N48" s="284">
        <f t="shared" si="0"/>
        <v>582000000</v>
      </c>
    </row>
    <row r="49" spans="1:14" ht="23.45" customHeight="1">
      <c r="A49" s="283" t="s">
        <v>295</v>
      </c>
      <c r="B49" s="284" t="s">
        <v>176</v>
      </c>
      <c r="C49" s="284"/>
      <c r="D49" s="284"/>
      <c r="E49" s="284"/>
      <c r="F49" s="284"/>
      <c r="G49" s="284"/>
      <c r="H49" s="284"/>
      <c r="I49" s="284"/>
      <c r="J49" s="284">
        <v>0</v>
      </c>
      <c r="K49" s="284">
        <f>40085000*70%</f>
        <v>28059500</v>
      </c>
      <c r="L49" s="284">
        <f>K49</f>
        <v>28059500</v>
      </c>
      <c r="M49" s="284">
        <f>L49</f>
        <v>28059500</v>
      </c>
      <c r="N49" s="284">
        <f t="shared" si="0"/>
        <v>0</v>
      </c>
    </row>
    <row r="50" spans="1:14" ht="23.45" customHeight="1">
      <c r="A50" s="283" t="s">
        <v>579</v>
      </c>
      <c r="B50" s="284" t="s">
        <v>580</v>
      </c>
      <c r="C50" s="284"/>
      <c r="D50" s="284"/>
      <c r="E50" s="284"/>
      <c r="F50" s="284"/>
      <c r="G50" s="284"/>
      <c r="H50" s="284"/>
      <c r="I50" s="284"/>
      <c r="J50" s="284">
        <v>0</v>
      </c>
      <c r="K50" s="284">
        <f>14085000*70%</f>
        <v>9859500</v>
      </c>
      <c r="L50" s="284">
        <f>K50</f>
        <v>9859500</v>
      </c>
      <c r="M50" s="284">
        <f>L50</f>
        <v>9859500</v>
      </c>
      <c r="N50" s="284">
        <f t="shared" si="0"/>
        <v>0</v>
      </c>
    </row>
    <row r="51" spans="1:14" ht="23.45" customHeight="1">
      <c r="A51" s="283"/>
      <c r="B51" s="292" t="s">
        <v>119</v>
      </c>
      <c r="C51" s="284"/>
      <c r="D51" s="284"/>
      <c r="E51" s="284"/>
      <c r="F51" s="284"/>
      <c r="G51" s="284"/>
      <c r="H51" s="284"/>
      <c r="I51" s="284"/>
      <c r="J51" s="292">
        <f>SUM(J47:J50)</f>
        <v>531629920</v>
      </c>
      <c r="K51" s="292">
        <f>SUM(K47:K50)</f>
        <v>739622000</v>
      </c>
      <c r="L51" s="292">
        <f>SUM(L47:L50)</f>
        <v>266147000</v>
      </c>
      <c r="M51" s="292">
        <f>SUM(M47:M50)</f>
        <v>848147000</v>
      </c>
      <c r="N51" s="284">
        <f t="shared" si="0"/>
        <v>582000000</v>
      </c>
    </row>
    <row r="52" spans="1:14" ht="23.45" customHeight="1">
      <c r="A52" s="421" t="s">
        <v>611</v>
      </c>
      <c r="B52" s="422" t="s">
        <v>612</v>
      </c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>
        <f t="shared" si="0"/>
        <v>0</v>
      </c>
    </row>
    <row r="53" spans="1:14" ht="23.45" customHeight="1">
      <c r="A53" s="283" t="s">
        <v>433</v>
      </c>
      <c r="B53" s="284" t="s">
        <v>599</v>
      </c>
      <c r="C53" s="284"/>
      <c r="D53" s="284"/>
      <c r="E53" s="284"/>
      <c r="F53" s="284"/>
      <c r="G53" s="284"/>
      <c r="H53" s="284"/>
      <c r="I53" s="284"/>
      <c r="J53" s="284">
        <v>350400000</v>
      </c>
      <c r="K53" s="284">
        <f>350400000*70%</f>
        <v>245279999.99999997</v>
      </c>
      <c r="L53" s="284">
        <v>400000000</v>
      </c>
      <c r="M53" s="284">
        <v>0</v>
      </c>
      <c r="N53" s="284">
        <f t="shared" si="0"/>
        <v>-400000000</v>
      </c>
    </row>
    <row r="54" spans="1:14" ht="23.45" customHeight="1">
      <c r="A54" s="283"/>
      <c r="B54" s="292" t="s">
        <v>119</v>
      </c>
      <c r="C54" s="284"/>
      <c r="D54" s="284"/>
      <c r="E54" s="284"/>
      <c r="F54" s="284"/>
      <c r="G54" s="284"/>
      <c r="H54" s="284"/>
      <c r="I54" s="284"/>
      <c r="J54" s="292">
        <f>SUM(J53)</f>
        <v>350400000</v>
      </c>
      <c r="K54" s="292">
        <f>SUM(K53)</f>
        <v>245279999.99999997</v>
      </c>
      <c r="L54" s="292">
        <f>SUM(L53:L53)</f>
        <v>400000000</v>
      </c>
      <c r="M54" s="292">
        <f>SUM(M53:M53)</f>
        <v>0</v>
      </c>
      <c r="N54" s="292">
        <f t="shared" si="0"/>
        <v>-400000000</v>
      </c>
    </row>
    <row r="55" spans="1:14" ht="23.45" customHeight="1">
      <c r="A55" s="423" t="s">
        <v>338</v>
      </c>
      <c r="B55" s="394" t="s">
        <v>683</v>
      </c>
      <c r="C55" s="389"/>
      <c r="D55" s="389"/>
      <c r="E55" s="389"/>
      <c r="F55" s="389"/>
      <c r="G55" s="389"/>
      <c r="H55" s="389"/>
      <c r="I55" s="389"/>
      <c r="J55" s="394"/>
      <c r="K55" s="394"/>
      <c r="L55" s="394"/>
      <c r="M55" s="394"/>
      <c r="N55" s="284">
        <f t="shared" si="0"/>
        <v>0</v>
      </c>
    </row>
    <row r="56" spans="1:14" ht="23.45" customHeight="1">
      <c r="A56" s="423" t="s">
        <v>446</v>
      </c>
      <c r="B56" s="389" t="s">
        <v>749</v>
      </c>
      <c r="C56" s="389"/>
      <c r="D56" s="389"/>
      <c r="E56" s="389"/>
      <c r="F56" s="389"/>
      <c r="G56" s="389"/>
      <c r="H56" s="389"/>
      <c r="I56" s="389"/>
      <c r="J56" s="394"/>
      <c r="K56" s="394">
        <v>0</v>
      </c>
      <c r="L56" s="389">
        <v>900000000</v>
      </c>
      <c r="M56" s="389">
        <v>600000000</v>
      </c>
      <c r="N56" s="284">
        <f t="shared" si="0"/>
        <v>-300000000</v>
      </c>
    </row>
    <row r="57" spans="1:14" ht="23.45" customHeight="1">
      <c r="A57" s="423"/>
      <c r="B57" s="389" t="s">
        <v>119</v>
      </c>
      <c r="C57" s="389"/>
      <c r="D57" s="389"/>
      <c r="E57" s="389"/>
      <c r="F57" s="389"/>
      <c r="G57" s="389"/>
      <c r="H57" s="389"/>
      <c r="I57" s="389"/>
      <c r="J57" s="394"/>
      <c r="K57" s="394">
        <v>0</v>
      </c>
      <c r="L57" s="394">
        <f>SUM(L56)</f>
        <v>900000000</v>
      </c>
      <c r="M57" s="394">
        <f>SUM(M56)</f>
        <v>600000000</v>
      </c>
      <c r="N57" s="284">
        <f t="shared" si="0"/>
        <v>-300000000</v>
      </c>
    </row>
    <row r="58" spans="1:14" ht="23.45" customHeight="1" thickBot="1">
      <c r="A58" s="428"/>
      <c r="B58" s="405" t="s">
        <v>42</v>
      </c>
      <c r="C58" s="404"/>
      <c r="D58" s="404"/>
      <c r="E58" s="404"/>
      <c r="F58" s="404"/>
      <c r="G58" s="404"/>
      <c r="H58" s="404"/>
      <c r="I58" s="404"/>
      <c r="J58" s="405">
        <f>J54+J51+J44+J40+J32+J12</f>
        <v>13195562882</v>
      </c>
      <c r="K58" s="405">
        <f>K54+K51+K44+K40+K32+K12</f>
        <v>36927624324</v>
      </c>
      <c r="L58" s="405">
        <f>L57+L54+L51+L44+L40+L32+L12</f>
        <v>37666480824</v>
      </c>
      <c r="M58" s="405">
        <f>M57+M54+M51+M44+M40+M32+M12</f>
        <v>35851912824</v>
      </c>
      <c r="N58" s="292">
        <f t="shared" si="0"/>
        <v>-1814568000</v>
      </c>
    </row>
  </sheetData>
  <phoneticPr fontId="0" type="noConversion"/>
  <printOptions gridLines="1"/>
  <pageMargins left="0.73" right="0.3" top="0.9" bottom="0.47" header="0.3" footer="0.25"/>
  <pageSetup scale="50" orientation="portrait" r:id="rId1"/>
  <headerFooter alignWithMargins="0">
    <oddHeader>&amp;C&amp;"Arial Narrow,Bold"&amp;36Madaxtooyadda JSL.</oddHeader>
    <oddFooter>&amp;R&amp;14 &amp;16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1" zoomScaleSheetLayoutView="61" workbookViewId="0">
      <selection sqref="A1:XFD1048576"/>
    </sheetView>
  </sheetViews>
  <sheetFormatPr defaultRowHeight="27.95" customHeight="1"/>
  <cols>
    <col min="1" max="1" width="16.33203125" style="386" customWidth="1"/>
    <col min="2" max="2" width="84" style="386" customWidth="1"/>
    <col min="3" max="3" width="0.1640625" style="386" hidden="1" customWidth="1"/>
    <col min="4" max="4" width="0.33203125" style="386" hidden="1" customWidth="1"/>
    <col min="5" max="5" width="13.33203125" style="386" hidden="1" customWidth="1"/>
    <col min="6" max="7" width="0.1640625" style="386" hidden="1" customWidth="1"/>
    <col min="8" max="8" width="14.5" style="386" hidden="1" customWidth="1"/>
    <col min="9" max="9" width="17.6640625" style="386" hidden="1" customWidth="1"/>
    <col min="10" max="10" width="23.5" style="386" hidden="1" customWidth="1"/>
    <col min="11" max="11" width="43.33203125" style="386" hidden="1" customWidth="1"/>
    <col min="12" max="12" width="33.83203125" style="386" hidden="1" customWidth="1"/>
    <col min="13" max="13" width="33.5" style="386" hidden="1" customWidth="1"/>
    <col min="14" max="14" width="28.5" style="386" bestFit="1" customWidth="1"/>
    <col min="15" max="16" width="32.6640625" style="386" bestFit="1" customWidth="1"/>
    <col min="17" max="16384" width="9.33203125" style="386"/>
  </cols>
  <sheetData>
    <row r="1" spans="1:16" ht="27.95" customHeight="1">
      <c r="A1" s="371" t="s">
        <v>44</v>
      </c>
      <c r="B1" s="372" t="s">
        <v>559</v>
      </c>
      <c r="C1" s="284"/>
      <c r="D1" s="284"/>
      <c r="E1" s="284"/>
      <c r="F1" s="284"/>
      <c r="G1" s="284"/>
      <c r="H1" s="284"/>
      <c r="I1" s="284"/>
      <c r="J1" s="284"/>
      <c r="K1" s="284"/>
      <c r="L1" s="292"/>
      <c r="M1" s="430"/>
      <c r="N1" s="430"/>
      <c r="O1" s="430"/>
      <c r="P1" s="430"/>
    </row>
    <row r="2" spans="1:16" ht="27.95" customHeight="1">
      <c r="A2" s="371" t="s">
        <v>28</v>
      </c>
      <c r="B2" s="371" t="s">
        <v>29</v>
      </c>
      <c r="C2" s="292" t="s">
        <v>43</v>
      </c>
      <c r="D2" s="292" t="s">
        <v>2</v>
      </c>
      <c r="E2" s="292" t="s">
        <v>48</v>
      </c>
      <c r="F2" s="292" t="s">
        <v>52</v>
      </c>
      <c r="G2" s="292" t="s">
        <v>62</v>
      </c>
      <c r="H2" s="271" t="s">
        <v>70</v>
      </c>
      <c r="I2" s="271" t="s">
        <v>130</v>
      </c>
      <c r="J2" s="271" t="s">
        <v>310</v>
      </c>
      <c r="K2" s="271" t="s">
        <v>300</v>
      </c>
      <c r="L2" s="271" t="s">
        <v>310</v>
      </c>
      <c r="M2" s="271" t="s">
        <v>300</v>
      </c>
      <c r="N2" s="271" t="s">
        <v>641</v>
      </c>
      <c r="O2" s="271" t="s">
        <v>1103</v>
      </c>
      <c r="P2" s="271" t="s">
        <v>63</v>
      </c>
    </row>
    <row r="3" spans="1:16" s="431" customFormat="1" ht="27.95" customHeight="1">
      <c r="A3" s="292" t="s">
        <v>248</v>
      </c>
      <c r="B3" s="292" t="s">
        <v>165</v>
      </c>
      <c r="C3" s="284"/>
      <c r="D3" s="284"/>
      <c r="E3" s="284"/>
      <c r="F3" s="284"/>
      <c r="G3" s="284"/>
      <c r="H3" s="400"/>
      <c r="I3" s="400"/>
      <c r="J3" s="400"/>
      <c r="K3" s="400"/>
      <c r="L3" s="284"/>
      <c r="M3" s="335"/>
      <c r="N3" s="335"/>
      <c r="O3" s="335"/>
      <c r="P3" s="335"/>
    </row>
    <row r="4" spans="1:16" ht="27.95" customHeight="1">
      <c r="A4" s="292" t="s">
        <v>249</v>
      </c>
      <c r="B4" s="292" t="s">
        <v>250</v>
      </c>
      <c r="C4" s="284">
        <v>61545000</v>
      </c>
      <c r="D4" s="284">
        <v>74124000</v>
      </c>
      <c r="E4" s="284">
        <v>64128000</v>
      </c>
      <c r="F4" s="284">
        <v>72660000</v>
      </c>
      <c r="G4" s="284">
        <v>72660000</v>
      </c>
      <c r="H4" s="284">
        <f>72660000+42936000</f>
        <v>115596000</v>
      </c>
      <c r="I4" s="284">
        <f>150274800+4149600+13104000+3198000</f>
        <v>170726400</v>
      </c>
      <c r="J4" s="284"/>
      <c r="K4" s="284"/>
      <c r="L4" s="284"/>
      <c r="M4" s="284"/>
      <c r="N4" s="284"/>
      <c r="O4" s="284"/>
      <c r="P4" s="284"/>
    </row>
    <row r="5" spans="1:16" ht="27.95" customHeight="1">
      <c r="A5" s="284" t="s">
        <v>247</v>
      </c>
      <c r="B5" s="284" t="s">
        <v>578</v>
      </c>
      <c r="C5" s="284">
        <v>1180900</v>
      </c>
      <c r="D5" s="284"/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305572400</v>
      </c>
      <c r="K5" s="284"/>
      <c r="L5" s="284">
        <v>744681600</v>
      </c>
      <c r="M5" s="284">
        <v>1909440000</v>
      </c>
      <c r="N5" s="284">
        <v>1775779200</v>
      </c>
      <c r="O5" s="284">
        <v>1788508800</v>
      </c>
      <c r="P5" s="284">
        <f>O5-N5</f>
        <v>12729600</v>
      </c>
    </row>
    <row r="6" spans="1:16" ht="27.95" customHeight="1">
      <c r="A6" s="284" t="s">
        <v>251</v>
      </c>
      <c r="B6" s="284" t="s">
        <v>33</v>
      </c>
      <c r="C6" s="284">
        <v>1123486000</v>
      </c>
      <c r="D6" s="284">
        <v>1227036000</v>
      </c>
      <c r="E6" s="284">
        <v>1192428000</v>
      </c>
      <c r="F6" s="284">
        <f>1935276000+1200000</f>
        <v>1936476000</v>
      </c>
      <c r="G6" s="284">
        <f>1936476000+600000000</f>
        <v>2536476000</v>
      </c>
      <c r="H6" s="284">
        <f>2529276000+54000000</f>
        <v>2583276000</v>
      </c>
      <c r="I6" s="284">
        <f>2530476000+4800000</f>
        <v>2535276000</v>
      </c>
      <c r="J6" s="284">
        <v>0</v>
      </c>
      <c r="K6" s="284"/>
      <c r="L6" s="284">
        <v>0</v>
      </c>
      <c r="M6" s="284">
        <v>0</v>
      </c>
      <c r="N6" s="284">
        <v>0</v>
      </c>
      <c r="O6" s="284">
        <v>0</v>
      </c>
      <c r="P6" s="284">
        <f t="shared" ref="P6:P46" si="0">O6-N6</f>
        <v>0</v>
      </c>
    </row>
    <row r="7" spans="1:16" ht="27.95" customHeight="1">
      <c r="A7" s="284" t="s">
        <v>252</v>
      </c>
      <c r="B7" s="284" t="s">
        <v>1105</v>
      </c>
      <c r="C7" s="284"/>
      <c r="D7" s="284"/>
      <c r="E7" s="284"/>
      <c r="F7" s="284"/>
      <c r="G7" s="284"/>
      <c r="H7" s="284"/>
      <c r="I7" s="284"/>
      <c r="J7" s="284">
        <v>338400000</v>
      </c>
      <c r="K7" s="284"/>
      <c r="L7" s="284">
        <v>264867000</v>
      </c>
      <c r="M7" s="284">
        <v>322467000</v>
      </c>
      <c r="N7" s="284">
        <v>322467000</v>
      </c>
      <c r="O7" s="284">
        <v>365667000</v>
      </c>
      <c r="P7" s="284">
        <f t="shared" si="0"/>
        <v>43200000</v>
      </c>
    </row>
    <row r="8" spans="1:16" ht="27.95" customHeight="1">
      <c r="A8" s="284" t="s">
        <v>676</v>
      </c>
      <c r="B8" s="284" t="s">
        <v>723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>
        <v>0</v>
      </c>
      <c r="N8" s="284">
        <v>193680000</v>
      </c>
      <c r="O8" s="284">
        <v>202320000</v>
      </c>
      <c r="P8" s="284">
        <f t="shared" si="0"/>
        <v>8640000</v>
      </c>
    </row>
    <row r="9" spans="1:16" ht="27.95" customHeight="1">
      <c r="A9" s="292" t="s">
        <v>255</v>
      </c>
      <c r="B9" s="292" t="s">
        <v>256</v>
      </c>
      <c r="C9" s="284"/>
      <c r="D9" s="284"/>
      <c r="E9" s="284"/>
      <c r="F9" s="284"/>
      <c r="G9" s="284"/>
      <c r="H9" s="284"/>
      <c r="I9" s="284"/>
      <c r="J9" s="284"/>
      <c r="K9" s="292"/>
      <c r="L9" s="284">
        <v>0</v>
      </c>
      <c r="M9" s="284">
        <v>0</v>
      </c>
      <c r="N9" s="284">
        <v>0</v>
      </c>
      <c r="O9" s="284">
        <v>0</v>
      </c>
      <c r="P9" s="284">
        <f t="shared" si="0"/>
        <v>0</v>
      </c>
    </row>
    <row r="10" spans="1:16" ht="27.95" customHeight="1">
      <c r="A10" s="284" t="s">
        <v>258</v>
      </c>
      <c r="B10" s="284" t="s">
        <v>261</v>
      </c>
      <c r="C10" s="284">
        <v>18000000</v>
      </c>
      <c r="D10" s="284">
        <f>25000000-2000000</f>
        <v>23000000</v>
      </c>
      <c r="E10" s="284">
        <v>23000000</v>
      </c>
      <c r="F10" s="284">
        <v>23000000</v>
      </c>
      <c r="G10" s="284">
        <v>18400000</v>
      </c>
      <c r="H10" s="284">
        <v>56000000</v>
      </c>
      <c r="I10" s="284">
        <v>100000000</v>
      </c>
      <c r="J10" s="284">
        <v>0</v>
      </c>
      <c r="K10" s="284"/>
      <c r="L10" s="284">
        <v>0</v>
      </c>
      <c r="M10" s="284">
        <v>0</v>
      </c>
      <c r="N10" s="284">
        <v>0</v>
      </c>
      <c r="O10" s="284">
        <v>0</v>
      </c>
      <c r="P10" s="284">
        <f t="shared" si="0"/>
        <v>0</v>
      </c>
    </row>
    <row r="11" spans="1:16" ht="27.95" customHeight="1">
      <c r="A11" s="284"/>
      <c r="B11" s="292" t="s">
        <v>119</v>
      </c>
      <c r="C11" s="284">
        <v>11878000</v>
      </c>
      <c r="D11" s="284">
        <f>2000000+2000000</f>
        <v>4000000</v>
      </c>
      <c r="E11" s="284">
        <v>2000000</v>
      </c>
      <c r="F11" s="284">
        <v>2000000</v>
      </c>
      <c r="G11" s="284">
        <v>1600000</v>
      </c>
      <c r="H11" s="284">
        <v>30000000</v>
      </c>
      <c r="I11" s="284">
        <v>60000000</v>
      </c>
      <c r="J11" s="292">
        <f>SUM(J5:J10)</f>
        <v>643972400</v>
      </c>
      <c r="K11" s="284"/>
      <c r="L11" s="292">
        <f>SUM(L5:L10)</f>
        <v>1009548600</v>
      </c>
      <c r="M11" s="292">
        <f>SUM(M5:M10)</f>
        <v>2231907000</v>
      </c>
      <c r="N11" s="292">
        <f>SUM(N5:N10)</f>
        <v>2291926200</v>
      </c>
      <c r="O11" s="292">
        <f>SUM(O5:O10)</f>
        <v>2356495800</v>
      </c>
      <c r="P11" s="292">
        <f t="shared" si="0"/>
        <v>64569600</v>
      </c>
    </row>
    <row r="12" spans="1:16" ht="27.95" customHeight="1">
      <c r="A12" s="292" t="s">
        <v>262</v>
      </c>
      <c r="B12" s="292" t="s">
        <v>263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200000000</v>
      </c>
      <c r="I12" s="284">
        <v>200000000</v>
      </c>
      <c r="J12" s="284"/>
      <c r="K12" s="284"/>
      <c r="L12" s="284"/>
      <c r="M12" s="284"/>
      <c r="N12" s="284"/>
      <c r="O12" s="284"/>
      <c r="P12" s="284">
        <f t="shared" si="0"/>
        <v>0</v>
      </c>
    </row>
    <row r="13" spans="1:16" ht="27.95" customHeight="1">
      <c r="A13" s="292" t="s">
        <v>265</v>
      </c>
      <c r="B13" s="292" t="s">
        <v>264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>
        <f t="shared" si="0"/>
        <v>0</v>
      </c>
    </row>
    <row r="14" spans="1:16" ht="27.95" customHeight="1">
      <c r="A14" s="284" t="s">
        <v>266</v>
      </c>
      <c r="B14" s="284" t="s">
        <v>38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356850000</v>
      </c>
      <c r="I14" s="284">
        <v>0</v>
      </c>
      <c r="J14" s="284">
        <v>11479200</v>
      </c>
      <c r="K14" s="284"/>
      <c r="L14" s="284">
        <v>9649999</v>
      </c>
      <c r="M14" s="284">
        <f>9649999*70%</f>
        <v>6754999.2999999998</v>
      </c>
      <c r="N14" s="284">
        <f>9649999*70%</f>
        <v>6754999.2999999998</v>
      </c>
      <c r="O14" s="284">
        <v>106754999</v>
      </c>
      <c r="P14" s="284">
        <f t="shared" si="0"/>
        <v>99999999.700000003</v>
      </c>
    </row>
    <row r="15" spans="1:16" ht="27.95" customHeight="1">
      <c r="A15" s="284" t="s">
        <v>267</v>
      </c>
      <c r="B15" s="284" t="s">
        <v>152</v>
      </c>
      <c r="C15" s="284">
        <v>1500000</v>
      </c>
      <c r="D15" s="284">
        <v>5500000</v>
      </c>
      <c r="E15" s="284">
        <v>500000</v>
      </c>
      <c r="F15" s="284">
        <v>500000</v>
      </c>
      <c r="G15" s="284">
        <v>400000</v>
      </c>
      <c r="H15" s="284">
        <v>12000000</v>
      </c>
      <c r="I15" s="284">
        <v>20000000</v>
      </c>
      <c r="J15" s="284">
        <v>0</v>
      </c>
      <c r="K15" s="284"/>
      <c r="L15" s="284">
        <v>0</v>
      </c>
      <c r="M15" s="284">
        <v>0</v>
      </c>
      <c r="N15" s="284">
        <v>0</v>
      </c>
      <c r="O15" s="284">
        <v>0</v>
      </c>
      <c r="P15" s="284">
        <f t="shared" si="0"/>
        <v>0</v>
      </c>
    </row>
    <row r="16" spans="1:16" ht="27.95" customHeight="1">
      <c r="A16" s="284" t="s">
        <v>268</v>
      </c>
      <c r="B16" s="284" t="s">
        <v>153</v>
      </c>
      <c r="C16" s="284"/>
      <c r="D16" s="284"/>
      <c r="E16" s="284"/>
      <c r="F16" s="284"/>
      <c r="G16" s="284"/>
      <c r="H16" s="284"/>
      <c r="I16" s="284"/>
      <c r="J16" s="284">
        <v>8500000</v>
      </c>
      <c r="K16" s="284"/>
      <c r="L16" s="292">
        <v>0</v>
      </c>
      <c r="M16" s="292">
        <v>0</v>
      </c>
      <c r="N16" s="292">
        <v>0</v>
      </c>
      <c r="O16" s="292">
        <v>0</v>
      </c>
      <c r="P16" s="292">
        <f t="shared" si="0"/>
        <v>0</v>
      </c>
    </row>
    <row r="17" spans="1:16" ht="27.95" customHeight="1">
      <c r="A17" s="284" t="s">
        <v>269</v>
      </c>
      <c r="B17" s="284" t="s">
        <v>186</v>
      </c>
      <c r="C17" s="284"/>
      <c r="D17" s="284"/>
      <c r="E17" s="284"/>
      <c r="F17" s="284"/>
      <c r="G17" s="284"/>
      <c r="H17" s="284"/>
      <c r="I17" s="284"/>
      <c r="J17" s="284">
        <v>32726886</v>
      </c>
      <c r="K17" s="284"/>
      <c r="L17" s="284">
        <v>6249998</v>
      </c>
      <c r="M17" s="284">
        <f>6249998*70%</f>
        <v>4374998.5999999996</v>
      </c>
      <c r="N17" s="284">
        <f>6249998*70%</f>
        <v>4374998.5999999996</v>
      </c>
      <c r="O17" s="284">
        <v>20000000</v>
      </c>
      <c r="P17" s="284">
        <f t="shared" si="0"/>
        <v>15625001.4</v>
      </c>
    </row>
    <row r="18" spans="1:16" ht="27.95" customHeight="1">
      <c r="A18" s="284" t="s">
        <v>270</v>
      </c>
      <c r="B18" s="284" t="s">
        <v>163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>
        <v>0</v>
      </c>
      <c r="M18" s="284">
        <v>0</v>
      </c>
      <c r="N18" s="284">
        <v>0</v>
      </c>
      <c r="O18" s="284">
        <v>0</v>
      </c>
      <c r="P18" s="284">
        <f t="shared" si="0"/>
        <v>0</v>
      </c>
    </row>
    <row r="19" spans="1:16" ht="27.95" customHeight="1">
      <c r="A19" s="284" t="s">
        <v>271</v>
      </c>
      <c r="B19" s="284" t="s">
        <v>154</v>
      </c>
      <c r="C19" s="284">
        <v>2500000</v>
      </c>
      <c r="D19" s="284">
        <v>2000000</v>
      </c>
      <c r="E19" s="284">
        <v>2000000</v>
      </c>
      <c r="F19" s="284">
        <v>2000000</v>
      </c>
      <c r="G19" s="284">
        <v>1600000</v>
      </c>
      <c r="H19" s="284">
        <v>41000000</v>
      </c>
      <c r="I19" s="284">
        <v>41000000</v>
      </c>
      <c r="J19" s="284">
        <v>15735744</v>
      </c>
      <c r="K19" s="284"/>
      <c r="L19" s="284">
        <v>30975750</v>
      </c>
      <c r="M19" s="284">
        <f>45475750*70%</f>
        <v>31833024.999999996</v>
      </c>
      <c r="N19" s="284">
        <v>8280000</v>
      </c>
      <c r="O19" s="284">
        <v>108280000</v>
      </c>
      <c r="P19" s="284">
        <f t="shared" si="0"/>
        <v>100000000</v>
      </c>
    </row>
    <row r="20" spans="1:16" ht="27.95" customHeight="1">
      <c r="A20" s="284" t="s">
        <v>272</v>
      </c>
      <c r="B20" s="284" t="s">
        <v>54</v>
      </c>
      <c r="C20" s="284">
        <f t="shared" ref="C20:I20" si="1">SUM(C14:C19)</f>
        <v>4000000</v>
      </c>
      <c r="D20" s="284">
        <f t="shared" si="1"/>
        <v>7500000</v>
      </c>
      <c r="E20" s="284">
        <f t="shared" si="1"/>
        <v>2500000</v>
      </c>
      <c r="F20" s="284">
        <f t="shared" si="1"/>
        <v>2500000</v>
      </c>
      <c r="G20" s="284">
        <f t="shared" si="1"/>
        <v>2000000</v>
      </c>
      <c r="H20" s="284">
        <f t="shared" si="1"/>
        <v>409850000</v>
      </c>
      <c r="I20" s="292">
        <f t="shared" si="1"/>
        <v>61000000</v>
      </c>
      <c r="J20" s="292">
        <v>19737600</v>
      </c>
      <c r="K20" s="292"/>
      <c r="L20" s="284">
        <v>20000000</v>
      </c>
      <c r="M20" s="284">
        <f>20000000*70%</f>
        <v>14000000</v>
      </c>
      <c r="N20" s="284">
        <f>M20*70%</f>
        <v>9800000</v>
      </c>
      <c r="O20" s="284">
        <v>14000000</v>
      </c>
      <c r="P20" s="284">
        <f t="shared" si="0"/>
        <v>4200000</v>
      </c>
    </row>
    <row r="21" spans="1:16" ht="27.95" customHeight="1">
      <c r="A21" s="284" t="s">
        <v>273</v>
      </c>
      <c r="B21" s="284" t="s">
        <v>120</v>
      </c>
      <c r="C21" s="284"/>
      <c r="D21" s="284"/>
      <c r="E21" s="284"/>
      <c r="F21" s="284"/>
      <c r="G21" s="284"/>
      <c r="H21" s="284"/>
      <c r="I21" s="284"/>
      <c r="J21" s="284">
        <v>0</v>
      </c>
      <c r="K21" s="284"/>
      <c r="L21" s="284">
        <v>0</v>
      </c>
      <c r="M21" s="284">
        <v>0</v>
      </c>
      <c r="N21" s="284">
        <v>0</v>
      </c>
      <c r="O21" s="284">
        <v>356906000</v>
      </c>
      <c r="P21" s="284">
        <f t="shared" si="0"/>
        <v>356906000</v>
      </c>
    </row>
    <row r="22" spans="1:16" ht="27.95" customHeight="1">
      <c r="A22" s="284" t="s">
        <v>274</v>
      </c>
      <c r="B22" s="284" t="s">
        <v>164</v>
      </c>
      <c r="C22" s="284">
        <v>23000000</v>
      </c>
      <c r="D22" s="284">
        <v>15000000</v>
      </c>
      <c r="E22" s="284">
        <v>8949700</v>
      </c>
      <c r="F22" s="284">
        <v>8949700</v>
      </c>
      <c r="G22" s="284">
        <v>12000000</v>
      </c>
      <c r="H22" s="284">
        <v>80000000</v>
      </c>
      <c r="I22" s="284">
        <v>80000000</v>
      </c>
      <c r="J22" s="284">
        <v>25610000</v>
      </c>
      <c r="K22" s="284"/>
      <c r="L22" s="284">
        <v>7500000</v>
      </c>
      <c r="M22" s="284">
        <f>7500000*70%</f>
        <v>5250000</v>
      </c>
      <c r="N22" s="284">
        <f>7500000*70%</f>
        <v>5250000</v>
      </c>
      <c r="O22" s="284">
        <v>10500000</v>
      </c>
      <c r="P22" s="284">
        <f t="shared" si="0"/>
        <v>5250000</v>
      </c>
    </row>
    <row r="23" spans="1:16" ht="27.95" customHeight="1">
      <c r="A23" s="284" t="s">
        <v>490</v>
      </c>
      <c r="B23" s="284" t="s">
        <v>899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>
        <v>30000000</v>
      </c>
      <c r="O23" s="284">
        <v>35000000</v>
      </c>
      <c r="P23" s="284">
        <f t="shared" si="0"/>
        <v>5000000</v>
      </c>
    </row>
    <row r="24" spans="1:16" ht="27.95" customHeight="1">
      <c r="A24" s="284" t="s">
        <v>277</v>
      </c>
      <c r="B24" s="284" t="s">
        <v>218</v>
      </c>
      <c r="C24" s="284">
        <v>3000000</v>
      </c>
      <c r="D24" s="284">
        <v>1500000</v>
      </c>
      <c r="E24" s="284">
        <v>0</v>
      </c>
      <c r="F24" s="284">
        <v>0</v>
      </c>
      <c r="G24" s="284">
        <v>0</v>
      </c>
      <c r="H24" s="284">
        <v>15000000</v>
      </c>
      <c r="I24" s="284">
        <v>20000000</v>
      </c>
      <c r="J24" s="284">
        <v>1355821960</v>
      </c>
      <c r="K24" s="284"/>
      <c r="L24" s="284">
        <v>70538356</v>
      </c>
      <c r="M24" s="284">
        <f>70538356*70%</f>
        <v>49376849.199999996</v>
      </c>
      <c r="N24" s="284">
        <v>0</v>
      </c>
      <c r="O24" s="284">
        <v>0</v>
      </c>
      <c r="P24" s="284">
        <f t="shared" si="0"/>
        <v>0</v>
      </c>
    </row>
    <row r="25" spans="1:16" ht="27.95" customHeight="1">
      <c r="A25" s="284"/>
      <c r="B25" s="292" t="s">
        <v>119</v>
      </c>
      <c r="C25" s="284">
        <v>0</v>
      </c>
      <c r="D25" s="284">
        <v>0</v>
      </c>
      <c r="E25" s="284">
        <v>0</v>
      </c>
      <c r="F25" s="284">
        <v>0</v>
      </c>
      <c r="G25" s="284">
        <v>16000000</v>
      </c>
      <c r="H25" s="284">
        <v>360113000</v>
      </c>
      <c r="I25" s="284">
        <v>208212162</v>
      </c>
      <c r="J25" s="292">
        <f>SUM(J14:J24)</f>
        <v>1469611390</v>
      </c>
      <c r="K25" s="292"/>
      <c r="L25" s="292">
        <f>SUM(L14:L24)</f>
        <v>144914103</v>
      </c>
      <c r="M25" s="292">
        <f>SUM(M14:M24)</f>
        <v>111589872.09999999</v>
      </c>
      <c r="N25" s="292">
        <f>SUM(N14:N24)</f>
        <v>64459997.899999999</v>
      </c>
      <c r="O25" s="292">
        <f>SUM(O14:O24)</f>
        <v>651440999</v>
      </c>
      <c r="P25" s="292">
        <f t="shared" si="0"/>
        <v>586981001.10000002</v>
      </c>
    </row>
    <row r="26" spans="1:16" ht="27.95" customHeight="1">
      <c r="A26" s="292" t="s">
        <v>279</v>
      </c>
      <c r="B26" s="292" t="s">
        <v>278</v>
      </c>
      <c r="C26" s="284"/>
      <c r="D26" s="284"/>
      <c r="E26" s="284"/>
      <c r="F26" s="284"/>
      <c r="G26" s="284"/>
      <c r="H26" s="284"/>
      <c r="I26" s="284">
        <v>0</v>
      </c>
      <c r="J26" s="284"/>
      <c r="K26" s="284"/>
      <c r="L26" s="292"/>
      <c r="M26" s="292"/>
      <c r="N26" s="292"/>
      <c r="O26" s="292"/>
      <c r="P26" s="292">
        <f t="shared" si="0"/>
        <v>0</v>
      </c>
    </row>
    <row r="27" spans="1:16" ht="27.95" customHeight="1">
      <c r="A27" s="284" t="s">
        <v>280</v>
      </c>
      <c r="B27" s="284" t="s">
        <v>160</v>
      </c>
      <c r="C27" s="292" t="e">
        <f>#REF!+#REF!+#REF!+#REF!+#REF!</f>
        <v>#REF!</v>
      </c>
      <c r="D27" s="292" t="e">
        <f>#REF!+#REF!+#REF!+#REF!+#REF!</f>
        <v>#REF!</v>
      </c>
      <c r="E27" s="292" t="e">
        <f>#REF!+#REF!+#REF!+#REF!+#REF!</f>
        <v>#REF!</v>
      </c>
      <c r="F27" s="292" t="e">
        <f>#REF!+#REF!+#REF!+#REF!+#REF!</f>
        <v>#REF!</v>
      </c>
      <c r="G27" s="292" t="e">
        <f>#REF!+#REF!+#REF!+#REF!+#REF!</f>
        <v>#REF!</v>
      </c>
      <c r="H27" s="292" t="e">
        <f>#REF!+#REF!+#REF!+#REF!+#REF!</f>
        <v>#REF!</v>
      </c>
      <c r="I27" s="292" t="e">
        <f>#REF!+#REF!+#REF!+#REF!+#REF!</f>
        <v>#REF!</v>
      </c>
      <c r="J27" s="284">
        <v>7800000</v>
      </c>
      <c r="K27" s="284"/>
      <c r="L27" s="284">
        <v>144400000</v>
      </c>
      <c r="M27" s="284">
        <f>216400000*70%</f>
        <v>151480000</v>
      </c>
      <c r="N27" s="284">
        <f>216400000*70%</f>
        <v>151480000</v>
      </c>
      <c r="O27" s="284">
        <v>270000000</v>
      </c>
      <c r="P27" s="284">
        <f t="shared" si="0"/>
        <v>118520000</v>
      </c>
    </row>
    <row r="28" spans="1:16" ht="27.95" customHeight="1">
      <c r="A28" s="284" t="s">
        <v>281</v>
      </c>
      <c r="B28" s="284" t="s">
        <v>161</v>
      </c>
      <c r="C28" s="335"/>
      <c r="D28" s="335"/>
      <c r="E28" s="335"/>
      <c r="F28" s="336">
        <v>0</v>
      </c>
      <c r="G28" s="336" t="s">
        <v>4</v>
      </c>
      <c r="H28" s="336"/>
      <c r="I28" s="336"/>
      <c r="J28" s="284">
        <v>660119248</v>
      </c>
      <c r="K28" s="284"/>
      <c r="L28" s="284">
        <v>126336000</v>
      </c>
      <c r="M28" s="284">
        <f>126336000+50000000*70%</f>
        <v>161336000</v>
      </c>
      <c r="N28" s="284">
        <f>M28*80%</f>
        <v>129068800</v>
      </c>
      <c r="O28" s="284">
        <v>340000000</v>
      </c>
      <c r="P28" s="284">
        <f t="shared" si="0"/>
        <v>210931200</v>
      </c>
    </row>
    <row r="29" spans="1:16" ht="27.95" customHeight="1">
      <c r="A29" s="284" t="s">
        <v>282</v>
      </c>
      <c r="B29" s="284" t="s">
        <v>155</v>
      </c>
      <c r="C29" s="335"/>
      <c r="D29" s="335"/>
      <c r="E29" s="335"/>
      <c r="F29" s="336"/>
      <c r="G29" s="336"/>
      <c r="H29" s="336"/>
      <c r="I29" s="336"/>
      <c r="J29" s="284">
        <v>38304400</v>
      </c>
      <c r="K29" s="284"/>
      <c r="L29" s="284">
        <v>7302878</v>
      </c>
      <c r="M29" s="284">
        <f>7302878*70%</f>
        <v>5112014.5999999996</v>
      </c>
      <c r="N29" s="284">
        <f>7302878*70%</f>
        <v>5112014.5999999996</v>
      </c>
      <c r="O29" s="284">
        <v>20000000</v>
      </c>
      <c r="P29" s="284">
        <f t="shared" si="0"/>
        <v>14887985.4</v>
      </c>
    </row>
    <row r="30" spans="1:16" ht="27.95" customHeight="1">
      <c r="A30" s="284" t="s">
        <v>283</v>
      </c>
      <c r="B30" s="284" t="s">
        <v>156</v>
      </c>
      <c r="C30" s="284"/>
      <c r="D30" s="284"/>
      <c r="E30" s="284"/>
      <c r="F30" s="284"/>
      <c r="G30" s="284"/>
      <c r="H30" s="284"/>
      <c r="I30" s="284"/>
      <c r="J30" s="284">
        <v>6017984</v>
      </c>
      <c r="K30" s="292"/>
      <c r="L30" s="284">
        <v>4375000</v>
      </c>
      <c r="M30" s="284">
        <f>4375000*70%</f>
        <v>3062500</v>
      </c>
      <c r="N30" s="284">
        <f>4375000*70%</f>
        <v>3062500</v>
      </c>
      <c r="O30" s="284">
        <f>4375000*70%</f>
        <v>3062500</v>
      </c>
      <c r="P30" s="284">
        <f t="shared" si="0"/>
        <v>0</v>
      </c>
    </row>
    <row r="31" spans="1:16" ht="27.95" customHeight="1">
      <c r="A31" s="284" t="s">
        <v>316</v>
      </c>
      <c r="B31" s="284" t="s">
        <v>313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>
        <v>2654118829</v>
      </c>
      <c r="M31" s="284">
        <f>2654118829/3500*6000+1</f>
        <v>4549917993.5714283</v>
      </c>
      <c r="N31" s="284">
        <v>4100529400</v>
      </c>
      <c r="O31" s="284">
        <v>4261756170</v>
      </c>
      <c r="P31" s="284">
        <f t="shared" si="0"/>
        <v>161226770</v>
      </c>
    </row>
    <row r="32" spans="1:16" ht="27.95" customHeight="1">
      <c r="A32" s="284" t="s">
        <v>298</v>
      </c>
      <c r="B32" s="284" t="s">
        <v>219</v>
      </c>
      <c r="C32" s="284">
        <v>4000000</v>
      </c>
      <c r="D32" s="284">
        <v>2000000</v>
      </c>
      <c r="E32" s="284">
        <v>0</v>
      </c>
      <c r="F32" s="284">
        <v>0</v>
      </c>
      <c r="G32" s="284">
        <v>0</v>
      </c>
      <c r="H32" s="284">
        <v>200000000</v>
      </c>
      <c r="I32" s="284">
        <v>200000000</v>
      </c>
      <c r="J32" s="284"/>
      <c r="K32" s="284"/>
      <c r="L32" s="284">
        <v>16187498</v>
      </c>
      <c r="M32" s="284">
        <f>16187498*70%</f>
        <v>11331248.6</v>
      </c>
      <c r="N32" s="284">
        <f>16187498*70%</f>
        <v>11331248.6</v>
      </c>
      <c r="O32" s="284">
        <v>100000000</v>
      </c>
      <c r="P32" s="284">
        <f t="shared" si="0"/>
        <v>88668751.400000006</v>
      </c>
    </row>
    <row r="33" spans="1:16" ht="27.95" customHeight="1">
      <c r="A33" s="284" t="s">
        <v>616</v>
      </c>
      <c r="B33" s="284" t="s">
        <v>315</v>
      </c>
      <c r="C33" s="284">
        <v>4000000</v>
      </c>
      <c r="D33" s="284">
        <v>2000000</v>
      </c>
      <c r="E33" s="284">
        <v>0</v>
      </c>
      <c r="F33" s="284">
        <v>0</v>
      </c>
      <c r="G33" s="284">
        <v>0</v>
      </c>
      <c r="H33" s="284">
        <v>200000000</v>
      </c>
      <c r="I33" s="284">
        <v>200000000</v>
      </c>
      <c r="J33" s="284"/>
      <c r="K33" s="284"/>
      <c r="L33" s="284">
        <v>64575156</v>
      </c>
      <c r="M33" s="284">
        <f>64575156*70%</f>
        <v>45202609.199999996</v>
      </c>
      <c r="N33" s="284">
        <f>64575156*70%</f>
        <v>45202609.199999996</v>
      </c>
      <c r="O33" s="284">
        <v>140000000</v>
      </c>
      <c r="P33" s="284">
        <f t="shared" si="0"/>
        <v>94797390.800000012</v>
      </c>
    </row>
    <row r="34" spans="1:16" ht="27.95" customHeight="1">
      <c r="A34" s="284" t="s">
        <v>430</v>
      </c>
      <c r="B34" s="284" t="s">
        <v>314</v>
      </c>
      <c r="C34" s="284">
        <v>0</v>
      </c>
      <c r="D34" s="284">
        <v>0</v>
      </c>
      <c r="E34" s="284">
        <v>0</v>
      </c>
      <c r="F34" s="284">
        <v>0</v>
      </c>
      <c r="G34" s="284">
        <v>0</v>
      </c>
      <c r="H34" s="284">
        <v>150000000</v>
      </c>
      <c r="I34" s="284">
        <v>150000000</v>
      </c>
      <c r="J34" s="284">
        <v>21501800</v>
      </c>
      <c r="K34" s="284"/>
      <c r="L34" s="284">
        <v>53441750</v>
      </c>
      <c r="M34" s="284">
        <f>53441750*70%</f>
        <v>37409225</v>
      </c>
      <c r="N34" s="284">
        <f>53441750*70%</f>
        <v>37409225</v>
      </c>
      <c r="O34" s="284">
        <f>53441750*70%</f>
        <v>37409225</v>
      </c>
      <c r="P34" s="284">
        <f t="shared" si="0"/>
        <v>0</v>
      </c>
    </row>
    <row r="35" spans="1:16" ht="27.95" customHeight="1">
      <c r="A35" s="284"/>
      <c r="B35" s="292" t="s">
        <v>119</v>
      </c>
      <c r="C35" s="284">
        <v>10089000</v>
      </c>
      <c r="D35" s="284">
        <v>10004000</v>
      </c>
      <c r="E35" s="284">
        <v>20004000</v>
      </c>
      <c r="F35" s="284">
        <v>20004000</v>
      </c>
      <c r="G35" s="284">
        <v>40003200</v>
      </c>
      <c r="H35" s="284">
        <v>100000000</v>
      </c>
      <c r="I35" s="284">
        <v>100000000</v>
      </c>
      <c r="J35" s="292">
        <f>SUM(J27:J31)</f>
        <v>712241632</v>
      </c>
      <c r="K35" s="284"/>
      <c r="L35" s="292">
        <f>SUM(L27:L32)</f>
        <v>2952720205</v>
      </c>
      <c r="M35" s="292">
        <f>SUM(M27:M34)</f>
        <v>4964851590.9714289</v>
      </c>
      <c r="N35" s="292">
        <f>SUM(N27:N34)</f>
        <v>4483195797.4000006</v>
      </c>
      <c r="O35" s="292">
        <f>SUM(O27:O34)</f>
        <v>5172227895</v>
      </c>
      <c r="P35" s="292">
        <f t="shared" si="0"/>
        <v>689032097.59999943</v>
      </c>
    </row>
    <row r="36" spans="1:16" ht="27.95" customHeight="1">
      <c r="A36" s="292" t="s">
        <v>285</v>
      </c>
      <c r="B36" s="292" t="s">
        <v>158</v>
      </c>
      <c r="C36" s="284">
        <v>0</v>
      </c>
      <c r="D36" s="284">
        <v>0</v>
      </c>
      <c r="E36" s="284">
        <v>0</v>
      </c>
      <c r="F36" s="284">
        <v>0</v>
      </c>
      <c r="G36" s="284">
        <v>0</v>
      </c>
      <c r="H36" s="284">
        <v>616200000</v>
      </c>
      <c r="I36" s="284">
        <v>616200000</v>
      </c>
      <c r="J36" s="284"/>
      <c r="K36" s="284"/>
      <c r="L36" s="284"/>
      <c r="M36" s="284"/>
      <c r="N36" s="284"/>
      <c r="O36" s="284"/>
      <c r="P36" s="284">
        <f t="shared" si="0"/>
        <v>0</v>
      </c>
    </row>
    <row r="37" spans="1:16" ht="27.95" customHeight="1">
      <c r="A37" s="284" t="s">
        <v>286</v>
      </c>
      <c r="B37" s="284" t="s">
        <v>55</v>
      </c>
      <c r="C37" s="284">
        <v>13333000</v>
      </c>
      <c r="D37" s="284">
        <v>5000000</v>
      </c>
      <c r="E37" s="284">
        <v>0</v>
      </c>
      <c r="F37" s="284">
        <v>0</v>
      </c>
      <c r="G37" s="284">
        <v>0</v>
      </c>
      <c r="H37" s="284">
        <v>100000000</v>
      </c>
      <c r="I37" s="284">
        <v>70000000</v>
      </c>
      <c r="J37" s="284">
        <v>59340500</v>
      </c>
      <c r="K37" s="292"/>
      <c r="L37" s="284">
        <v>82000000</v>
      </c>
      <c r="M37" s="284">
        <f>82000000*70%</f>
        <v>57400000</v>
      </c>
      <c r="N37" s="284">
        <f>82000000*70%</f>
        <v>57400000</v>
      </c>
      <c r="O37" s="284">
        <v>150000000</v>
      </c>
      <c r="P37" s="284">
        <f t="shared" si="0"/>
        <v>92600000</v>
      </c>
    </row>
    <row r="38" spans="1:16" ht="27.95" customHeight="1">
      <c r="A38" s="284" t="s">
        <v>288</v>
      </c>
      <c r="B38" s="284" t="s">
        <v>287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4424000</v>
      </c>
      <c r="K38" s="284"/>
      <c r="L38" s="284">
        <v>4875000</v>
      </c>
      <c r="M38" s="284">
        <f>4875000*70%</f>
        <v>3412500</v>
      </c>
      <c r="N38" s="284">
        <f>4875000*70%</f>
        <v>3412500</v>
      </c>
      <c r="O38" s="284">
        <f>4875000*70%</f>
        <v>3412500</v>
      </c>
      <c r="P38" s="284">
        <f t="shared" si="0"/>
        <v>0</v>
      </c>
    </row>
    <row r="39" spans="1:16" ht="27.95" customHeight="1">
      <c r="A39" s="284" t="s">
        <v>289</v>
      </c>
      <c r="B39" s="284" t="s">
        <v>290</v>
      </c>
      <c r="C39" s="292">
        <f t="shared" ref="C39:I39" si="2">SUM(C37:C38)</f>
        <v>13333000</v>
      </c>
      <c r="D39" s="292">
        <f t="shared" si="2"/>
        <v>5000000</v>
      </c>
      <c r="E39" s="292">
        <f t="shared" si="2"/>
        <v>0</v>
      </c>
      <c r="F39" s="292">
        <f t="shared" si="2"/>
        <v>0</v>
      </c>
      <c r="G39" s="292">
        <f t="shared" si="2"/>
        <v>0</v>
      </c>
      <c r="H39" s="292">
        <f t="shared" si="2"/>
        <v>100000000</v>
      </c>
      <c r="I39" s="292">
        <f t="shared" si="2"/>
        <v>70000000</v>
      </c>
      <c r="J39" s="284"/>
      <c r="K39" s="284"/>
      <c r="L39" s="284">
        <v>0</v>
      </c>
      <c r="M39" s="284">
        <v>0</v>
      </c>
      <c r="N39" s="284">
        <v>0</v>
      </c>
      <c r="O39" s="284">
        <v>0</v>
      </c>
      <c r="P39" s="284">
        <f t="shared" si="0"/>
        <v>0</v>
      </c>
    </row>
    <row r="40" spans="1:16" ht="27.95" customHeight="1">
      <c r="A40" s="284"/>
      <c r="B40" s="292" t="s">
        <v>119</v>
      </c>
      <c r="C40" s="292" t="e">
        <f>C39+#REF!+C30+C20+#REF!</f>
        <v>#REF!</v>
      </c>
      <c r="D40" s="292" t="e">
        <f>D39+#REF!+D30+D20+#REF!</f>
        <v>#REF!</v>
      </c>
      <c r="E40" s="292" t="e">
        <f>E39+#REF!+E30+E20+#REF!</f>
        <v>#REF!</v>
      </c>
      <c r="F40" s="292" t="e">
        <f>F39+#REF!+F30+F20+#REF!</f>
        <v>#REF!</v>
      </c>
      <c r="G40" s="292" t="e">
        <f>G39+#REF!+G20+G30+#REF!</f>
        <v>#REF!</v>
      </c>
      <c r="H40" s="292" t="e">
        <f>H39+#REF!+H30+H20+#REF!</f>
        <v>#REF!</v>
      </c>
      <c r="I40" s="292" t="e">
        <f>I39+#REF!+I30+I20+#REF!</f>
        <v>#REF!</v>
      </c>
      <c r="J40" s="292">
        <f>SUM(J37:J39)</f>
        <v>63764500</v>
      </c>
      <c r="K40" s="292"/>
      <c r="L40" s="292">
        <f>SUM(L37:L39)</f>
        <v>86875000</v>
      </c>
      <c r="M40" s="292">
        <f>SUM(M37:M39)</f>
        <v>60812500</v>
      </c>
      <c r="N40" s="292">
        <f>SUM(N37:N39)</f>
        <v>60812500</v>
      </c>
      <c r="O40" s="292">
        <f>SUM(O37:O39)</f>
        <v>153412500</v>
      </c>
      <c r="P40" s="292">
        <f t="shared" si="0"/>
        <v>92600000</v>
      </c>
    </row>
    <row r="41" spans="1:16" ht="27.95" customHeight="1">
      <c r="A41" s="292" t="s">
        <v>293</v>
      </c>
      <c r="B41" s="292" t="s">
        <v>292</v>
      </c>
      <c r="C41" s="284"/>
      <c r="D41" s="284"/>
      <c r="E41" s="284"/>
      <c r="F41" s="284"/>
      <c r="G41" s="284"/>
      <c r="H41" s="284"/>
      <c r="I41" s="284"/>
      <c r="J41" s="284"/>
      <c r="K41" s="292"/>
      <c r="L41" s="284"/>
      <c r="M41" s="284"/>
      <c r="N41" s="284"/>
      <c r="O41" s="284"/>
      <c r="P41" s="284">
        <f t="shared" si="0"/>
        <v>0</v>
      </c>
    </row>
    <row r="42" spans="1:16" ht="27.95" customHeight="1">
      <c r="A42" s="292" t="s">
        <v>294</v>
      </c>
      <c r="B42" s="292" t="s">
        <v>291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>
        <f t="shared" si="0"/>
        <v>0</v>
      </c>
    </row>
    <row r="43" spans="1:16" ht="27.95" customHeight="1">
      <c r="A43" s="284" t="s">
        <v>389</v>
      </c>
      <c r="B43" s="284" t="s">
        <v>307</v>
      </c>
      <c r="C43" s="284"/>
      <c r="D43" s="284"/>
      <c r="E43" s="284"/>
      <c r="F43" s="284"/>
      <c r="G43" s="284"/>
      <c r="H43" s="284"/>
      <c r="I43" s="284"/>
      <c r="J43" s="284">
        <v>7480000</v>
      </c>
      <c r="K43" s="284"/>
      <c r="L43" s="284">
        <v>0</v>
      </c>
      <c r="M43" s="284">
        <v>0</v>
      </c>
      <c r="N43" s="284">
        <v>0</v>
      </c>
      <c r="O43" s="284">
        <v>0</v>
      </c>
      <c r="P43" s="284">
        <f t="shared" si="0"/>
        <v>0</v>
      </c>
    </row>
    <row r="44" spans="1:16" ht="27.95" customHeight="1">
      <c r="A44" s="284" t="s">
        <v>388</v>
      </c>
      <c r="B44" s="284" t="s">
        <v>309</v>
      </c>
      <c r="C44" s="284"/>
      <c r="D44" s="284"/>
      <c r="E44" s="284"/>
      <c r="F44" s="284"/>
      <c r="G44" s="284"/>
      <c r="H44" s="284"/>
      <c r="I44" s="284"/>
      <c r="J44" s="284">
        <v>524149920</v>
      </c>
      <c r="K44" s="284"/>
      <c r="L44" s="284">
        <v>0</v>
      </c>
      <c r="M44" s="284">
        <v>0</v>
      </c>
      <c r="N44" s="284">
        <v>0</v>
      </c>
      <c r="O44" s="284">
        <v>630000000</v>
      </c>
      <c r="P44" s="284">
        <f t="shared" si="0"/>
        <v>630000000</v>
      </c>
    </row>
    <row r="45" spans="1:16" ht="27.95" customHeight="1">
      <c r="A45" s="284" t="s">
        <v>295</v>
      </c>
      <c r="B45" s="284" t="s">
        <v>176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>
        <v>0</v>
      </c>
      <c r="M45" s="284">
        <v>0</v>
      </c>
      <c r="N45" s="284">
        <v>0</v>
      </c>
      <c r="O45" s="284">
        <v>0</v>
      </c>
      <c r="P45" s="284">
        <f t="shared" si="0"/>
        <v>0</v>
      </c>
    </row>
    <row r="46" spans="1:16" ht="27.95" customHeight="1">
      <c r="A46" s="284" t="s">
        <v>296</v>
      </c>
      <c r="B46" s="284" t="s">
        <v>177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>
        <v>12249998</v>
      </c>
      <c r="M46" s="284">
        <f>29789998*70%</f>
        <v>20852998.599999998</v>
      </c>
      <c r="N46" s="284">
        <v>0</v>
      </c>
      <c r="O46" s="284">
        <v>0</v>
      </c>
      <c r="P46" s="284">
        <f t="shared" si="0"/>
        <v>0</v>
      </c>
    </row>
    <row r="47" spans="1:16" s="434" customFormat="1" ht="29.1" customHeight="1">
      <c r="A47" s="432" t="s">
        <v>1185</v>
      </c>
      <c r="B47" s="433" t="s">
        <v>1186</v>
      </c>
      <c r="C47" s="433"/>
      <c r="D47" s="433"/>
      <c r="E47" s="433">
        <v>70000000</v>
      </c>
      <c r="F47" s="433"/>
      <c r="N47" s="435">
        <v>0</v>
      </c>
      <c r="O47" s="436">
        <v>70000000</v>
      </c>
      <c r="P47" s="436">
        <f>O47-N47</f>
        <v>70000000</v>
      </c>
    </row>
    <row r="48" spans="1:16" ht="27.95" customHeight="1">
      <c r="A48" s="284"/>
      <c r="B48" s="292" t="s">
        <v>119</v>
      </c>
      <c r="C48" s="284"/>
      <c r="D48" s="284"/>
      <c r="E48" s="284"/>
      <c r="F48" s="284"/>
      <c r="G48" s="284"/>
      <c r="H48" s="284"/>
      <c r="I48" s="284"/>
      <c r="J48" s="292">
        <f>SUM(J43:J46)</f>
        <v>531629920</v>
      </c>
      <c r="K48" s="284"/>
      <c r="L48" s="292">
        <f>SUM(L43:L46)</f>
        <v>12249998</v>
      </c>
      <c r="M48" s="292">
        <f>SUM(M43:M46)</f>
        <v>20852998.599999998</v>
      </c>
      <c r="N48" s="292">
        <f>SUM(N43:N47)</f>
        <v>0</v>
      </c>
      <c r="O48" s="292">
        <f>SUM(O43:O47)</f>
        <v>700000000</v>
      </c>
      <c r="P48" s="292">
        <f>O48-N48</f>
        <v>700000000</v>
      </c>
    </row>
    <row r="49" spans="1:16" ht="27.95" customHeight="1">
      <c r="A49" s="284"/>
      <c r="B49" s="292" t="s">
        <v>42</v>
      </c>
      <c r="C49" s="284"/>
      <c r="D49" s="284"/>
      <c r="E49" s="284"/>
      <c r="F49" s="284"/>
      <c r="G49" s="284"/>
      <c r="H49" s="284"/>
      <c r="I49" s="284"/>
      <c r="J49" s="292">
        <f>J11+J25+J35+J40+J48</f>
        <v>3421219842</v>
      </c>
      <c r="K49" s="284"/>
      <c r="L49" s="292">
        <f>L48+L40+L35+L25+L11</f>
        <v>4206307906</v>
      </c>
      <c r="M49" s="292">
        <f>M48+M40+M35+M25+M11</f>
        <v>7390013961.6714296</v>
      </c>
      <c r="N49" s="292">
        <f>N48+N40+N35+N25+N11</f>
        <v>6900394495.3000002</v>
      </c>
      <c r="O49" s="292">
        <f>O48+O40+O35+O25+O11</f>
        <v>9033577194</v>
      </c>
      <c r="P49" s="292">
        <f>O49-N49</f>
        <v>2133182698.6999998</v>
      </c>
    </row>
    <row r="52" spans="1:16" ht="27.95" customHeight="1">
      <c r="N52" s="437" t="s">
        <v>684</v>
      </c>
      <c r="O52" s="437"/>
      <c r="P52" s="437"/>
    </row>
  </sheetData>
  <phoneticPr fontId="0" type="noConversion"/>
  <pageMargins left="0.55000000000000004" right="0.47" top="1.0900000000000001" bottom="0.6" header="0.4" footer="0.23"/>
  <pageSetup scale="45" orientation="portrait" r:id="rId1"/>
  <headerFooter alignWithMargins="0">
    <oddHeader>&amp;C&amp;"Arial Narrow,Bold"&amp;48Ciidanka Ilaaladda Madaxtooyadda</oddHeader>
    <oddFooter>&amp;R
&amp;"Times New Roman,Bold"&amp;18 10</oddFooter>
  </headerFooter>
  <ignoredErrors>
    <ignoredError sqref="L3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60" zoomScaleNormal="70" workbookViewId="0">
      <selection sqref="A1:XFD1048576"/>
    </sheetView>
  </sheetViews>
  <sheetFormatPr defaultRowHeight="27" customHeight="1"/>
  <cols>
    <col min="1" max="1" width="17.5" style="434" bestFit="1" customWidth="1"/>
    <col min="2" max="2" width="93.1640625" style="434" bestFit="1" customWidth="1"/>
    <col min="3" max="3" width="27.83203125" style="434" hidden="1" customWidth="1"/>
    <col min="4" max="5" width="24.5" style="434" bestFit="1" customWidth="1"/>
    <col min="6" max="6" width="23.6640625" style="434" bestFit="1" customWidth="1"/>
    <col min="7" max="16384" width="9.33203125" style="434"/>
  </cols>
  <sheetData>
    <row r="1" spans="1:6" s="440" customFormat="1" ht="29.1" customHeight="1">
      <c r="A1" s="438" t="s">
        <v>44</v>
      </c>
      <c r="B1" s="439" t="s">
        <v>785</v>
      </c>
      <c r="C1" s="439"/>
      <c r="D1" s="433"/>
      <c r="E1" s="433"/>
      <c r="F1" s="433"/>
    </row>
    <row r="2" spans="1:6" s="440" customFormat="1" ht="29.1" customHeight="1">
      <c r="A2" s="438" t="s">
        <v>248</v>
      </c>
      <c r="B2" s="439" t="s">
        <v>165</v>
      </c>
      <c r="C2" s="439" t="s">
        <v>660</v>
      </c>
      <c r="D2" s="439" t="s">
        <v>658</v>
      </c>
      <c r="E2" s="439" t="s">
        <v>1110</v>
      </c>
      <c r="F2" s="441" t="s">
        <v>63</v>
      </c>
    </row>
    <row r="3" spans="1:6" s="440" customFormat="1" ht="29.1" customHeight="1">
      <c r="A3" s="438" t="s">
        <v>249</v>
      </c>
      <c r="B3" s="439" t="s">
        <v>250</v>
      </c>
      <c r="C3" s="439"/>
      <c r="D3" s="433"/>
      <c r="E3" s="433"/>
      <c r="F3" s="433"/>
    </row>
    <row r="4" spans="1:6" ht="29.1" customHeight="1">
      <c r="A4" s="432" t="s">
        <v>247</v>
      </c>
      <c r="B4" s="433" t="s">
        <v>508</v>
      </c>
      <c r="C4" s="433">
        <v>0</v>
      </c>
      <c r="D4" s="433"/>
      <c r="E4" s="433">
        <v>93381600</v>
      </c>
      <c r="F4" s="433"/>
    </row>
    <row r="5" spans="1:6" ht="29.1" customHeight="1">
      <c r="A5" s="432" t="s">
        <v>251</v>
      </c>
      <c r="B5" s="433" t="s">
        <v>507</v>
      </c>
      <c r="C5" s="433">
        <v>0</v>
      </c>
      <c r="D5" s="433">
        <v>92836800</v>
      </c>
      <c r="E5" s="433">
        <v>30000000</v>
      </c>
      <c r="F5" s="433">
        <f t="shared" ref="F5:F44" si="0">E5-D5</f>
        <v>-62836800</v>
      </c>
    </row>
    <row r="6" spans="1:6" ht="29.1" customHeight="1">
      <c r="A6" s="432" t="s">
        <v>252</v>
      </c>
      <c r="B6" s="433" t="s">
        <v>1106</v>
      </c>
      <c r="C6" s="433">
        <v>0</v>
      </c>
      <c r="D6" s="433">
        <v>18000000</v>
      </c>
      <c r="E6" s="433">
        <v>75600000</v>
      </c>
      <c r="F6" s="433">
        <f t="shared" si="0"/>
        <v>57600000</v>
      </c>
    </row>
    <row r="7" spans="1:6" ht="29.1" customHeight="1">
      <c r="A7" s="432"/>
      <c r="B7" s="439" t="s">
        <v>119</v>
      </c>
      <c r="C7" s="433">
        <v>0</v>
      </c>
      <c r="D7" s="439">
        <f>SUM(D5:D6)</f>
        <v>110836800</v>
      </c>
      <c r="E7" s="439">
        <f>SUM(E4:E6)</f>
        <v>198981600</v>
      </c>
      <c r="F7" s="439">
        <f t="shared" si="0"/>
        <v>88144800</v>
      </c>
    </row>
    <row r="8" spans="1:6" ht="29.1" customHeight="1">
      <c r="A8" s="438" t="s">
        <v>262</v>
      </c>
      <c r="B8" s="439" t="s">
        <v>263</v>
      </c>
      <c r="C8" s="433">
        <v>0</v>
      </c>
      <c r="D8" s="433"/>
      <c r="E8" s="433"/>
      <c r="F8" s="433">
        <f t="shared" si="0"/>
        <v>0</v>
      </c>
    </row>
    <row r="9" spans="1:6" ht="29.1" customHeight="1">
      <c r="A9" s="438" t="s">
        <v>265</v>
      </c>
      <c r="B9" s="439" t="s">
        <v>264</v>
      </c>
      <c r="C9" s="433">
        <v>0</v>
      </c>
      <c r="D9" s="433"/>
      <c r="E9" s="433"/>
      <c r="F9" s="433">
        <f t="shared" si="0"/>
        <v>0</v>
      </c>
    </row>
    <row r="10" spans="1:6" ht="29.1" customHeight="1">
      <c r="A10" s="432" t="s">
        <v>266</v>
      </c>
      <c r="B10" s="433" t="s">
        <v>38</v>
      </c>
      <c r="C10" s="433">
        <v>0</v>
      </c>
      <c r="D10" s="433">
        <v>0</v>
      </c>
      <c r="E10" s="433">
        <v>0</v>
      </c>
      <c r="F10" s="433">
        <f t="shared" si="0"/>
        <v>0</v>
      </c>
    </row>
    <row r="11" spans="1:6" ht="29.1" customHeight="1">
      <c r="A11" s="432" t="s">
        <v>267</v>
      </c>
      <c r="B11" s="433" t="s">
        <v>152</v>
      </c>
      <c r="C11" s="433">
        <v>0</v>
      </c>
      <c r="D11" s="433"/>
      <c r="E11" s="433"/>
      <c r="F11" s="433">
        <f t="shared" si="0"/>
        <v>0</v>
      </c>
    </row>
    <row r="12" spans="1:6" ht="29.1" customHeight="1">
      <c r="A12" s="432" t="s">
        <v>268</v>
      </c>
      <c r="B12" s="433" t="s">
        <v>153</v>
      </c>
      <c r="C12" s="433">
        <v>0</v>
      </c>
      <c r="D12" s="433"/>
      <c r="E12" s="433"/>
      <c r="F12" s="433">
        <f t="shared" si="0"/>
        <v>0</v>
      </c>
    </row>
    <row r="13" spans="1:6" ht="29.1" customHeight="1">
      <c r="A13" s="432" t="s">
        <v>269</v>
      </c>
      <c r="B13" s="433" t="s">
        <v>186</v>
      </c>
      <c r="C13" s="433">
        <v>0</v>
      </c>
      <c r="D13" s="433">
        <v>8750000</v>
      </c>
      <c r="E13" s="433">
        <v>13750000</v>
      </c>
      <c r="F13" s="433">
        <f t="shared" si="0"/>
        <v>5000000</v>
      </c>
    </row>
    <row r="14" spans="1:6" ht="29.1" customHeight="1">
      <c r="A14" s="432" t="s">
        <v>270</v>
      </c>
      <c r="B14" s="433" t="s">
        <v>726</v>
      </c>
      <c r="C14" s="433">
        <v>0</v>
      </c>
      <c r="D14" s="433">
        <v>36000000</v>
      </c>
      <c r="E14" s="433">
        <v>50400000</v>
      </c>
      <c r="F14" s="433">
        <f t="shared" si="0"/>
        <v>14400000</v>
      </c>
    </row>
    <row r="15" spans="1:6" ht="29.1" customHeight="1">
      <c r="A15" s="432" t="s">
        <v>271</v>
      </c>
      <c r="B15" s="433" t="s">
        <v>154</v>
      </c>
      <c r="C15" s="433">
        <v>0</v>
      </c>
      <c r="D15" s="433"/>
      <c r="E15" s="433">
        <v>0</v>
      </c>
      <c r="F15" s="433">
        <f t="shared" si="0"/>
        <v>0</v>
      </c>
    </row>
    <row r="16" spans="1:6" ht="29.1" customHeight="1">
      <c r="A16" s="432" t="s">
        <v>272</v>
      </c>
      <c r="B16" s="433" t="s">
        <v>54</v>
      </c>
      <c r="C16" s="433">
        <v>0</v>
      </c>
      <c r="D16" s="433"/>
      <c r="E16" s="433"/>
      <c r="F16" s="433">
        <f t="shared" si="0"/>
        <v>0</v>
      </c>
    </row>
    <row r="17" spans="1:6" ht="29.1" customHeight="1">
      <c r="A17" s="432" t="s">
        <v>273</v>
      </c>
      <c r="B17" s="433" t="s">
        <v>120</v>
      </c>
      <c r="C17" s="433">
        <v>0</v>
      </c>
      <c r="D17" s="433"/>
      <c r="E17" s="433"/>
      <c r="F17" s="433">
        <f t="shared" si="0"/>
        <v>0</v>
      </c>
    </row>
    <row r="18" spans="1:6" ht="29.1" customHeight="1">
      <c r="A18" s="432" t="s">
        <v>274</v>
      </c>
      <c r="B18" s="433" t="s">
        <v>164</v>
      </c>
      <c r="C18" s="433">
        <v>0</v>
      </c>
      <c r="D18" s="433">
        <v>5000000</v>
      </c>
      <c r="E18" s="433">
        <v>5000000</v>
      </c>
      <c r="F18" s="433">
        <f t="shared" si="0"/>
        <v>0</v>
      </c>
    </row>
    <row r="19" spans="1:6" ht="29.1" customHeight="1">
      <c r="A19" s="432" t="s">
        <v>275</v>
      </c>
      <c r="B19" s="433" t="s">
        <v>40</v>
      </c>
      <c r="C19" s="433">
        <v>0</v>
      </c>
      <c r="D19" s="433">
        <v>15000000</v>
      </c>
      <c r="E19" s="433">
        <v>15000000</v>
      </c>
      <c r="F19" s="433">
        <f t="shared" si="0"/>
        <v>0</v>
      </c>
    </row>
    <row r="20" spans="1:6" ht="29.1" customHeight="1">
      <c r="A20" s="432" t="s">
        <v>311</v>
      </c>
      <c r="B20" s="433" t="s">
        <v>659</v>
      </c>
      <c r="C20" s="433">
        <v>0</v>
      </c>
      <c r="D20" s="433">
        <v>30000000</v>
      </c>
      <c r="E20" s="433">
        <v>30000000</v>
      </c>
      <c r="F20" s="433">
        <f t="shared" si="0"/>
        <v>0</v>
      </c>
    </row>
    <row r="21" spans="1:6" ht="29.1" customHeight="1">
      <c r="A21" s="432" t="s">
        <v>526</v>
      </c>
      <c r="B21" s="433" t="s">
        <v>527</v>
      </c>
      <c r="C21" s="433">
        <v>0</v>
      </c>
      <c r="D21" s="433"/>
      <c r="E21" s="433"/>
      <c r="F21" s="433">
        <f t="shared" si="0"/>
        <v>0</v>
      </c>
    </row>
    <row r="22" spans="1:6" ht="29.1" customHeight="1">
      <c r="A22" s="432" t="s">
        <v>342</v>
      </c>
      <c r="B22" s="433" t="s">
        <v>312</v>
      </c>
      <c r="C22" s="433">
        <v>0</v>
      </c>
      <c r="D22" s="433"/>
      <c r="E22" s="433"/>
      <c r="F22" s="433">
        <f t="shared" si="0"/>
        <v>0</v>
      </c>
    </row>
    <row r="23" spans="1:6" ht="29.1" customHeight="1">
      <c r="A23" s="432"/>
      <c r="B23" s="433" t="s">
        <v>1129</v>
      </c>
      <c r="C23" s="433">
        <v>0</v>
      </c>
      <c r="D23" s="433"/>
      <c r="E23" s="433">
        <v>10000000</v>
      </c>
      <c r="F23" s="433">
        <f t="shared" si="0"/>
        <v>10000000</v>
      </c>
    </row>
    <row r="24" spans="1:6" ht="29.1" customHeight="1">
      <c r="A24" s="432" t="s">
        <v>276</v>
      </c>
      <c r="B24" s="433" t="s">
        <v>634</v>
      </c>
      <c r="C24" s="433">
        <v>0</v>
      </c>
      <c r="D24" s="433"/>
      <c r="E24" s="433"/>
      <c r="F24" s="433">
        <f t="shared" si="0"/>
        <v>0</v>
      </c>
    </row>
    <row r="25" spans="1:6" ht="29.1" customHeight="1">
      <c r="A25" s="432"/>
      <c r="B25" s="439" t="s">
        <v>119</v>
      </c>
      <c r="C25" s="433">
        <v>0</v>
      </c>
      <c r="D25" s="439">
        <f>SUM(D13:D20)</f>
        <v>94750000</v>
      </c>
      <c r="E25" s="439">
        <f>SUM(E10:E24)</f>
        <v>124150000</v>
      </c>
      <c r="F25" s="439">
        <f t="shared" si="0"/>
        <v>29400000</v>
      </c>
    </row>
    <row r="26" spans="1:6" ht="29.1" customHeight="1">
      <c r="A26" s="438" t="s">
        <v>279</v>
      </c>
      <c r="B26" s="439" t="s">
        <v>278</v>
      </c>
      <c r="C26" s="433">
        <v>0</v>
      </c>
      <c r="D26" s="433"/>
      <c r="E26" s="433"/>
      <c r="F26" s="433">
        <f t="shared" si="0"/>
        <v>0</v>
      </c>
    </row>
    <row r="27" spans="1:6" ht="29.1" customHeight="1">
      <c r="A27" s="432" t="s">
        <v>280</v>
      </c>
      <c r="B27" s="433" t="s">
        <v>160</v>
      </c>
      <c r="C27" s="433">
        <v>0</v>
      </c>
      <c r="D27" s="433"/>
      <c r="E27" s="433"/>
      <c r="F27" s="433">
        <f t="shared" si="0"/>
        <v>0</v>
      </c>
    </row>
    <row r="28" spans="1:6" ht="29.1" customHeight="1">
      <c r="A28" s="432" t="s">
        <v>281</v>
      </c>
      <c r="B28" s="433" t="s">
        <v>161</v>
      </c>
      <c r="C28" s="433">
        <v>0</v>
      </c>
      <c r="D28" s="433">
        <v>44600000</v>
      </c>
      <c r="E28" s="433">
        <v>44600000</v>
      </c>
      <c r="F28" s="433">
        <f t="shared" si="0"/>
        <v>0</v>
      </c>
    </row>
    <row r="29" spans="1:6" ht="29.1" customHeight="1">
      <c r="A29" s="432" t="s">
        <v>282</v>
      </c>
      <c r="B29" s="433" t="s">
        <v>155</v>
      </c>
      <c r="C29" s="433">
        <v>0</v>
      </c>
      <c r="D29" s="433">
        <v>10000000</v>
      </c>
      <c r="E29" s="433">
        <v>10000000</v>
      </c>
      <c r="F29" s="433">
        <f t="shared" si="0"/>
        <v>0</v>
      </c>
    </row>
    <row r="30" spans="1:6" ht="29.1" customHeight="1">
      <c r="A30" s="432" t="s">
        <v>283</v>
      </c>
      <c r="B30" s="433" t="s">
        <v>156</v>
      </c>
      <c r="C30" s="433">
        <v>0</v>
      </c>
      <c r="D30" s="433">
        <v>2000000</v>
      </c>
      <c r="E30" s="433">
        <v>2000000</v>
      </c>
      <c r="F30" s="433">
        <f t="shared" si="0"/>
        <v>0</v>
      </c>
    </row>
    <row r="31" spans="1:6" ht="29.1" customHeight="1">
      <c r="A31" s="432" t="s">
        <v>284</v>
      </c>
      <c r="B31" s="433" t="s">
        <v>162</v>
      </c>
      <c r="C31" s="433">
        <v>0</v>
      </c>
      <c r="D31" s="433"/>
      <c r="E31" s="433"/>
      <c r="F31" s="433">
        <f t="shared" si="0"/>
        <v>0</v>
      </c>
    </row>
    <row r="32" spans="1:6" ht="29.1" customHeight="1">
      <c r="A32" s="432" t="s">
        <v>298</v>
      </c>
      <c r="B32" s="433" t="s">
        <v>219</v>
      </c>
      <c r="C32" s="433">
        <v>0</v>
      </c>
      <c r="D32" s="433"/>
      <c r="E32" s="433"/>
      <c r="F32" s="433">
        <f t="shared" si="0"/>
        <v>0</v>
      </c>
    </row>
    <row r="33" spans="1:6" ht="29.1" customHeight="1">
      <c r="A33" s="432" t="s">
        <v>738</v>
      </c>
      <c r="B33" s="433" t="s">
        <v>1115</v>
      </c>
      <c r="C33" s="433"/>
      <c r="D33" s="433"/>
      <c r="E33" s="433"/>
      <c r="F33" s="433">
        <f t="shared" si="0"/>
        <v>0</v>
      </c>
    </row>
    <row r="34" spans="1:6" ht="29.1" customHeight="1">
      <c r="A34" s="432"/>
      <c r="B34" s="439" t="s">
        <v>119</v>
      </c>
      <c r="C34" s="433">
        <v>0</v>
      </c>
      <c r="D34" s="439">
        <f>D30+D29+D28</f>
        <v>56600000</v>
      </c>
      <c r="E34" s="439">
        <f>SUM(E27:E33)</f>
        <v>56600000</v>
      </c>
      <c r="F34" s="439">
        <f t="shared" si="0"/>
        <v>0</v>
      </c>
    </row>
    <row r="35" spans="1:6" ht="29.1" customHeight="1">
      <c r="A35" s="438" t="s">
        <v>285</v>
      </c>
      <c r="B35" s="439" t="s">
        <v>158</v>
      </c>
      <c r="C35" s="433">
        <v>0</v>
      </c>
      <c r="D35" s="433"/>
      <c r="E35" s="433"/>
      <c r="F35" s="433">
        <f t="shared" si="0"/>
        <v>0</v>
      </c>
    </row>
    <row r="36" spans="1:6" ht="29.1" customHeight="1">
      <c r="A36" s="432" t="s">
        <v>286</v>
      </c>
      <c r="B36" s="433" t="s">
        <v>55</v>
      </c>
      <c r="C36" s="433">
        <v>0</v>
      </c>
      <c r="D36" s="433">
        <v>6000000</v>
      </c>
      <c r="E36" s="433">
        <v>6000000</v>
      </c>
      <c r="F36" s="433">
        <f t="shared" si="0"/>
        <v>0</v>
      </c>
    </row>
    <row r="37" spans="1:6" ht="29.1" customHeight="1">
      <c r="A37" s="432" t="s">
        <v>288</v>
      </c>
      <c r="B37" s="433" t="s">
        <v>287</v>
      </c>
      <c r="C37" s="433">
        <v>0</v>
      </c>
      <c r="D37" s="433">
        <v>500000</v>
      </c>
      <c r="E37" s="433">
        <v>500000</v>
      </c>
      <c r="F37" s="433">
        <f t="shared" si="0"/>
        <v>0</v>
      </c>
    </row>
    <row r="38" spans="1:6" ht="29.1" customHeight="1">
      <c r="A38" s="432"/>
      <c r="B38" s="439" t="s">
        <v>119</v>
      </c>
      <c r="C38" s="433">
        <v>0</v>
      </c>
      <c r="D38" s="439">
        <f>D37+D36</f>
        <v>6500000</v>
      </c>
      <c r="E38" s="439">
        <f>SUM(E36:E37)</f>
        <v>6500000</v>
      </c>
      <c r="F38" s="439">
        <f t="shared" si="0"/>
        <v>0</v>
      </c>
    </row>
    <row r="39" spans="1:6" ht="29.1" customHeight="1">
      <c r="A39" s="438" t="s">
        <v>293</v>
      </c>
      <c r="B39" s="439" t="s">
        <v>292</v>
      </c>
      <c r="C39" s="433">
        <v>0</v>
      </c>
      <c r="D39" s="433"/>
      <c r="E39" s="433"/>
      <c r="F39" s="433">
        <f t="shared" si="0"/>
        <v>0</v>
      </c>
    </row>
    <row r="40" spans="1:6" ht="29.1" customHeight="1">
      <c r="A40" s="438" t="s">
        <v>294</v>
      </c>
      <c r="B40" s="439" t="s">
        <v>291</v>
      </c>
      <c r="C40" s="433">
        <v>0</v>
      </c>
      <c r="D40" s="433">
        <v>0</v>
      </c>
      <c r="E40" s="433">
        <v>0</v>
      </c>
      <c r="F40" s="433">
        <f t="shared" si="0"/>
        <v>0</v>
      </c>
    </row>
    <row r="41" spans="1:6" ht="29.1" customHeight="1">
      <c r="A41" s="432" t="s">
        <v>389</v>
      </c>
      <c r="B41" s="433" t="s">
        <v>307</v>
      </c>
      <c r="C41" s="433">
        <v>0</v>
      </c>
      <c r="D41" s="433">
        <v>65000000</v>
      </c>
      <c r="E41" s="433">
        <v>0</v>
      </c>
      <c r="F41" s="433">
        <f t="shared" si="0"/>
        <v>-65000000</v>
      </c>
    </row>
    <row r="42" spans="1:6" ht="29.1" customHeight="1">
      <c r="A42" s="432" t="s">
        <v>388</v>
      </c>
      <c r="B42" s="433" t="s">
        <v>309</v>
      </c>
      <c r="C42" s="433">
        <v>0</v>
      </c>
      <c r="D42" s="433">
        <v>42000000</v>
      </c>
      <c r="E42" s="433">
        <f>D42</f>
        <v>42000000</v>
      </c>
      <c r="F42" s="433">
        <f t="shared" si="0"/>
        <v>0</v>
      </c>
    </row>
    <row r="43" spans="1:6" ht="29.1" customHeight="1">
      <c r="A43" s="432" t="s">
        <v>295</v>
      </c>
      <c r="B43" s="433" t="s">
        <v>176</v>
      </c>
      <c r="C43" s="433">
        <v>0</v>
      </c>
      <c r="D43" s="433">
        <v>0</v>
      </c>
      <c r="E43" s="433">
        <v>0</v>
      </c>
      <c r="F43" s="433">
        <f t="shared" si="0"/>
        <v>0</v>
      </c>
    </row>
    <row r="44" spans="1:6" ht="29.1" customHeight="1">
      <c r="A44" s="432" t="s">
        <v>579</v>
      </c>
      <c r="B44" s="433" t="s">
        <v>580</v>
      </c>
      <c r="C44" s="433">
        <v>0</v>
      </c>
      <c r="D44" s="433"/>
      <c r="E44" s="433"/>
      <c r="F44" s="433">
        <f t="shared" si="0"/>
        <v>0</v>
      </c>
    </row>
    <row r="45" spans="1:6" ht="27" customHeight="1">
      <c r="A45" s="442"/>
      <c r="B45" s="442"/>
      <c r="C45" s="442"/>
      <c r="D45" s="442"/>
      <c r="E45" s="442"/>
      <c r="F45" s="442"/>
    </row>
    <row r="46" spans="1:6" ht="29.1" customHeight="1">
      <c r="A46" s="432"/>
      <c r="B46" s="439" t="s">
        <v>119</v>
      </c>
      <c r="C46" s="433">
        <v>0</v>
      </c>
      <c r="D46" s="439">
        <f>D43+D42+D41</f>
        <v>107000000</v>
      </c>
      <c r="E46" s="439">
        <f>SUM(E40:E45)</f>
        <v>42000000</v>
      </c>
      <c r="F46" s="439">
        <f>E46-D46</f>
        <v>-65000000</v>
      </c>
    </row>
    <row r="47" spans="1:6" ht="29.1" customHeight="1">
      <c r="A47" s="432"/>
      <c r="B47" s="439" t="s">
        <v>42</v>
      </c>
      <c r="C47" s="433">
        <v>0</v>
      </c>
      <c r="D47" s="439">
        <f>D46+D38+D34+D25+D7</f>
        <v>375686800</v>
      </c>
      <c r="E47" s="439">
        <f>E46+E38+E34+E25+E7</f>
        <v>428231600</v>
      </c>
      <c r="F47" s="439">
        <f>E47-D47</f>
        <v>52544800</v>
      </c>
    </row>
  </sheetData>
  <pageMargins left="0.7" right="0.7" top="0.75" bottom="0.75" header="0.3" footer="0.3"/>
  <pageSetup scale="50" orientation="portrait" r:id="rId1"/>
  <headerFooter>
    <oddHeader xml:space="preserve">&amp;C&amp;"Times New Roman,Bold"&amp;20GARYAQAANKA GUUD </oddHeader>
    <oddFooter>&amp;R&amp;"Times New Roman,Bold"&amp;12 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workbookViewId="0">
      <selection activeCell="O42" sqref="O42"/>
    </sheetView>
  </sheetViews>
  <sheetFormatPr defaultRowHeight="29.1" customHeight="1"/>
  <cols>
    <col min="1" max="1" width="15.5" customWidth="1"/>
    <col min="2" max="2" width="81.33203125" bestFit="1" customWidth="1"/>
    <col min="3" max="12" width="9.33203125" hidden="1" customWidth="1"/>
    <col min="13" max="13" width="29.83203125" hidden="1" customWidth="1"/>
    <col min="14" max="16" width="27.6640625" bestFit="1" customWidth="1"/>
  </cols>
  <sheetData>
    <row r="1" spans="1:16" ht="29.1" customHeight="1">
      <c r="A1" s="266" t="s">
        <v>45</v>
      </c>
      <c r="B1" s="285" t="s">
        <v>1198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ht="29.1" customHeight="1">
      <c r="A2" s="265" t="s">
        <v>248</v>
      </c>
      <c r="B2" s="265" t="s">
        <v>165</v>
      </c>
      <c r="C2" s="269" t="s">
        <v>43</v>
      </c>
      <c r="D2" s="269" t="s">
        <v>2</v>
      </c>
      <c r="E2" s="269" t="s">
        <v>48</v>
      </c>
      <c r="F2" s="269" t="s">
        <v>52</v>
      </c>
      <c r="G2" s="269" t="s">
        <v>62</v>
      </c>
      <c r="H2" s="269" t="s">
        <v>69</v>
      </c>
      <c r="I2" s="269" t="s">
        <v>130</v>
      </c>
      <c r="J2" s="269" t="s">
        <v>135</v>
      </c>
      <c r="K2" s="269" t="s">
        <v>180</v>
      </c>
      <c r="L2" s="269" t="s">
        <v>180</v>
      </c>
      <c r="M2" s="269" t="s">
        <v>297</v>
      </c>
      <c r="N2" s="269" t="s">
        <v>641</v>
      </c>
      <c r="O2" s="269" t="s">
        <v>1103</v>
      </c>
      <c r="P2" s="268" t="s">
        <v>63</v>
      </c>
    </row>
    <row r="3" spans="1:16" ht="29.1" customHeight="1">
      <c r="A3" s="265" t="s">
        <v>249</v>
      </c>
      <c r="B3" s="265" t="s">
        <v>250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1:16" ht="29.1" customHeight="1">
      <c r="A4" s="284" t="s">
        <v>247</v>
      </c>
      <c r="B4" s="284" t="s">
        <v>32</v>
      </c>
      <c r="C4" s="284">
        <v>2136768000</v>
      </c>
      <c r="D4" s="284">
        <v>2136768000</v>
      </c>
      <c r="E4" s="284">
        <v>2567568000</v>
      </c>
      <c r="F4" s="284">
        <v>2653728000</v>
      </c>
      <c r="G4" s="284">
        <v>3515328000</v>
      </c>
      <c r="H4" s="284">
        <f>G4</f>
        <v>3515328000</v>
      </c>
      <c r="I4" s="284">
        <f>4569926400+318240000</f>
        <v>4888166400</v>
      </c>
      <c r="J4" s="284">
        <v>5152305600</v>
      </c>
      <c r="K4" s="284">
        <v>5788785600</v>
      </c>
      <c r="L4" s="284">
        <f>5152305600+636480000</f>
        <v>5788785600</v>
      </c>
      <c r="M4" s="284">
        <v>13817980800</v>
      </c>
      <c r="N4" s="284">
        <v>3245974620</v>
      </c>
      <c r="O4" s="284">
        <v>3453840000</v>
      </c>
      <c r="P4" s="336">
        <f>O4-N4</f>
        <v>207865380</v>
      </c>
    </row>
    <row r="5" spans="1:16" ht="29.1" customHeight="1">
      <c r="A5" s="272" t="s">
        <v>252</v>
      </c>
      <c r="B5" s="272" t="s">
        <v>1199</v>
      </c>
      <c r="C5" s="272">
        <v>23600000</v>
      </c>
      <c r="D5" s="272">
        <v>23600000</v>
      </c>
      <c r="E5" s="272">
        <v>23600000</v>
      </c>
      <c r="F5" s="272">
        <v>23600000</v>
      </c>
      <c r="G5" s="272">
        <f>F5</f>
        <v>23600000</v>
      </c>
      <c r="H5" s="272">
        <v>60000000</v>
      </c>
      <c r="I5" s="272">
        <v>100000000</v>
      </c>
      <c r="J5" s="272">
        <v>100000000</v>
      </c>
      <c r="K5" s="272">
        <v>100000000</v>
      </c>
      <c r="L5" s="272">
        <v>100000000</v>
      </c>
      <c r="M5" s="272">
        <v>695600000</v>
      </c>
      <c r="N5" s="272">
        <v>339200000</v>
      </c>
      <c r="O5" s="272">
        <v>498000000</v>
      </c>
      <c r="P5" s="336">
        <f t="shared" ref="P5:P42" si="0">O5-N5</f>
        <v>158800000</v>
      </c>
    </row>
    <row r="6" spans="1:16" ht="29.1" customHeight="1">
      <c r="A6" s="272"/>
      <c r="B6" s="265" t="s">
        <v>119</v>
      </c>
      <c r="C6" s="272"/>
      <c r="D6" s="272"/>
      <c r="E6" s="272"/>
      <c r="F6" s="272"/>
      <c r="G6" s="272"/>
      <c r="H6" s="272">
        <v>0</v>
      </c>
      <c r="I6" s="272">
        <f>30000000+2089136</f>
        <v>32089136</v>
      </c>
      <c r="J6" s="272">
        <v>32089136</v>
      </c>
      <c r="K6" s="265">
        <f>SUM(K4:K5)</f>
        <v>5888785600</v>
      </c>
      <c r="L6" s="265">
        <f>SUM(L4:L5)</f>
        <v>5888785600</v>
      </c>
      <c r="M6" s="265">
        <f>SUM(M4:M5)</f>
        <v>14513580800</v>
      </c>
      <c r="N6" s="265">
        <f>SUM(N4:N5)</f>
        <v>3585174620</v>
      </c>
      <c r="O6" s="265">
        <f>SUM(O4:O5)</f>
        <v>3951840000</v>
      </c>
      <c r="P6" s="361">
        <f t="shared" si="0"/>
        <v>366665380</v>
      </c>
    </row>
    <row r="7" spans="1:16" ht="29.1" customHeight="1">
      <c r="A7" s="265" t="s">
        <v>262</v>
      </c>
      <c r="B7" s="265" t="s">
        <v>263</v>
      </c>
      <c r="C7" s="272">
        <v>494272000</v>
      </c>
      <c r="D7" s="272">
        <v>547031750</v>
      </c>
      <c r="E7" s="272">
        <v>547031750</v>
      </c>
      <c r="F7" s="272">
        <v>1022000000</v>
      </c>
      <c r="G7" s="272">
        <v>1460000000</v>
      </c>
      <c r="H7" s="272">
        <v>1460000000</v>
      </c>
      <c r="I7" s="272">
        <v>3650000000</v>
      </c>
      <c r="J7" s="272">
        <v>4117500000</v>
      </c>
      <c r="K7" s="272"/>
      <c r="L7" s="272"/>
      <c r="M7" s="272"/>
      <c r="N7" s="272"/>
      <c r="O7" s="272"/>
      <c r="P7" s="336">
        <f t="shared" si="0"/>
        <v>0</v>
      </c>
    </row>
    <row r="8" spans="1:16" ht="29.1" customHeight="1">
      <c r="A8" s="265" t="s">
        <v>265</v>
      </c>
      <c r="B8" s="265" t="s">
        <v>264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336">
        <f t="shared" si="0"/>
        <v>0</v>
      </c>
    </row>
    <row r="9" spans="1:16" ht="29.1" customHeight="1">
      <c r="A9" s="272" t="s">
        <v>266</v>
      </c>
      <c r="B9" s="272" t="s">
        <v>38</v>
      </c>
      <c r="C9" s="272">
        <v>180000000</v>
      </c>
      <c r="D9" s="272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20000000</v>
      </c>
      <c r="L9" s="272">
        <v>20000000</v>
      </c>
      <c r="M9" s="272">
        <f>20000000*70%</f>
        <v>14000000</v>
      </c>
      <c r="N9" s="272">
        <v>15000000</v>
      </c>
      <c r="O9" s="272">
        <v>40000000</v>
      </c>
      <c r="P9" s="336">
        <f t="shared" si="0"/>
        <v>25000000</v>
      </c>
    </row>
    <row r="10" spans="1:16" ht="29.1" customHeight="1">
      <c r="A10" s="272" t="s">
        <v>308</v>
      </c>
      <c r="B10" s="272" t="s">
        <v>1200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>
        <v>20000000</v>
      </c>
      <c r="O10" s="272">
        <v>40000000</v>
      </c>
      <c r="P10" s="336">
        <f t="shared" si="0"/>
        <v>20000000</v>
      </c>
    </row>
    <row r="11" spans="1:16" ht="29.1" customHeight="1">
      <c r="A11" s="272" t="s">
        <v>268</v>
      </c>
      <c r="B11" s="272" t="s">
        <v>1201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>
        <v>75000000</v>
      </c>
      <c r="O11" s="272">
        <f>N11</f>
        <v>75000000</v>
      </c>
      <c r="P11" s="336">
        <f t="shared" si="0"/>
        <v>0</v>
      </c>
    </row>
    <row r="12" spans="1:16" ht="29.1" customHeight="1">
      <c r="A12" s="272" t="s">
        <v>269</v>
      </c>
      <c r="B12" s="272" t="s">
        <v>186</v>
      </c>
      <c r="C12" s="265">
        <f t="shared" ref="C12:J12" si="1">SUM(C6:C9)</f>
        <v>674272000</v>
      </c>
      <c r="D12" s="265">
        <f t="shared" si="1"/>
        <v>547031750</v>
      </c>
      <c r="E12" s="265">
        <f t="shared" si="1"/>
        <v>547031750</v>
      </c>
      <c r="F12" s="265">
        <f t="shared" si="1"/>
        <v>1022000000</v>
      </c>
      <c r="G12" s="265">
        <f t="shared" si="1"/>
        <v>1460000000</v>
      </c>
      <c r="H12" s="265">
        <f t="shared" si="1"/>
        <v>1460000000</v>
      </c>
      <c r="I12" s="265">
        <f t="shared" si="1"/>
        <v>3682089136</v>
      </c>
      <c r="J12" s="265">
        <f t="shared" si="1"/>
        <v>4149589136</v>
      </c>
      <c r="K12" s="272">
        <v>25000000</v>
      </c>
      <c r="L12" s="272">
        <v>25000000</v>
      </c>
      <c r="M12" s="272">
        <f>25000000*70%</f>
        <v>17500000</v>
      </c>
      <c r="N12" s="272">
        <v>45000000</v>
      </c>
      <c r="O12" s="272">
        <f>N12</f>
        <v>45000000</v>
      </c>
      <c r="P12" s="336">
        <f t="shared" si="0"/>
        <v>0</v>
      </c>
    </row>
    <row r="13" spans="1:16" ht="29.1" customHeight="1">
      <c r="A13" s="272" t="s">
        <v>270</v>
      </c>
      <c r="B13" s="272" t="s">
        <v>163</v>
      </c>
      <c r="C13" s="272"/>
      <c r="D13" s="272"/>
      <c r="E13" s="272"/>
      <c r="F13" s="272"/>
      <c r="G13" s="272"/>
      <c r="H13" s="272"/>
      <c r="I13" s="272"/>
      <c r="J13" s="272"/>
      <c r="K13" s="272">
        <v>15000000</v>
      </c>
      <c r="L13" s="272">
        <v>15000000</v>
      </c>
      <c r="M13" s="272">
        <f>15000000*70%</f>
        <v>10500000</v>
      </c>
      <c r="N13" s="272">
        <v>20000000</v>
      </c>
      <c r="O13" s="272">
        <f>N13</f>
        <v>20000000</v>
      </c>
      <c r="P13" s="336">
        <f t="shared" si="0"/>
        <v>0</v>
      </c>
    </row>
    <row r="14" spans="1:16" ht="29.1" customHeight="1">
      <c r="A14" s="272" t="s">
        <v>272</v>
      </c>
      <c r="B14" s="272" t="s">
        <v>54</v>
      </c>
      <c r="C14" s="272">
        <v>40000000</v>
      </c>
      <c r="D14" s="272">
        <v>20000000</v>
      </c>
      <c r="E14" s="272">
        <v>20000000</v>
      </c>
      <c r="F14" s="272">
        <v>20000000</v>
      </c>
      <c r="G14" s="272">
        <v>24000000</v>
      </c>
      <c r="H14" s="272">
        <v>30000000</v>
      </c>
      <c r="I14" s="272">
        <v>33516000</v>
      </c>
      <c r="J14" s="272">
        <v>40000000</v>
      </c>
      <c r="K14" s="272">
        <v>30000000</v>
      </c>
      <c r="L14" s="272">
        <v>30000000</v>
      </c>
      <c r="M14" s="272">
        <f>30000000*70%</f>
        <v>21000000</v>
      </c>
      <c r="N14" s="272">
        <v>10000000</v>
      </c>
      <c r="O14" s="272">
        <v>25000000</v>
      </c>
      <c r="P14" s="336">
        <f t="shared" si="0"/>
        <v>15000000</v>
      </c>
    </row>
    <row r="15" spans="1:16" ht="29.1" customHeight="1">
      <c r="A15" s="272" t="s">
        <v>274</v>
      </c>
      <c r="B15" s="272" t="s">
        <v>164</v>
      </c>
      <c r="C15" s="272">
        <v>10000000</v>
      </c>
      <c r="D15" s="272">
        <v>20000000</v>
      </c>
      <c r="E15" s="272">
        <v>20000000</v>
      </c>
      <c r="F15" s="272">
        <v>20000000</v>
      </c>
      <c r="G15" s="272">
        <v>16000000</v>
      </c>
      <c r="H15" s="272">
        <v>20000000</v>
      </c>
      <c r="I15" s="272">
        <v>22344000</v>
      </c>
      <c r="J15" s="272">
        <v>30000000</v>
      </c>
      <c r="K15" s="272">
        <v>10000000</v>
      </c>
      <c r="L15" s="272">
        <v>10000000</v>
      </c>
      <c r="M15" s="272">
        <f>10000000*70%</f>
        <v>7000000</v>
      </c>
      <c r="N15" s="272">
        <v>5000000</v>
      </c>
      <c r="O15" s="272">
        <v>15000000</v>
      </c>
      <c r="P15" s="336">
        <f t="shared" si="0"/>
        <v>10000000</v>
      </c>
    </row>
    <row r="16" spans="1:16" ht="29.1" customHeight="1">
      <c r="A16" s="272" t="s">
        <v>275</v>
      </c>
      <c r="B16" s="272" t="s">
        <v>40</v>
      </c>
      <c r="C16" s="272">
        <v>10000000</v>
      </c>
      <c r="D16" s="272">
        <v>20000000</v>
      </c>
      <c r="E16" s="272">
        <v>20000000</v>
      </c>
      <c r="F16" s="272">
        <v>20000000</v>
      </c>
      <c r="G16" s="272">
        <v>16000000</v>
      </c>
      <c r="H16" s="272">
        <v>20000000</v>
      </c>
      <c r="I16" s="272">
        <v>22344000</v>
      </c>
      <c r="J16" s="272">
        <v>25000000</v>
      </c>
      <c r="K16" s="272">
        <v>70000000</v>
      </c>
      <c r="L16" s="272">
        <v>70000000</v>
      </c>
      <c r="M16" s="272">
        <f>70000000*70%</f>
        <v>49000000</v>
      </c>
      <c r="N16" s="272">
        <v>20000000</v>
      </c>
      <c r="O16" s="272">
        <v>25000000</v>
      </c>
      <c r="P16" s="336">
        <f t="shared" si="0"/>
        <v>5000000</v>
      </c>
    </row>
    <row r="17" spans="1:16" ht="29.1" customHeight="1">
      <c r="A17" s="272" t="s">
        <v>302</v>
      </c>
      <c r="B17" s="272" t="s">
        <v>1203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>
        <v>0</v>
      </c>
      <c r="O17" s="272">
        <v>30000000</v>
      </c>
      <c r="P17" s="336">
        <f t="shared" si="0"/>
        <v>30000000</v>
      </c>
    </row>
    <row r="18" spans="1:16" ht="29.1" customHeight="1">
      <c r="A18" s="272" t="s">
        <v>358</v>
      </c>
      <c r="B18" s="272" t="s">
        <v>1204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>
        <v>0</v>
      </c>
      <c r="O18" s="272">
        <v>20000000</v>
      </c>
      <c r="P18" s="336">
        <f t="shared" si="0"/>
        <v>20000000</v>
      </c>
    </row>
    <row r="19" spans="1:16" ht="29.1" customHeight="1">
      <c r="A19" s="272" t="s">
        <v>277</v>
      </c>
      <c r="B19" s="272" t="s">
        <v>218</v>
      </c>
      <c r="C19" s="265"/>
      <c r="D19" s="265"/>
      <c r="E19" s="265"/>
      <c r="F19" s="265"/>
      <c r="G19" s="265"/>
      <c r="H19" s="265"/>
      <c r="I19" s="265"/>
      <c r="J19" s="265"/>
      <c r="K19" s="272">
        <v>445775100</v>
      </c>
      <c r="L19" s="272">
        <v>445775100</v>
      </c>
      <c r="M19" s="272">
        <f>445775100</f>
        <v>445775100</v>
      </c>
      <c r="N19" s="272">
        <v>210000000</v>
      </c>
      <c r="O19" s="272">
        <v>310000000</v>
      </c>
      <c r="P19" s="336">
        <f t="shared" si="0"/>
        <v>100000000</v>
      </c>
    </row>
    <row r="20" spans="1:16" ht="29.1" customHeight="1">
      <c r="A20" s="272"/>
      <c r="B20" s="265" t="s">
        <v>119</v>
      </c>
      <c r="C20" s="272">
        <v>4000000</v>
      </c>
      <c r="D20" s="272">
        <v>0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65">
        <f>SUM(K9:K19)</f>
        <v>615775100</v>
      </c>
      <c r="L20" s="265">
        <f>SUM(L9:L19)</f>
        <v>615775100</v>
      </c>
      <c r="M20" s="265">
        <f>SUM(M9:M19)</f>
        <v>564775100</v>
      </c>
      <c r="N20" s="265">
        <f>SUM(N9:N19)</f>
        <v>420000000</v>
      </c>
      <c r="O20" s="265">
        <f>SUM(O9:O19)</f>
        <v>645000000</v>
      </c>
      <c r="P20" s="361">
        <f t="shared" si="0"/>
        <v>225000000</v>
      </c>
    </row>
    <row r="21" spans="1:16" ht="29.1" customHeight="1">
      <c r="A21" s="265" t="s">
        <v>279</v>
      </c>
      <c r="B21" s="265" t="s">
        <v>278</v>
      </c>
      <c r="C21" s="272">
        <v>4000000</v>
      </c>
      <c r="D21" s="272">
        <v>24000000</v>
      </c>
      <c r="E21" s="272">
        <v>24000000</v>
      </c>
      <c r="F21" s="272">
        <v>24000000</v>
      </c>
      <c r="G21" s="272">
        <v>19200000</v>
      </c>
      <c r="H21" s="272">
        <v>24000000</v>
      </c>
      <c r="I21" s="272">
        <v>17875200</v>
      </c>
      <c r="J21" s="272">
        <v>30000000</v>
      </c>
      <c r="K21" s="272"/>
      <c r="L21" s="272"/>
      <c r="M21" s="272"/>
      <c r="N21" s="272"/>
      <c r="O21" s="272"/>
      <c r="P21" s="336">
        <f t="shared" si="0"/>
        <v>0</v>
      </c>
    </row>
    <row r="22" spans="1:16" ht="29.1" customHeight="1">
      <c r="A22" s="272" t="s">
        <v>280</v>
      </c>
      <c r="B22" s="272" t="s">
        <v>160</v>
      </c>
      <c r="C22" s="272">
        <v>0</v>
      </c>
      <c r="D22" s="272">
        <v>0</v>
      </c>
      <c r="E22" s="272">
        <v>0</v>
      </c>
      <c r="F22" s="272">
        <v>0</v>
      </c>
      <c r="G22" s="272">
        <v>2400000</v>
      </c>
      <c r="H22" s="272">
        <v>3000000</v>
      </c>
      <c r="I22" s="272">
        <v>7448000</v>
      </c>
      <c r="J22" s="272">
        <v>10000000</v>
      </c>
      <c r="K22" s="272"/>
      <c r="L22" s="272">
        <v>0</v>
      </c>
      <c r="M22" s="272">
        <v>0</v>
      </c>
      <c r="N22" s="272">
        <v>0</v>
      </c>
      <c r="O22" s="272"/>
      <c r="P22" s="336">
        <f t="shared" si="0"/>
        <v>0</v>
      </c>
    </row>
    <row r="23" spans="1:16" ht="29.1" customHeight="1">
      <c r="A23" s="272" t="s">
        <v>281</v>
      </c>
      <c r="B23" s="272" t="s">
        <v>161</v>
      </c>
      <c r="C23" s="272"/>
      <c r="D23" s="272"/>
      <c r="E23" s="272"/>
      <c r="F23" s="272"/>
      <c r="G23" s="272"/>
      <c r="H23" s="272"/>
      <c r="I23" s="272"/>
      <c r="J23" s="272"/>
      <c r="K23" s="272">
        <v>500000000</v>
      </c>
      <c r="L23" s="272">
        <v>500000000</v>
      </c>
      <c r="M23" s="272">
        <f>1089530000</f>
        <v>1089530000</v>
      </c>
      <c r="N23" s="272">
        <v>540000000</v>
      </c>
      <c r="O23" s="272">
        <f>N23</f>
        <v>540000000</v>
      </c>
      <c r="P23" s="336">
        <f t="shared" si="0"/>
        <v>0</v>
      </c>
    </row>
    <row r="24" spans="1:16" ht="29.1" customHeight="1">
      <c r="A24" s="272" t="s">
        <v>282</v>
      </c>
      <c r="B24" s="272" t="s">
        <v>155</v>
      </c>
      <c r="C24" s="272">
        <v>0</v>
      </c>
      <c r="D24" s="272">
        <v>4000000</v>
      </c>
      <c r="E24" s="272">
        <v>4000000</v>
      </c>
      <c r="F24" s="272">
        <v>4000000</v>
      </c>
      <c r="G24" s="272">
        <v>4800000</v>
      </c>
      <c r="H24" s="272">
        <v>6000000</v>
      </c>
      <c r="I24" s="272">
        <v>11916800</v>
      </c>
      <c r="J24" s="272">
        <v>10000000</v>
      </c>
      <c r="K24" s="272">
        <v>45000000</v>
      </c>
      <c r="L24" s="272">
        <v>45000000</v>
      </c>
      <c r="M24" s="272">
        <f>45000000*70%</f>
        <v>31499999.999999996</v>
      </c>
      <c r="N24" s="272">
        <v>75000000</v>
      </c>
      <c r="O24" s="272">
        <v>85000000</v>
      </c>
      <c r="P24" s="336">
        <f t="shared" si="0"/>
        <v>10000000</v>
      </c>
    </row>
    <row r="25" spans="1:16" ht="29.1" customHeight="1">
      <c r="A25" s="272" t="s">
        <v>283</v>
      </c>
      <c r="B25" s="272" t="s">
        <v>156</v>
      </c>
      <c r="C25" s="272">
        <v>4000000</v>
      </c>
      <c r="D25" s="272">
        <v>0</v>
      </c>
      <c r="E25" s="272">
        <v>0</v>
      </c>
      <c r="F25" s="272">
        <v>0</v>
      </c>
      <c r="G25" s="272">
        <v>0</v>
      </c>
      <c r="H25" s="272">
        <v>20000000</v>
      </c>
      <c r="I25" s="272">
        <v>14896000</v>
      </c>
      <c r="J25" s="272">
        <v>25000000</v>
      </c>
      <c r="K25" s="272">
        <v>30000000</v>
      </c>
      <c r="L25" s="272">
        <v>30000000</v>
      </c>
      <c r="M25" s="272">
        <f>30000000*70%</f>
        <v>21000000</v>
      </c>
      <c r="N25" s="272">
        <v>10000000</v>
      </c>
      <c r="O25" s="272">
        <v>30000000</v>
      </c>
      <c r="P25" s="336">
        <f t="shared" si="0"/>
        <v>20000000</v>
      </c>
    </row>
    <row r="26" spans="1:16" ht="29.1" customHeight="1">
      <c r="A26" s="284" t="s">
        <v>316</v>
      </c>
      <c r="B26" s="358" t="s">
        <v>762</v>
      </c>
      <c r="C26" s="359"/>
      <c r="D26" s="359"/>
      <c r="E26" s="359"/>
      <c r="F26" s="359"/>
      <c r="G26" s="359"/>
      <c r="H26" s="359"/>
      <c r="I26" s="359"/>
      <c r="J26" s="359"/>
      <c r="K26" s="358">
        <v>9622278136</v>
      </c>
      <c r="L26" s="360">
        <v>9622278136</v>
      </c>
      <c r="M26" s="360">
        <v>11364120000</v>
      </c>
      <c r="N26" s="360">
        <v>876825380</v>
      </c>
      <c r="O26" s="360">
        <v>1076825380</v>
      </c>
      <c r="P26" s="336">
        <f t="shared" si="0"/>
        <v>200000000</v>
      </c>
    </row>
    <row r="27" spans="1:16" ht="29.1" customHeight="1" thickBot="1">
      <c r="A27" s="272" t="s">
        <v>616</v>
      </c>
      <c r="B27" s="286" t="s">
        <v>315</v>
      </c>
      <c r="C27" s="288">
        <v>4000000</v>
      </c>
      <c r="D27" s="288">
        <v>0</v>
      </c>
      <c r="E27" s="288">
        <v>0</v>
      </c>
      <c r="F27" s="288">
        <v>0</v>
      </c>
      <c r="G27" s="288">
        <v>0</v>
      </c>
      <c r="H27" s="288">
        <v>30000000</v>
      </c>
      <c r="I27" s="288">
        <v>22344000</v>
      </c>
      <c r="J27" s="289">
        <v>22344000</v>
      </c>
      <c r="K27" s="286">
        <v>40000000</v>
      </c>
      <c r="L27" s="290">
        <v>40000000</v>
      </c>
      <c r="M27" s="290">
        <f>611180000*70%</f>
        <v>427826000</v>
      </c>
      <c r="N27" s="290">
        <v>3000000</v>
      </c>
      <c r="O27" s="290">
        <v>10000000</v>
      </c>
      <c r="P27" s="336">
        <f t="shared" si="0"/>
        <v>7000000</v>
      </c>
    </row>
    <row r="28" spans="1:16" ht="29.1" customHeight="1">
      <c r="A28" s="272" t="s">
        <v>430</v>
      </c>
      <c r="B28" s="286" t="s">
        <v>451</v>
      </c>
      <c r="C28" s="287"/>
      <c r="D28" s="287"/>
      <c r="E28" s="287"/>
      <c r="F28" s="287"/>
      <c r="G28" s="287"/>
      <c r="H28" s="287"/>
      <c r="I28" s="287"/>
      <c r="J28" s="287"/>
      <c r="K28" s="277"/>
      <c r="L28" s="277">
        <v>65000000</v>
      </c>
      <c r="M28" s="277">
        <f>65000000*70%</f>
        <v>45500000</v>
      </c>
      <c r="N28" s="277">
        <v>90000000</v>
      </c>
      <c r="O28" s="277">
        <v>100000000</v>
      </c>
      <c r="P28" s="336">
        <f t="shared" si="0"/>
        <v>10000000</v>
      </c>
    </row>
    <row r="29" spans="1:16" ht="29.1" customHeight="1">
      <c r="A29" s="272"/>
      <c r="B29" s="291" t="s">
        <v>119</v>
      </c>
      <c r="C29" s="287"/>
      <c r="D29" s="287"/>
      <c r="E29" s="287"/>
      <c r="F29" s="287"/>
      <c r="G29" s="287"/>
      <c r="H29" s="287"/>
      <c r="I29" s="287"/>
      <c r="J29" s="287"/>
      <c r="K29" s="276">
        <f ca="1">SUM(K23:K40)</f>
        <v>10267278136</v>
      </c>
      <c r="L29" s="276">
        <f>SUM(L22:L28)</f>
        <v>10302278136</v>
      </c>
      <c r="M29" s="276">
        <f>SUM(M22:M28)</f>
        <v>12979476000</v>
      </c>
      <c r="N29" s="276">
        <f>SUM(N22:N28)</f>
        <v>1594825380</v>
      </c>
      <c r="O29" s="276">
        <f>SUM(O22:O28)</f>
        <v>1841825380</v>
      </c>
      <c r="P29" s="361">
        <f t="shared" si="0"/>
        <v>247000000</v>
      </c>
    </row>
    <row r="30" spans="1:16" ht="29.1" customHeight="1">
      <c r="A30" s="265" t="s">
        <v>285</v>
      </c>
      <c r="B30" s="291" t="s">
        <v>158</v>
      </c>
      <c r="C30" s="287"/>
      <c r="D30" s="287"/>
      <c r="E30" s="287"/>
      <c r="F30" s="287"/>
      <c r="G30" s="287"/>
      <c r="H30" s="287"/>
      <c r="I30" s="287"/>
      <c r="J30" s="287"/>
      <c r="K30" s="277"/>
      <c r="L30" s="277"/>
      <c r="M30" s="277"/>
      <c r="N30" s="277"/>
      <c r="O30" s="277"/>
      <c r="P30" s="336">
        <f t="shared" si="0"/>
        <v>0</v>
      </c>
    </row>
    <row r="31" spans="1:16" ht="29.1" customHeight="1">
      <c r="A31" s="272" t="s">
        <v>286</v>
      </c>
      <c r="B31" s="286" t="s">
        <v>55</v>
      </c>
      <c r="C31" s="287"/>
      <c r="D31" s="287"/>
      <c r="E31" s="287"/>
      <c r="F31" s="287"/>
      <c r="G31" s="287"/>
      <c r="H31" s="287"/>
      <c r="I31" s="287"/>
      <c r="J31" s="287"/>
      <c r="K31" s="277">
        <v>100000000</v>
      </c>
      <c r="L31" s="277">
        <v>100000000</v>
      </c>
      <c r="M31" s="277">
        <f>135000000*70%+103596470</f>
        <v>198096470</v>
      </c>
      <c r="N31" s="277">
        <v>250000000</v>
      </c>
      <c r="O31" s="277">
        <v>300000000</v>
      </c>
      <c r="P31" s="336">
        <f t="shared" si="0"/>
        <v>50000000</v>
      </c>
    </row>
    <row r="32" spans="1:16" ht="29.1" customHeight="1">
      <c r="A32" s="272" t="s">
        <v>288</v>
      </c>
      <c r="B32" s="286" t="s">
        <v>287</v>
      </c>
      <c r="C32" s="287"/>
      <c r="D32" s="287"/>
      <c r="E32" s="287"/>
      <c r="F32" s="287"/>
      <c r="G32" s="287"/>
      <c r="H32" s="287"/>
      <c r="I32" s="287"/>
      <c r="J32" s="287"/>
      <c r="K32" s="277">
        <v>15000000</v>
      </c>
      <c r="L32" s="277">
        <v>15000000</v>
      </c>
      <c r="M32" s="277">
        <f>15000000*70%</f>
        <v>10500000</v>
      </c>
      <c r="N32" s="277">
        <v>10000000</v>
      </c>
      <c r="O32" s="277">
        <v>15000000</v>
      </c>
      <c r="P32" s="336">
        <f t="shared" si="0"/>
        <v>5000000</v>
      </c>
    </row>
    <row r="33" spans="1:16" ht="29.1" customHeight="1">
      <c r="A33" s="272" t="s">
        <v>766</v>
      </c>
      <c r="B33" s="286" t="s">
        <v>1202</v>
      </c>
      <c r="C33" s="287"/>
      <c r="D33" s="287"/>
      <c r="E33" s="287"/>
      <c r="F33" s="287"/>
      <c r="G33" s="287"/>
      <c r="H33" s="287"/>
      <c r="I33" s="287"/>
      <c r="J33" s="287"/>
      <c r="K33" s="277"/>
      <c r="L33" s="277"/>
      <c r="M33" s="277"/>
      <c r="N33" s="277">
        <v>10000000</v>
      </c>
      <c r="O33" s="277">
        <f>N33</f>
        <v>10000000</v>
      </c>
      <c r="P33" s="336">
        <f t="shared" si="0"/>
        <v>0</v>
      </c>
    </row>
    <row r="34" spans="1:16" ht="29.1" customHeight="1">
      <c r="A34" s="272"/>
      <c r="B34" s="291" t="s">
        <v>119</v>
      </c>
      <c r="C34" s="287"/>
      <c r="D34" s="287"/>
      <c r="E34" s="287"/>
      <c r="F34" s="287"/>
      <c r="G34" s="287"/>
      <c r="H34" s="287"/>
      <c r="I34" s="287"/>
      <c r="J34" s="287"/>
      <c r="K34" s="276">
        <f>SUM(K31:K32)</f>
        <v>115000000</v>
      </c>
      <c r="L34" s="276">
        <f>SUM(L31:L32)</f>
        <v>115000000</v>
      </c>
      <c r="M34" s="276">
        <f>SUM(M31:M32)</f>
        <v>208596470</v>
      </c>
      <c r="N34" s="276">
        <f>SUM(N31:N33)</f>
        <v>270000000</v>
      </c>
      <c r="O34" s="276">
        <f>SUM(O31:O33)</f>
        <v>325000000</v>
      </c>
      <c r="P34" s="361">
        <f t="shared" si="0"/>
        <v>55000000</v>
      </c>
    </row>
    <row r="35" spans="1:16" ht="29.1" customHeight="1">
      <c r="A35" s="265" t="s">
        <v>293</v>
      </c>
      <c r="B35" s="291" t="s">
        <v>292</v>
      </c>
      <c r="C35" s="287"/>
      <c r="D35" s="287"/>
      <c r="E35" s="287"/>
      <c r="F35" s="287"/>
      <c r="G35" s="287"/>
      <c r="H35" s="287"/>
      <c r="I35" s="287"/>
      <c r="J35" s="287"/>
      <c r="K35" s="277"/>
      <c r="L35" s="277"/>
      <c r="M35" s="277"/>
      <c r="N35" s="277"/>
      <c r="O35" s="277"/>
      <c r="P35" s="336">
        <f t="shared" si="0"/>
        <v>0</v>
      </c>
    </row>
    <row r="36" spans="1:16" ht="29.1" customHeight="1">
      <c r="A36" s="265" t="s">
        <v>294</v>
      </c>
      <c r="B36" s="291" t="s">
        <v>291</v>
      </c>
      <c r="C36" s="287"/>
      <c r="D36" s="287"/>
      <c r="E36" s="287"/>
      <c r="F36" s="287"/>
      <c r="G36" s="287"/>
      <c r="H36" s="287"/>
      <c r="I36" s="287"/>
      <c r="J36" s="287"/>
      <c r="K36" s="277"/>
      <c r="L36" s="277"/>
      <c r="M36" s="277"/>
      <c r="N36" s="277"/>
      <c r="O36" s="277"/>
      <c r="P36" s="336">
        <f t="shared" si="0"/>
        <v>0</v>
      </c>
    </row>
    <row r="37" spans="1:16" ht="29.1" customHeight="1">
      <c r="A37" s="272" t="s">
        <v>499</v>
      </c>
      <c r="B37" s="286" t="s">
        <v>307</v>
      </c>
      <c r="C37" s="287"/>
      <c r="D37" s="287"/>
      <c r="E37" s="287"/>
      <c r="F37" s="287"/>
      <c r="G37" s="287"/>
      <c r="H37" s="287"/>
      <c r="I37" s="287"/>
      <c r="J37" s="287"/>
      <c r="K37" s="277">
        <v>30000000</v>
      </c>
      <c r="L37" s="277">
        <v>0</v>
      </c>
      <c r="M37" s="277">
        <v>0</v>
      </c>
      <c r="N37" s="272">
        <v>20000000</v>
      </c>
      <c r="O37" s="272">
        <f>N37</f>
        <v>20000000</v>
      </c>
      <c r="P37" s="336">
        <f t="shared" si="0"/>
        <v>0</v>
      </c>
    </row>
    <row r="38" spans="1:16" ht="29.1" customHeight="1">
      <c r="A38" s="272" t="s">
        <v>567</v>
      </c>
      <c r="B38" s="286" t="s">
        <v>309</v>
      </c>
      <c r="C38" s="287"/>
      <c r="D38" s="287"/>
      <c r="E38" s="287"/>
      <c r="F38" s="287"/>
      <c r="G38" s="287"/>
      <c r="H38" s="287"/>
      <c r="I38" s="287"/>
      <c r="J38" s="287"/>
      <c r="K38" s="277"/>
      <c r="L38" s="277">
        <v>0</v>
      </c>
      <c r="M38" s="277">
        <v>264000000</v>
      </c>
      <c r="N38" s="272">
        <v>0</v>
      </c>
      <c r="O38" s="272">
        <v>150000000</v>
      </c>
      <c r="P38" s="336">
        <f t="shared" si="0"/>
        <v>150000000</v>
      </c>
    </row>
    <row r="39" spans="1:16" ht="29.1" customHeight="1">
      <c r="A39" s="272" t="s">
        <v>295</v>
      </c>
      <c r="B39" s="286" t="s">
        <v>176</v>
      </c>
      <c r="C39" s="287"/>
      <c r="D39" s="287"/>
      <c r="E39" s="287"/>
      <c r="F39" s="287"/>
      <c r="G39" s="287"/>
      <c r="H39" s="287"/>
      <c r="I39" s="287"/>
      <c r="J39" s="287"/>
      <c r="K39" s="277"/>
      <c r="L39" s="277">
        <v>30000000</v>
      </c>
      <c r="M39" s="277">
        <f>30000000*70%</f>
        <v>21000000</v>
      </c>
      <c r="N39" s="272">
        <v>10000000</v>
      </c>
      <c r="O39" s="272">
        <f>N39</f>
        <v>10000000</v>
      </c>
      <c r="P39" s="336">
        <f t="shared" si="0"/>
        <v>0</v>
      </c>
    </row>
    <row r="40" spans="1:16" ht="29.1" customHeight="1">
      <c r="A40" s="272" t="s">
        <v>296</v>
      </c>
      <c r="B40" s="286" t="s">
        <v>177</v>
      </c>
      <c r="C40" s="287"/>
      <c r="D40" s="287"/>
      <c r="E40" s="287"/>
      <c r="F40" s="287"/>
      <c r="G40" s="287"/>
      <c r="H40" s="287"/>
      <c r="I40" s="287"/>
      <c r="J40" s="287"/>
      <c r="K40" s="277">
        <v>15000000</v>
      </c>
      <c r="L40" s="277">
        <v>15000000</v>
      </c>
      <c r="M40" s="277">
        <f>15000000*70%</f>
        <v>10500000</v>
      </c>
      <c r="N40" s="272">
        <v>0</v>
      </c>
      <c r="O40" s="272">
        <v>0</v>
      </c>
      <c r="P40" s="336">
        <f t="shared" si="0"/>
        <v>0</v>
      </c>
    </row>
    <row r="41" spans="1:16" ht="29.1" customHeight="1">
      <c r="A41" s="272"/>
      <c r="B41" s="291" t="s">
        <v>119</v>
      </c>
      <c r="C41" s="287"/>
      <c r="D41" s="287"/>
      <c r="E41" s="287"/>
      <c r="F41" s="287"/>
      <c r="G41" s="287"/>
      <c r="H41" s="287"/>
      <c r="I41" s="287"/>
      <c r="J41" s="287"/>
      <c r="K41" s="276">
        <f>SUM(K37:K40)</f>
        <v>45000000</v>
      </c>
      <c r="L41" s="276">
        <f>SUM(L38:L40)</f>
        <v>45000000</v>
      </c>
      <c r="M41" s="276">
        <f>SUM(M37:M40)</f>
        <v>295500000</v>
      </c>
      <c r="N41" s="265">
        <f>SUM(N37:N40)</f>
        <v>30000000</v>
      </c>
      <c r="O41" s="265">
        <f>SUM(O37:O40)</f>
        <v>180000000</v>
      </c>
      <c r="P41" s="361">
        <f t="shared" si="0"/>
        <v>150000000</v>
      </c>
    </row>
    <row r="42" spans="1:16" ht="29.1" customHeight="1">
      <c r="A42" s="272"/>
      <c r="B42" s="291" t="s">
        <v>42</v>
      </c>
      <c r="C42" s="287"/>
      <c r="D42" s="287"/>
      <c r="E42" s="287"/>
      <c r="F42" s="287"/>
      <c r="G42" s="287"/>
      <c r="H42" s="287"/>
      <c r="I42" s="287"/>
      <c r="J42" s="287"/>
      <c r="K42" s="276">
        <f ca="1">K41+K34+K29+K20+K6</f>
        <v>17301838836</v>
      </c>
      <c r="L42" s="276" t="e">
        <f>L41+L34+L29+L20+L6+#REF!</f>
        <v>#REF!</v>
      </c>
      <c r="M42" s="276">
        <f>M41+M34+M29+M20+M6</f>
        <v>28561928370</v>
      </c>
      <c r="N42" s="265">
        <f>N41+N34+N29+N20+N6</f>
        <v>5900000000</v>
      </c>
      <c r="O42" s="265">
        <f>O41+O34+O29+O20+O6</f>
        <v>6943665380</v>
      </c>
      <c r="P42" s="361">
        <f t="shared" si="0"/>
        <v>1043665380</v>
      </c>
    </row>
  </sheetData>
  <pageMargins left="0.7" right="0.7" top="0.75" bottom="0.75" header="0.3" footer="0.3"/>
  <pageSetup scale="55" orientation="portrait" r:id="rId1"/>
  <headerFooter>
    <oddHeader>&amp;C&amp;"Times New Roman,Bold"&amp;36 8C Hay'adda Sirdoonka Qaranka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60" zoomScaleNormal="90" workbookViewId="0">
      <selection activeCell="U36" sqref="U36"/>
    </sheetView>
  </sheetViews>
  <sheetFormatPr defaultRowHeight="12.75"/>
  <cols>
    <col min="1" max="1" width="18.1640625" bestFit="1" customWidth="1"/>
    <col min="2" max="2" width="77.6640625" bestFit="1" customWidth="1"/>
    <col min="3" max="4" width="9.33203125" hidden="1" customWidth="1"/>
    <col min="5" max="5" width="22.33203125" hidden="1" customWidth="1"/>
    <col min="6" max="6" width="24.33203125" hidden="1" customWidth="1"/>
    <col min="7" max="15" width="9.33203125" hidden="1" customWidth="1"/>
    <col min="16" max="16" width="24.5" bestFit="1" customWidth="1"/>
    <col min="17" max="17" width="34" style="85" bestFit="1" customWidth="1"/>
    <col min="18" max="18" width="24.5" bestFit="1" customWidth="1"/>
  </cols>
  <sheetData>
    <row r="1" spans="1:18" ht="30" customHeight="1">
      <c r="A1" s="266" t="s">
        <v>45</v>
      </c>
      <c r="B1" s="285" t="s">
        <v>1210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5"/>
      <c r="R1" s="265"/>
    </row>
    <row r="2" spans="1:18" ht="30" customHeight="1">
      <c r="A2" s="265" t="s">
        <v>248</v>
      </c>
      <c r="B2" s="265" t="s">
        <v>165</v>
      </c>
      <c r="C2" s="266" t="s">
        <v>43</v>
      </c>
      <c r="D2" s="269" t="s">
        <v>2</v>
      </c>
      <c r="E2" s="269" t="s">
        <v>48</v>
      </c>
      <c r="F2" s="269" t="s">
        <v>52</v>
      </c>
      <c r="G2" s="269" t="s">
        <v>62</v>
      </c>
      <c r="H2" s="269" t="s">
        <v>69</v>
      </c>
      <c r="I2" s="269" t="s">
        <v>130</v>
      </c>
      <c r="J2" s="269" t="s">
        <v>135</v>
      </c>
      <c r="K2" s="269" t="s">
        <v>143</v>
      </c>
      <c r="L2" s="269" t="s">
        <v>180</v>
      </c>
      <c r="M2" s="269" t="s">
        <v>297</v>
      </c>
      <c r="N2" s="269" t="s">
        <v>641</v>
      </c>
      <c r="O2" s="269" t="s">
        <v>644</v>
      </c>
      <c r="P2" s="269" t="s">
        <v>644</v>
      </c>
      <c r="Q2" s="268" t="s">
        <v>1103</v>
      </c>
      <c r="R2" s="268" t="s">
        <v>63</v>
      </c>
    </row>
    <row r="3" spans="1:18" ht="30" customHeight="1">
      <c r="A3" s="265" t="s">
        <v>249</v>
      </c>
      <c r="B3" s="265" t="s">
        <v>250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72"/>
      <c r="R3" s="272"/>
    </row>
    <row r="4" spans="1:18" ht="30" customHeight="1">
      <c r="A4" s="272" t="s">
        <v>247</v>
      </c>
      <c r="B4" s="272" t="s">
        <v>32</v>
      </c>
      <c r="C4" s="267"/>
      <c r="D4" s="267"/>
      <c r="E4" s="267"/>
      <c r="F4" s="267"/>
      <c r="G4" s="267"/>
      <c r="H4" s="267"/>
      <c r="I4" s="277">
        <v>321389200</v>
      </c>
      <c r="J4" s="297">
        <f>348925200+54000000+6000000</f>
        <v>408925200</v>
      </c>
      <c r="K4" s="297">
        <f>408925200+12000000+4149600+936000-936000+1887600</f>
        <v>426962400</v>
      </c>
      <c r="L4" s="297">
        <v>731890800</v>
      </c>
      <c r="M4" s="297">
        <f>'shaq,3'!H30+36000000+64740000</f>
        <v>1238292000</v>
      </c>
      <c r="N4" s="297">
        <v>1285471200</v>
      </c>
      <c r="O4" s="301">
        <v>0</v>
      </c>
      <c r="P4" s="273">
        <v>400000000</v>
      </c>
      <c r="Q4" s="273">
        <v>400000000</v>
      </c>
      <c r="R4" s="273">
        <f>Q4-P4</f>
        <v>0</v>
      </c>
    </row>
    <row r="5" spans="1:18" ht="30" customHeight="1">
      <c r="A5" s="272" t="s">
        <v>251</v>
      </c>
      <c r="B5" s="272" t="s">
        <v>33</v>
      </c>
      <c r="C5" s="272">
        <v>7553000</v>
      </c>
      <c r="D5" s="272">
        <v>0</v>
      </c>
      <c r="E5" s="272">
        <v>0</v>
      </c>
      <c r="F5" s="272">
        <v>45000000</v>
      </c>
      <c r="G5" s="272">
        <f>F5</f>
        <v>45000000</v>
      </c>
      <c r="H5" s="272">
        <v>45000000</v>
      </c>
      <c r="I5" s="272">
        <v>0</v>
      </c>
      <c r="J5" s="273">
        <v>0</v>
      </c>
      <c r="K5" s="273">
        <v>0</v>
      </c>
      <c r="L5" s="273">
        <v>45000000</v>
      </c>
      <c r="M5" s="273">
        <f>L5*200%</f>
        <v>90000000</v>
      </c>
      <c r="N5" s="273">
        <v>187200000</v>
      </c>
      <c r="O5" s="273">
        <v>0</v>
      </c>
      <c r="P5" s="273">
        <v>0</v>
      </c>
      <c r="Q5" s="273">
        <v>100000000</v>
      </c>
      <c r="R5" s="273">
        <f t="shared" ref="R5:R42" si="0">Q5-P5</f>
        <v>100000000</v>
      </c>
    </row>
    <row r="6" spans="1:18" ht="30" customHeight="1">
      <c r="A6" s="272" t="s">
        <v>252</v>
      </c>
      <c r="B6" s="272" t="s">
        <v>34</v>
      </c>
      <c r="C6" s="272">
        <v>8400000</v>
      </c>
      <c r="D6" s="272">
        <v>10800000</v>
      </c>
      <c r="E6" s="272">
        <v>10800000</v>
      </c>
      <c r="F6" s="272">
        <v>21600000</v>
      </c>
      <c r="G6" s="272">
        <v>33288000</v>
      </c>
      <c r="H6" s="272">
        <v>33288000</v>
      </c>
      <c r="I6" s="272">
        <v>32400000</v>
      </c>
      <c r="J6" s="273">
        <f>30888000+32400000+1440000</f>
        <v>64728000</v>
      </c>
      <c r="K6" s="273">
        <f>64728000+1440000+7920000</f>
        <v>74088000</v>
      </c>
      <c r="L6" s="273">
        <v>166968000</v>
      </c>
      <c r="M6" s="273">
        <v>166968000</v>
      </c>
      <c r="N6" s="273">
        <v>231768000</v>
      </c>
      <c r="O6" s="273">
        <v>0</v>
      </c>
      <c r="P6" s="273">
        <v>0</v>
      </c>
      <c r="Q6" s="273">
        <v>0</v>
      </c>
      <c r="R6" s="273">
        <f t="shared" si="0"/>
        <v>0</v>
      </c>
    </row>
    <row r="7" spans="1:18" ht="30" customHeight="1">
      <c r="A7" s="272" t="s">
        <v>676</v>
      </c>
      <c r="B7" s="272" t="s">
        <v>775</v>
      </c>
      <c r="C7" s="272"/>
      <c r="D7" s="272"/>
      <c r="E7" s="272"/>
      <c r="F7" s="272"/>
      <c r="G7" s="272"/>
      <c r="H7" s="272"/>
      <c r="I7" s="272"/>
      <c r="J7" s="273"/>
      <c r="K7" s="273"/>
      <c r="L7" s="273"/>
      <c r="M7" s="273">
        <v>834000000</v>
      </c>
      <c r="N7" s="273">
        <f>M7</f>
        <v>834000000</v>
      </c>
      <c r="O7" s="273">
        <v>0</v>
      </c>
      <c r="P7" s="273">
        <v>0</v>
      </c>
      <c r="Q7" s="273">
        <v>0</v>
      </c>
      <c r="R7" s="273">
        <f t="shared" si="0"/>
        <v>0</v>
      </c>
    </row>
    <row r="8" spans="1:18" ht="30" customHeight="1">
      <c r="A8" s="272"/>
      <c r="B8" s="265" t="s">
        <v>119</v>
      </c>
      <c r="C8" s="272">
        <v>32399990</v>
      </c>
      <c r="D8" s="272">
        <v>2895816</v>
      </c>
      <c r="E8" s="272">
        <v>2895816</v>
      </c>
      <c r="F8" s="272">
        <v>6655816</v>
      </c>
      <c r="G8" s="272">
        <v>59200000</v>
      </c>
      <c r="H8" s="272">
        <v>74000000</v>
      </c>
      <c r="I8" s="272">
        <v>55115200</v>
      </c>
      <c r="J8" s="273">
        <v>55000000</v>
      </c>
      <c r="K8" s="273">
        <v>39873274</v>
      </c>
      <c r="L8" s="274">
        <f>SUM(L4:L6)</f>
        <v>943858800</v>
      </c>
      <c r="M8" s="274">
        <f>SUM(M3:M7)</f>
        <v>2329260000</v>
      </c>
      <c r="N8" s="274">
        <f>SUM(N4:N7)</f>
        <v>2538439200</v>
      </c>
      <c r="O8" s="274">
        <v>0</v>
      </c>
      <c r="P8" s="274">
        <f>SUM(P4:P7)</f>
        <v>400000000</v>
      </c>
      <c r="Q8" s="274">
        <f>SUM(Q4:Q7)</f>
        <v>500000000</v>
      </c>
      <c r="R8" s="273">
        <f t="shared" si="0"/>
        <v>100000000</v>
      </c>
    </row>
    <row r="9" spans="1:18" ht="30" customHeight="1">
      <c r="A9" s="265" t="s">
        <v>262</v>
      </c>
      <c r="B9" s="265" t="s">
        <v>263</v>
      </c>
      <c r="C9" s="272">
        <v>0</v>
      </c>
      <c r="D9" s="272">
        <v>0</v>
      </c>
      <c r="E9" s="272">
        <v>0</v>
      </c>
      <c r="F9" s="272">
        <v>0</v>
      </c>
      <c r="G9" s="272">
        <v>16000000</v>
      </c>
      <c r="H9" s="272">
        <v>20000000</v>
      </c>
      <c r="I9" s="272">
        <v>14896000</v>
      </c>
      <c r="J9" s="273">
        <v>25000000</v>
      </c>
      <c r="K9" s="273">
        <v>7448000</v>
      </c>
      <c r="L9" s="273"/>
      <c r="M9" s="273"/>
      <c r="N9" s="273"/>
      <c r="O9" s="273">
        <v>0</v>
      </c>
      <c r="P9" s="273"/>
      <c r="Q9" s="273"/>
      <c r="R9" s="273">
        <f t="shared" si="0"/>
        <v>0</v>
      </c>
    </row>
    <row r="10" spans="1:18" ht="30" customHeight="1">
      <c r="A10" s="265" t="s">
        <v>265</v>
      </c>
      <c r="B10" s="265" t="s">
        <v>264</v>
      </c>
      <c r="C10" s="272"/>
      <c r="D10" s="272"/>
      <c r="E10" s="272"/>
      <c r="F10" s="272"/>
      <c r="G10" s="272"/>
      <c r="H10" s="272"/>
      <c r="I10" s="272"/>
      <c r="J10" s="273"/>
      <c r="K10" s="273">
        <v>9682400</v>
      </c>
      <c r="L10" s="273"/>
      <c r="M10" s="273"/>
      <c r="N10" s="273"/>
      <c r="O10" s="273">
        <v>0</v>
      </c>
      <c r="P10" s="273"/>
      <c r="Q10" s="273"/>
      <c r="R10" s="273">
        <f t="shared" si="0"/>
        <v>0</v>
      </c>
    </row>
    <row r="11" spans="1:18" ht="30" customHeight="1">
      <c r="A11" s="272" t="s">
        <v>266</v>
      </c>
      <c r="B11" s="272" t="s">
        <v>38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3">
        <v>0</v>
      </c>
      <c r="K11" s="273">
        <v>14896000</v>
      </c>
      <c r="L11" s="273">
        <v>30906200</v>
      </c>
      <c r="M11" s="273">
        <f>30906200*70%+20000000</f>
        <v>41634340</v>
      </c>
      <c r="N11" s="273">
        <f>30906200*70%+20000000</f>
        <v>41634340</v>
      </c>
      <c r="O11" s="273">
        <v>0</v>
      </c>
      <c r="P11" s="273">
        <v>0</v>
      </c>
      <c r="Q11" s="273">
        <v>0</v>
      </c>
      <c r="R11" s="273">
        <f t="shared" si="0"/>
        <v>0</v>
      </c>
    </row>
    <row r="12" spans="1:18" ht="30" customHeight="1">
      <c r="A12" s="272" t="s">
        <v>269</v>
      </c>
      <c r="B12" s="272" t="s">
        <v>186</v>
      </c>
      <c r="C12" s="272"/>
      <c r="D12" s="272"/>
      <c r="E12" s="272"/>
      <c r="F12" s="272"/>
      <c r="G12" s="272"/>
      <c r="H12" s="272"/>
      <c r="I12" s="272"/>
      <c r="J12" s="273"/>
      <c r="K12" s="273">
        <v>115000000</v>
      </c>
      <c r="L12" s="273">
        <v>118865600</v>
      </c>
      <c r="M12" s="273">
        <f>83205920+20000000</f>
        <v>103205920</v>
      </c>
      <c r="N12" s="273">
        <f>83205920+20000000</f>
        <v>103205920</v>
      </c>
      <c r="O12" s="273">
        <v>0</v>
      </c>
      <c r="P12" s="273">
        <v>0</v>
      </c>
      <c r="Q12" s="273">
        <v>0</v>
      </c>
      <c r="R12" s="273">
        <f t="shared" si="0"/>
        <v>0</v>
      </c>
    </row>
    <row r="13" spans="1:18" ht="30" customHeight="1">
      <c r="A13" s="272" t="s">
        <v>270</v>
      </c>
      <c r="B13" s="272" t="s">
        <v>163</v>
      </c>
      <c r="C13" s="272">
        <v>0</v>
      </c>
      <c r="D13" s="272">
        <v>0</v>
      </c>
      <c r="E13" s="272">
        <v>0</v>
      </c>
      <c r="F13" s="272">
        <v>0</v>
      </c>
      <c r="G13" s="272">
        <v>0</v>
      </c>
      <c r="H13" s="272">
        <v>20000000</v>
      </c>
      <c r="I13" s="272">
        <v>0</v>
      </c>
      <c r="J13" s="273">
        <v>20000000</v>
      </c>
      <c r="K13" s="273">
        <v>0</v>
      </c>
      <c r="L13" s="273">
        <v>11954040</v>
      </c>
      <c r="M13" s="273">
        <f>11954040*70%</f>
        <v>8367827.9999999991</v>
      </c>
      <c r="N13" s="273">
        <f>11954040*70%</f>
        <v>8367827.9999999991</v>
      </c>
      <c r="O13" s="273">
        <v>0</v>
      </c>
      <c r="P13" s="273">
        <v>0</v>
      </c>
      <c r="Q13" s="273">
        <v>0</v>
      </c>
      <c r="R13" s="273">
        <f t="shared" si="0"/>
        <v>0</v>
      </c>
    </row>
    <row r="14" spans="1:18" ht="30" customHeight="1">
      <c r="A14" s="272" t="s">
        <v>271</v>
      </c>
      <c r="B14" s="272" t="s">
        <v>154</v>
      </c>
      <c r="C14" s="272"/>
      <c r="D14" s="272">
        <v>0</v>
      </c>
      <c r="E14" s="272">
        <v>0</v>
      </c>
      <c r="F14" s="272">
        <v>22500000</v>
      </c>
      <c r="G14" s="272">
        <v>0</v>
      </c>
      <c r="H14" s="272">
        <v>40000000</v>
      </c>
      <c r="I14" s="272">
        <v>0</v>
      </c>
      <c r="J14" s="273">
        <v>0</v>
      </c>
      <c r="K14" s="273">
        <v>0</v>
      </c>
      <c r="L14" s="273">
        <v>12289200</v>
      </c>
      <c r="M14" s="273">
        <f>12289200*70%+15000000</f>
        <v>23602440</v>
      </c>
      <c r="N14" s="273">
        <v>0</v>
      </c>
      <c r="O14" s="273">
        <v>0</v>
      </c>
      <c r="P14" s="273">
        <v>0</v>
      </c>
      <c r="Q14" s="273">
        <v>100000000</v>
      </c>
      <c r="R14" s="273">
        <f t="shared" si="0"/>
        <v>100000000</v>
      </c>
    </row>
    <row r="15" spans="1:18" ht="30" customHeight="1">
      <c r="A15" s="272" t="s">
        <v>272</v>
      </c>
      <c r="B15" s="272" t="s">
        <v>54</v>
      </c>
      <c r="C15" s="272"/>
      <c r="D15" s="272"/>
      <c r="E15" s="272"/>
      <c r="F15" s="272"/>
      <c r="G15" s="272"/>
      <c r="H15" s="272"/>
      <c r="I15" s="272"/>
      <c r="J15" s="273"/>
      <c r="K15" s="273">
        <v>5958400</v>
      </c>
      <c r="L15" s="273">
        <v>60716400</v>
      </c>
      <c r="M15" s="273">
        <f>42501480+10000000</f>
        <v>52501480</v>
      </c>
      <c r="N15" s="273">
        <f>M15*70%</f>
        <v>36751036</v>
      </c>
      <c r="O15" s="273">
        <v>0</v>
      </c>
      <c r="P15" s="273">
        <v>0</v>
      </c>
      <c r="Q15" s="273">
        <v>200000000</v>
      </c>
      <c r="R15" s="273">
        <f t="shared" si="0"/>
        <v>200000000</v>
      </c>
    </row>
    <row r="16" spans="1:18" ht="30" customHeight="1">
      <c r="A16" s="272" t="s">
        <v>274</v>
      </c>
      <c r="B16" s="272" t="s">
        <v>164</v>
      </c>
      <c r="C16" s="272">
        <v>0</v>
      </c>
      <c r="D16" s="272">
        <v>0</v>
      </c>
      <c r="E16" s="272">
        <v>0</v>
      </c>
      <c r="F16" s="272">
        <v>0</v>
      </c>
      <c r="G16" s="272">
        <v>2400000</v>
      </c>
      <c r="H16" s="272">
        <v>3000000</v>
      </c>
      <c r="I16" s="272">
        <v>1862000</v>
      </c>
      <c r="J16" s="273">
        <v>1862000</v>
      </c>
      <c r="K16" s="274">
        <f>SUM(K8:K15)</f>
        <v>192858074</v>
      </c>
      <c r="L16" s="273">
        <v>42492900</v>
      </c>
      <c r="M16" s="273">
        <f>42492900*70%+30000000</f>
        <v>59745030</v>
      </c>
      <c r="N16" s="273">
        <f>42492900*70%+30000000</f>
        <v>59745030</v>
      </c>
      <c r="O16" s="273">
        <v>0</v>
      </c>
      <c r="P16" s="273">
        <v>0</v>
      </c>
      <c r="Q16" s="273">
        <v>0</v>
      </c>
      <c r="R16" s="273">
        <f t="shared" si="0"/>
        <v>0</v>
      </c>
    </row>
    <row r="17" spans="1:18" ht="30" customHeight="1">
      <c r="A17" s="272" t="s">
        <v>275</v>
      </c>
      <c r="B17" s="272" t="s">
        <v>40</v>
      </c>
      <c r="C17" s="265">
        <f>SUM(C13:C16)</f>
        <v>0</v>
      </c>
      <c r="D17" s="265">
        <f>SUM(D13:D16)</f>
        <v>0</v>
      </c>
      <c r="E17" s="265">
        <v>0</v>
      </c>
      <c r="F17" s="265">
        <f>SUM(F13:F16)</f>
        <v>22500000</v>
      </c>
      <c r="G17" s="265">
        <f>SUM(G13:G16)</f>
        <v>2400000</v>
      </c>
      <c r="H17" s="265">
        <f>SUM(H13:H16)</f>
        <v>63000000</v>
      </c>
      <c r="I17" s="265">
        <f>SUM(I13:I16)</f>
        <v>1862000</v>
      </c>
      <c r="J17" s="274">
        <f>SUM(J13:J16)</f>
        <v>21862000</v>
      </c>
      <c r="K17" s="274"/>
      <c r="L17" s="273">
        <v>51971600</v>
      </c>
      <c r="M17" s="273">
        <f>36380120+5000000</f>
        <v>41380120</v>
      </c>
      <c r="N17" s="273">
        <f>36380120+5000000</f>
        <v>41380120</v>
      </c>
      <c r="O17" s="273">
        <v>0</v>
      </c>
      <c r="P17" s="273">
        <v>0</v>
      </c>
      <c r="Q17" s="273">
        <v>0</v>
      </c>
      <c r="R17" s="273">
        <f t="shared" si="0"/>
        <v>0</v>
      </c>
    </row>
    <row r="18" spans="1:18" ht="30" customHeight="1">
      <c r="A18" s="272" t="s">
        <v>277</v>
      </c>
      <c r="B18" s="272" t="s">
        <v>218</v>
      </c>
      <c r="C18" s="272"/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3">
        <v>0</v>
      </c>
      <c r="K18" s="273">
        <v>28488600</v>
      </c>
      <c r="L18" s="273">
        <f>309000000+18372000</f>
        <v>327372000</v>
      </c>
      <c r="M18" s="273">
        <f>327372000*70%</f>
        <v>229160400</v>
      </c>
      <c r="N18" s="273">
        <v>0</v>
      </c>
      <c r="O18" s="273">
        <v>0</v>
      </c>
      <c r="P18" s="273">
        <v>0</v>
      </c>
      <c r="Q18" s="273">
        <v>0</v>
      </c>
      <c r="R18" s="273">
        <f t="shared" si="0"/>
        <v>0</v>
      </c>
    </row>
    <row r="19" spans="1:18" ht="30" customHeight="1">
      <c r="A19" s="265"/>
      <c r="B19" s="265" t="s">
        <v>119</v>
      </c>
      <c r="C19" s="272"/>
      <c r="D19" s="272"/>
      <c r="E19" s="272"/>
      <c r="F19" s="272">
        <v>100000000</v>
      </c>
      <c r="G19" s="272">
        <v>0</v>
      </c>
      <c r="H19" s="272">
        <v>0</v>
      </c>
      <c r="I19" s="272">
        <v>0</v>
      </c>
      <c r="J19" s="273">
        <v>0</v>
      </c>
      <c r="K19" s="274">
        <f>SUM(K18:K18)</f>
        <v>28488600</v>
      </c>
      <c r="L19" s="274">
        <f>SUM(L11:L18)</f>
        <v>656567940</v>
      </c>
      <c r="M19" s="274">
        <f>SUM(M11:M18)</f>
        <v>559597558</v>
      </c>
      <c r="N19" s="274">
        <f>SUM(N11:N18)</f>
        <v>291084274</v>
      </c>
      <c r="O19" s="274">
        <v>0</v>
      </c>
      <c r="P19" s="274">
        <v>0</v>
      </c>
      <c r="Q19" s="274">
        <f>SUM(Q11:Q18)</f>
        <v>300000000</v>
      </c>
      <c r="R19" s="273">
        <f t="shared" si="0"/>
        <v>300000000</v>
      </c>
    </row>
    <row r="20" spans="1:18" ht="30" customHeight="1">
      <c r="A20" s="265" t="s">
        <v>279</v>
      </c>
      <c r="B20" s="265" t="s">
        <v>278</v>
      </c>
      <c r="C20" s="265" t="e">
        <f>SUM(#REF!)</f>
        <v>#REF!</v>
      </c>
      <c r="D20" s="265" t="e">
        <f>SUM(#REF!)</f>
        <v>#REF!</v>
      </c>
      <c r="E20" s="265">
        <f>SUM(E18:E18)</f>
        <v>0</v>
      </c>
      <c r="F20" s="265">
        <f>SUM(F18:F19)</f>
        <v>100000000</v>
      </c>
      <c r="G20" s="265">
        <f>SUM(G18:G19)</f>
        <v>0</v>
      </c>
      <c r="H20" s="265">
        <f>SUM(H18:H19)</f>
        <v>0</v>
      </c>
      <c r="I20" s="265">
        <f>SUM(I18:I19)</f>
        <v>0</v>
      </c>
      <c r="J20" s="274">
        <f>SUM(J18:J19)</f>
        <v>0</v>
      </c>
      <c r="K20" s="274"/>
      <c r="L20" s="274"/>
      <c r="M20" s="274"/>
      <c r="N20" s="274"/>
      <c r="O20" s="274">
        <v>0</v>
      </c>
      <c r="P20" s="274"/>
      <c r="Q20" s="273"/>
      <c r="R20" s="273">
        <f t="shared" si="0"/>
        <v>0</v>
      </c>
    </row>
    <row r="21" spans="1:18" ht="30" customHeight="1">
      <c r="A21" s="282" t="s">
        <v>281</v>
      </c>
      <c r="B21" s="282" t="s">
        <v>161</v>
      </c>
      <c r="C21" s="282">
        <v>4799980</v>
      </c>
      <c r="D21" s="282">
        <v>0</v>
      </c>
      <c r="E21" s="282">
        <v>0</v>
      </c>
      <c r="F21" s="282">
        <v>11800000</v>
      </c>
      <c r="G21" s="282">
        <v>24000000</v>
      </c>
      <c r="H21" s="282">
        <v>30000000</v>
      </c>
      <c r="I21" s="282">
        <v>17875200</v>
      </c>
      <c r="J21" s="332">
        <v>17875200</v>
      </c>
      <c r="K21" s="332">
        <v>0</v>
      </c>
      <c r="L21" s="332">
        <v>431733818</v>
      </c>
      <c r="M21" s="332">
        <f>302213672+98211600</f>
        <v>400425272</v>
      </c>
      <c r="N21" s="332">
        <f>M21</f>
        <v>400425272</v>
      </c>
      <c r="O21" s="332">
        <v>0</v>
      </c>
      <c r="P21" s="332">
        <v>0</v>
      </c>
      <c r="Q21" s="362">
        <v>0</v>
      </c>
      <c r="R21" s="273">
        <f t="shared" si="0"/>
        <v>0</v>
      </c>
    </row>
    <row r="22" spans="1:18" ht="30" customHeight="1">
      <c r="A22" s="272" t="s">
        <v>282</v>
      </c>
      <c r="B22" s="272" t="s">
        <v>155</v>
      </c>
      <c r="C22" s="272">
        <v>0</v>
      </c>
      <c r="D22" s="272">
        <v>0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3">
        <v>0</v>
      </c>
      <c r="K22" s="273">
        <v>0</v>
      </c>
      <c r="L22" s="273">
        <v>59733400</v>
      </c>
      <c r="M22" s="273">
        <f>41813380+5000000</f>
        <v>46813380</v>
      </c>
      <c r="N22" s="273">
        <f>41813380+5000000</f>
        <v>46813380</v>
      </c>
      <c r="O22" s="273">
        <v>0</v>
      </c>
      <c r="P22" s="273">
        <v>0</v>
      </c>
      <c r="Q22" s="273"/>
      <c r="R22" s="273">
        <f t="shared" si="0"/>
        <v>0</v>
      </c>
    </row>
    <row r="23" spans="1:18" ht="30" customHeight="1">
      <c r="A23" s="282" t="s">
        <v>283</v>
      </c>
      <c r="B23" s="282" t="s">
        <v>156</v>
      </c>
      <c r="C23" s="282">
        <v>15436990</v>
      </c>
      <c r="D23" s="282">
        <f>23000000+92-14000000</f>
        <v>9000092</v>
      </c>
      <c r="E23" s="282">
        <v>9000092</v>
      </c>
      <c r="F23" s="282">
        <v>29000092</v>
      </c>
      <c r="G23" s="282">
        <v>35200000</v>
      </c>
      <c r="H23" s="282">
        <v>44000000</v>
      </c>
      <c r="I23" s="282">
        <v>39873274</v>
      </c>
      <c r="J23" s="332">
        <v>49000000</v>
      </c>
      <c r="K23" s="332">
        <v>1862000</v>
      </c>
      <c r="L23" s="332">
        <v>88225200</v>
      </c>
      <c r="M23" s="332">
        <f>88225200*70%+40000000</f>
        <v>101757640</v>
      </c>
      <c r="N23" s="332">
        <f>88225200*70%+40000000</f>
        <v>101757640</v>
      </c>
      <c r="O23" s="332">
        <v>0</v>
      </c>
      <c r="P23" s="332">
        <v>0</v>
      </c>
      <c r="Q23" s="362">
        <v>0</v>
      </c>
      <c r="R23" s="273">
        <f t="shared" si="0"/>
        <v>0</v>
      </c>
    </row>
    <row r="24" spans="1:18" ht="30" customHeight="1">
      <c r="A24" s="282" t="s">
        <v>316</v>
      </c>
      <c r="B24" s="282" t="s">
        <v>703</v>
      </c>
      <c r="C24" s="282"/>
      <c r="D24" s="282"/>
      <c r="E24" s="282"/>
      <c r="F24" s="282"/>
      <c r="G24" s="282"/>
      <c r="H24" s="282"/>
      <c r="I24" s="282"/>
      <c r="J24" s="332"/>
      <c r="K24" s="332"/>
      <c r="L24" s="332">
        <v>54000000</v>
      </c>
      <c r="M24" s="332">
        <f>54000000/3500*6000</f>
        <v>92571428.571428582</v>
      </c>
      <c r="N24" s="332">
        <f>54000000/3500*6000</f>
        <v>92571428.571428582</v>
      </c>
      <c r="O24" s="332">
        <v>0</v>
      </c>
      <c r="P24" s="332">
        <v>0</v>
      </c>
      <c r="Q24" s="362">
        <v>0</v>
      </c>
      <c r="R24" s="273">
        <f t="shared" si="0"/>
        <v>0</v>
      </c>
    </row>
    <row r="25" spans="1:18" ht="30" customHeight="1">
      <c r="A25" s="272"/>
      <c r="B25" s="265" t="s">
        <v>119</v>
      </c>
      <c r="C25" s="272"/>
      <c r="D25" s="272"/>
      <c r="E25" s="272"/>
      <c r="F25" s="272">
        <v>0</v>
      </c>
      <c r="G25" s="272">
        <v>13280000</v>
      </c>
      <c r="H25" s="272">
        <v>16600000</v>
      </c>
      <c r="I25" s="272">
        <v>9682400</v>
      </c>
      <c r="J25" s="273">
        <v>9682400</v>
      </c>
      <c r="K25" s="274">
        <f>SUM(K21:K24)</f>
        <v>1862000</v>
      </c>
      <c r="L25" s="274" t="e">
        <f>#REF!+L23+L22+L21</f>
        <v>#REF!</v>
      </c>
      <c r="M25" s="274">
        <f>SUM(M21:M24)</f>
        <v>641567720.57142854</v>
      </c>
      <c r="N25" s="274">
        <f>SUM(N21:N24)</f>
        <v>641567720.57142854</v>
      </c>
      <c r="O25" s="274">
        <v>0</v>
      </c>
      <c r="P25" s="274">
        <f>SUM(P21:P24)</f>
        <v>0</v>
      </c>
      <c r="Q25" s="274">
        <f>SUM(Q21:Q24)</f>
        <v>0</v>
      </c>
      <c r="R25" s="273">
        <f t="shared" si="0"/>
        <v>0</v>
      </c>
    </row>
    <row r="26" spans="1:18" ht="30" customHeight="1">
      <c r="A26" s="265" t="s">
        <v>285</v>
      </c>
      <c r="B26" s="265" t="s">
        <v>158</v>
      </c>
      <c r="C26" s="272"/>
      <c r="D26" s="272">
        <v>0</v>
      </c>
      <c r="E26" s="272">
        <v>0</v>
      </c>
      <c r="F26" s="272">
        <v>2000000</v>
      </c>
      <c r="G26" s="272">
        <v>16000000</v>
      </c>
      <c r="H26" s="272">
        <v>20000000</v>
      </c>
      <c r="I26" s="272">
        <v>14896000</v>
      </c>
      <c r="J26" s="273">
        <v>20000000</v>
      </c>
      <c r="K26" s="273"/>
      <c r="L26" s="273"/>
      <c r="M26" s="273"/>
      <c r="N26" s="273"/>
      <c r="O26" s="273">
        <v>0</v>
      </c>
      <c r="P26" s="273">
        <v>0</v>
      </c>
      <c r="Q26" s="273">
        <v>0</v>
      </c>
      <c r="R26" s="273">
        <f t="shared" si="0"/>
        <v>0</v>
      </c>
    </row>
    <row r="27" spans="1:18" ht="30" customHeight="1">
      <c r="A27" s="272" t="s">
        <v>286</v>
      </c>
      <c r="B27" s="272" t="s">
        <v>443</v>
      </c>
      <c r="C27" s="272"/>
      <c r="D27" s="272">
        <v>0</v>
      </c>
      <c r="E27" s="272">
        <v>0</v>
      </c>
      <c r="F27" s="272">
        <v>9000200</v>
      </c>
      <c r="G27" s="272">
        <v>18400000</v>
      </c>
      <c r="H27" s="272">
        <v>23000000</v>
      </c>
      <c r="I27" s="272">
        <v>13704320</v>
      </c>
      <c r="J27" s="273">
        <v>13704320</v>
      </c>
      <c r="K27" s="273">
        <v>27588136</v>
      </c>
      <c r="L27" s="273">
        <v>84208136</v>
      </c>
      <c r="M27" s="273">
        <f>58945695*70%+10000000</f>
        <v>51261986.5</v>
      </c>
      <c r="N27" s="273">
        <f>58945695*70%+10000000</f>
        <v>51261986.5</v>
      </c>
      <c r="O27" s="273">
        <v>0</v>
      </c>
      <c r="P27" s="273">
        <v>0</v>
      </c>
      <c r="Q27" s="273">
        <v>0</v>
      </c>
      <c r="R27" s="273">
        <f t="shared" si="0"/>
        <v>0</v>
      </c>
    </row>
    <row r="28" spans="1:18" ht="30" customHeight="1">
      <c r="A28" s="272" t="s">
        <v>288</v>
      </c>
      <c r="B28" s="272" t="s">
        <v>287</v>
      </c>
      <c r="C28" s="272">
        <v>2279995</v>
      </c>
      <c r="D28" s="272">
        <v>2545200</v>
      </c>
      <c r="E28" s="272">
        <v>2545200</v>
      </c>
      <c r="F28" s="272">
        <v>3505200</v>
      </c>
      <c r="G28" s="272">
        <v>9600000</v>
      </c>
      <c r="H28" s="272">
        <v>22000000</v>
      </c>
      <c r="I28" s="272">
        <v>16385600</v>
      </c>
      <c r="J28" s="273">
        <v>16385600</v>
      </c>
      <c r="K28" s="273">
        <v>3724000</v>
      </c>
      <c r="L28" s="273">
        <v>3724000</v>
      </c>
      <c r="M28" s="273">
        <f>3724000*70%</f>
        <v>2606800</v>
      </c>
      <c r="N28" s="273">
        <f>3724000*70%</f>
        <v>2606800</v>
      </c>
      <c r="O28" s="273">
        <v>0</v>
      </c>
      <c r="P28" s="273"/>
      <c r="Q28" s="273">
        <v>0</v>
      </c>
      <c r="R28" s="273">
        <f t="shared" si="0"/>
        <v>0</v>
      </c>
    </row>
    <row r="29" spans="1:18" ht="30" customHeight="1">
      <c r="A29" s="282" t="s">
        <v>596</v>
      </c>
      <c r="B29" s="282" t="s">
        <v>423</v>
      </c>
      <c r="C29" s="282"/>
      <c r="D29" s="282"/>
      <c r="E29" s="282"/>
      <c r="F29" s="282"/>
      <c r="G29" s="282"/>
      <c r="H29" s="282"/>
      <c r="I29" s="282"/>
      <c r="J29" s="332"/>
      <c r="K29" s="332"/>
      <c r="L29" s="332">
        <v>0</v>
      </c>
      <c r="M29" s="332">
        <v>100000000</v>
      </c>
      <c r="N29" s="332">
        <v>100000000</v>
      </c>
      <c r="O29" s="332">
        <v>0</v>
      </c>
      <c r="P29" s="332">
        <v>0</v>
      </c>
      <c r="Q29" s="362"/>
      <c r="R29" s="273">
        <f t="shared" si="0"/>
        <v>0</v>
      </c>
    </row>
    <row r="30" spans="1:18" ht="30" customHeight="1">
      <c r="A30" s="272" t="s">
        <v>419</v>
      </c>
      <c r="B30" s="272" t="s">
        <v>420</v>
      </c>
      <c r="C30" s="272">
        <v>0</v>
      </c>
      <c r="D30" s="272">
        <v>12000000</v>
      </c>
      <c r="E30" s="272">
        <v>12000000</v>
      </c>
      <c r="F30" s="272">
        <v>12000000</v>
      </c>
      <c r="G30" s="272">
        <v>32000000</v>
      </c>
      <c r="H30" s="272">
        <v>40000000</v>
      </c>
      <c r="I30" s="272">
        <v>40000000</v>
      </c>
      <c r="J30" s="273">
        <v>115000000</v>
      </c>
      <c r="K30" s="274">
        <f>SUM(K27:K28)</f>
        <v>31312136</v>
      </c>
      <c r="L30" s="273">
        <v>4096400</v>
      </c>
      <c r="M30" s="273">
        <f>4096400*70%</f>
        <v>2867480</v>
      </c>
      <c r="N30" s="273">
        <f>4096400*70%</f>
        <v>2867480</v>
      </c>
      <c r="O30" s="273">
        <v>0</v>
      </c>
      <c r="P30" s="273">
        <v>0</v>
      </c>
      <c r="Q30" s="273">
        <v>0</v>
      </c>
      <c r="R30" s="273">
        <f t="shared" si="0"/>
        <v>0</v>
      </c>
    </row>
    <row r="31" spans="1:18" ht="30" customHeight="1">
      <c r="A31" s="272" t="s">
        <v>289</v>
      </c>
      <c r="B31" s="272" t="s">
        <v>290</v>
      </c>
      <c r="C31" s="272"/>
      <c r="D31" s="272"/>
      <c r="E31" s="272"/>
      <c r="F31" s="272"/>
      <c r="G31" s="272"/>
      <c r="H31" s="272">
        <v>0</v>
      </c>
      <c r="I31" s="272">
        <v>5958400</v>
      </c>
      <c r="J31" s="273">
        <v>5958400</v>
      </c>
      <c r="K31" s="273"/>
      <c r="L31" s="273">
        <v>0</v>
      </c>
      <c r="M31" s="273">
        <v>0</v>
      </c>
      <c r="N31" s="273">
        <v>0</v>
      </c>
      <c r="O31" s="273">
        <v>0</v>
      </c>
      <c r="P31" s="273">
        <v>0</v>
      </c>
      <c r="Q31" s="273"/>
      <c r="R31" s="273">
        <f t="shared" si="0"/>
        <v>0</v>
      </c>
    </row>
    <row r="32" spans="1:18" ht="30" customHeight="1">
      <c r="A32" s="272"/>
      <c r="B32" s="265" t="s">
        <v>119</v>
      </c>
      <c r="C32" s="272">
        <v>15000000</v>
      </c>
      <c r="D32" s="272">
        <v>14000000</v>
      </c>
      <c r="E32" s="272">
        <v>9025900</v>
      </c>
      <c r="F32" s="272">
        <v>39837118</v>
      </c>
      <c r="G32" s="272">
        <v>0</v>
      </c>
      <c r="H32" s="272">
        <v>0</v>
      </c>
      <c r="I32" s="272">
        <v>0</v>
      </c>
      <c r="J32" s="273">
        <v>0</v>
      </c>
      <c r="K32" s="273">
        <v>0</v>
      </c>
      <c r="L32" s="274">
        <f>SUM(L27:L31)</f>
        <v>92028536</v>
      </c>
      <c r="M32" s="274">
        <f>SUM(M27:M31)</f>
        <v>156736266.5</v>
      </c>
      <c r="N32" s="274">
        <f>SUM(N27:N31)</f>
        <v>156736266.5</v>
      </c>
      <c r="O32" s="274">
        <v>0</v>
      </c>
      <c r="P32" s="274">
        <v>0</v>
      </c>
      <c r="Q32" s="273">
        <v>0</v>
      </c>
      <c r="R32" s="273">
        <f t="shared" si="0"/>
        <v>0</v>
      </c>
    </row>
    <row r="33" spans="1:18" ht="30" customHeight="1">
      <c r="A33" s="265" t="s">
        <v>293</v>
      </c>
      <c r="B33" s="265" t="s">
        <v>292</v>
      </c>
      <c r="C33" s="265">
        <f t="shared" ref="C33:H33" si="1">SUM(C21:C32)</f>
        <v>37516965</v>
      </c>
      <c r="D33" s="265">
        <f t="shared" si="1"/>
        <v>37545292</v>
      </c>
      <c r="E33" s="265">
        <f t="shared" si="1"/>
        <v>32571192</v>
      </c>
      <c r="F33" s="265">
        <f t="shared" si="1"/>
        <v>107142610</v>
      </c>
      <c r="G33" s="265">
        <f t="shared" si="1"/>
        <v>148480000</v>
      </c>
      <c r="H33" s="265">
        <f t="shared" si="1"/>
        <v>195600000</v>
      </c>
      <c r="I33" s="265">
        <f>SUM(I21:I32)</f>
        <v>158375194</v>
      </c>
      <c r="J33" s="274">
        <f>SUM(J21:J32)</f>
        <v>247605920</v>
      </c>
      <c r="K33" s="274">
        <v>0</v>
      </c>
      <c r="L33" s="274"/>
      <c r="M33" s="274"/>
      <c r="N33" s="274"/>
      <c r="O33" s="274">
        <v>0</v>
      </c>
      <c r="P33" s="274">
        <v>0</v>
      </c>
      <c r="Q33" s="273">
        <v>0</v>
      </c>
      <c r="R33" s="273">
        <f t="shared" si="0"/>
        <v>0</v>
      </c>
    </row>
    <row r="34" spans="1:18" ht="30" customHeight="1" thickBot="1">
      <c r="A34" s="265" t="s">
        <v>294</v>
      </c>
      <c r="B34" s="265" t="s">
        <v>291</v>
      </c>
      <c r="C34" s="281" t="e">
        <f>C33+C20+C17+#REF!+#REF!</f>
        <v>#REF!</v>
      </c>
      <c r="D34" s="281" t="e">
        <f>D33+D20+D17+#REF!+#REF!</f>
        <v>#REF!</v>
      </c>
      <c r="E34" s="281" t="e">
        <f>E33+E20+E17+#REF!+#REF!</f>
        <v>#REF!</v>
      </c>
      <c r="F34" s="281" t="e">
        <f>F33+F20+F17+#REF!+#REF!</f>
        <v>#REF!</v>
      </c>
      <c r="G34" s="281" t="e">
        <f>G33+G20+G17+#REF!+#REF!</f>
        <v>#REF!</v>
      </c>
      <c r="H34" s="281" t="e">
        <f>H33+H20+H17+#REF!+#REF!</f>
        <v>#REF!</v>
      </c>
      <c r="I34" s="281" t="e">
        <f>I33+I20+I17+#REF!+#REF!</f>
        <v>#REF!</v>
      </c>
      <c r="J34" s="298" t="e">
        <f>J33+J20+J17+#REF!+#REF!</f>
        <v>#REF!</v>
      </c>
      <c r="K34" s="298" t="e">
        <f>K33+K30+K25+K19+K16+#REF!</f>
        <v>#REF!</v>
      </c>
      <c r="L34" s="299"/>
      <c r="M34" s="299"/>
      <c r="N34" s="299"/>
      <c r="O34" s="299">
        <v>0</v>
      </c>
      <c r="P34" s="299">
        <v>0</v>
      </c>
      <c r="Q34" s="273">
        <v>0</v>
      </c>
      <c r="R34" s="273">
        <f t="shared" si="0"/>
        <v>0</v>
      </c>
    </row>
    <row r="35" spans="1:18" ht="30" customHeight="1">
      <c r="A35" s="272" t="s">
        <v>389</v>
      </c>
      <c r="B35" s="272" t="s">
        <v>346</v>
      </c>
      <c r="C35" s="270"/>
      <c r="D35" s="270" t="s">
        <v>4</v>
      </c>
      <c r="E35" s="270"/>
      <c r="F35" s="280">
        <v>0</v>
      </c>
      <c r="G35" s="270"/>
      <c r="H35" s="270"/>
      <c r="I35" s="270"/>
      <c r="J35" s="270"/>
      <c r="K35" s="270"/>
      <c r="L35" s="273">
        <v>25000000</v>
      </c>
      <c r="M35" s="273">
        <v>16896000</v>
      </c>
      <c r="N35" s="273">
        <v>0</v>
      </c>
      <c r="O35" s="273">
        <v>0</v>
      </c>
      <c r="P35" s="273">
        <v>0</v>
      </c>
      <c r="Q35" s="274">
        <v>0</v>
      </c>
      <c r="R35" s="273">
        <f t="shared" si="0"/>
        <v>0</v>
      </c>
    </row>
    <row r="36" spans="1:18" ht="30" customHeight="1">
      <c r="A36" s="272" t="s">
        <v>388</v>
      </c>
      <c r="B36" s="272" t="s">
        <v>347</v>
      </c>
      <c r="C36" s="270"/>
      <c r="D36" s="293" t="s">
        <v>4</v>
      </c>
      <c r="E36" s="293"/>
      <c r="F36" s="280">
        <v>0</v>
      </c>
      <c r="G36" s="293"/>
      <c r="H36" s="293"/>
      <c r="I36" s="293"/>
      <c r="J36" s="293"/>
      <c r="K36" s="293"/>
      <c r="L36" s="273">
        <v>0</v>
      </c>
      <c r="M36" s="273">
        <v>160000000</v>
      </c>
      <c r="N36" s="273">
        <v>100000000</v>
      </c>
      <c r="O36" s="273">
        <v>0</v>
      </c>
      <c r="P36" s="273"/>
      <c r="Q36" s="274">
        <v>0</v>
      </c>
      <c r="R36" s="273">
        <f t="shared" si="0"/>
        <v>0</v>
      </c>
    </row>
    <row r="37" spans="1:18" ht="30" customHeight="1">
      <c r="A37" s="272" t="s">
        <v>295</v>
      </c>
      <c r="B37" s="272" t="s">
        <v>418</v>
      </c>
      <c r="C37" s="270"/>
      <c r="D37" s="270"/>
      <c r="E37" s="270"/>
      <c r="F37" s="293">
        <v>0</v>
      </c>
      <c r="G37" s="270"/>
      <c r="H37" s="270"/>
      <c r="I37" s="270"/>
      <c r="J37" s="270"/>
      <c r="K37" s="270"/>
      <c r="L37" s="273">
        <v>5586000</v>
      </c>
      <c r="M37" s="273">
        <f>5586000*70%</f>
        <v>3910199.9999999995</v>
      </c>
      <c r="N37" s="273">
        <v>0</v>
      </c>
      <c r="O37" s="273">
        <v>0</v>
      </c>
      <c r="P37" s="273">
        <v>0</v>
      </c>
      <c r="Q37" s="274">
        <v>0</v>
      </c>
      <c r="R37" s="273">
        <f t="shared" si="0"/>
        <v>0</v>
      </c>
    </row>
    <row r="38" spans="1:18" ht="30" customHeight="1">
      <c r="A38" s="272" t="s">
        <v>296</v>
      </c>
      <c r="B38" s="272" t="s">
        <v>421</v>
      </c>
      <c r="C38" s="270"/>
      <c r="D38" s="270"/>
      <c r="E38" s="270"/>
      <c r="F38" s="293">
        <v>0</v>
      </c>
      <c r="G38" s="293"/>
      <c r="H38" s="293"/>
      <c r="I38" s="293"/>
      <c r="J38" s="293"/>
      <c r="K38" s="293"/>
      <c r="L38" s="273">
        <v>3996400</v>
      </c>
      <c r="M38" s="273">
        <f>3996400+5000000</f>
        <v>8996400</v>
      </c>
      <c r="N38" s="273">
        <v>0</v>
      </c>
      <c r="O38" s="273">
        <v>0</v>
      </c>
      <c r="P38" s="273">
        <v>0</v>
      </c>
      <c r="Q38" s="274">
        <v>0</v>
      </c>
      <c r="R38" s="273">
        <f t="shared" si="0"/>
        <v>0</v>
      </c>
    </row>
    <row r="39" spans="1:18" ht="30" customHeight="1">
      <c r="A39" s="272" t="s">
        <v>348</v>
      </c>
      <c r="B39" s="272" t="s">
        <v>424</v>
      </c>
      <c r="C39" s="270"/>
      <c r="D39" s="270"/>
      <c r="E39" s="270"/>
      <c r="F39" s="293"/>
      <c r="G39" s="293"/>
      <c r="H39" s="293"/>
      <c r="I39" s="293"/>
      <c r="J39" s="293"/>
      <c r="K39" s="293"/>
      <c r="L39" s="273">
        <v>0</v>
      </c>
      <c r="M39" s="273">
        <v>30000000</v>
      </c>
      <c r="N39" s="273">
        <v>0</v>
      </c>
      <c r="O39" s="273">
        <v>0</v>
      </c>
      <c r="P39" s="273">
        <v>0</v>
      </c>
      <c r="Q39" s="274">
        <v>0</v>
      </c>
      <c r="R39" s="273">
        <f t="shared" si="0"/>
        <v>0</v>
      </c>
    </row>
    <row r="40" spans="1:18" ht="30" customHeight="1">
      <c r="A40" s="278"/>
      <c r="B40" s="279" t="s">
        <v>119</v>
      </c>
      <c r="C40" s="270"/>
      <c r="D40" s="270"/>
      <c r="E40" s="270"/>
      <c r="F40" s="270">
        <f>1386274192-71600000-798000-176160000-12600000</f>
        <v>1125116192</v>
      </c>
      <c r="G40" s="270"/>
      <c r="H40" s="270"/>
      <c r="I40" s="270"/>
      <c r="J40" s="270"/>
      <c r="K40" s="270"/>
      <c r="L40" s="299">
        <f>SUM(L35:L39)</f>
        <v>34582400</v>
      </c>
      <c r="M40" s="299">
        <f>SUM(M35:M39)</f>
        <v>219802600</v>
      </c>
      <c r="N40" s="299">
        <f>SUM(N35:N39)</f>
        <v>100000000</v>
      </c>
      <c r="O40" s="299">
        <v>0</v>
      </c>
      <c r="P40" s="299">
        <v>0</v>
      </c>
      <c r="Q40" s="299">
        <v>0</v>
      </c>
      <c r="R40" s="364">
        <f t="shared" si="0"/>
        <v>0</v>
      </c>
    </row>
    <row r="41" spans="1:18" ht="30" customHeight="1">
      <c r="A41" s="272"/>
      <c r="B41" s="265" t="s">
        <v>42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75" t="e">
        <f>L40+L32+L25+L19+L8</f>
        <v>#REF!</v>
      </c>
      <c r="M41" s="275" t="e">
        <f>#REF!+M40+M32+M25+M19+M8</f>
        <v>#REF!</v>
      </c>
      <c r="N41" s="275" t="e">
        <f>#REF!+N40+N32+N25+N19+N8</f>
        <v>#REF!</v>
      </c>
      <c r="O41" s="275">
        <v>0</v>
      </c>
      <c r="P41" s="275">
        <f>P40+P32+P25+P19+P8</f>
        <v>400000000</v>
      </c>
      <c r="Q41" s="274">
        <f>Q40+Q32+Q25+Q19+Q8</f>
        <v>800000000</v>
      </c>
      <c r="R41" s="274">
        <f t="shared" si="0"/>
        <v>400000000</v>
      </c>
    </row>
    <row r="42" spans="1:18" ht="29.1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3">
        <f>SUM(P35:P40)</f>
        <v>0</v>
      </c>
      <c r="Q42" s="264">
        <f>SUM(Q28:Q33)</f>
        <v>0</v>
      </c>
      <c r="R42" s="363">
        <f t="shared" si="0"/>
        <v>0</v>
      </c>
    </row>
  </sheetData>
  <pageMargins left="0.7" right="0.7" top="0.75" bottom="0.75" header="0.3" footer="0.3"/>
  <pageSetup scale="55" orientation="portrait" r:id="rId1"/>
  <headerFooter>
    <oddHeader>&amp;C&amp;"Times New Roman,Bold"&amp;26Jimciyadda Mujaahidiinta Sooyaal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R51"/>
  <sheetViews>
    <sheetView view="pageBreakPreview" zoomScale="60" workbookViewId="0">
      <selection sqref="A1:XFD1048576"/>
    </sheetView>
  </sheetViews>
  <sheetFormatPr defaultRowHeight="20.100000000000001" customHeight="1"/>
  <cols>
    <col min="1" max="1" width="18.1640625" style="444" bestFit="1" customWidth="1"/>
    <col min="2" max="2" width="79" style="444" bestFit="1" customWidth="1"/>
    <col min="3" max="3" width="17.5" style="444" hidden="1" customWidth="1"/>
    <col min="4" max="4" width="16.1640625" style="444" hidden="1" customWidth="1"/>
    <col min="5" max="5" width="18" style="444" hidden="1" customWidth="1"/>
    <col min="6" max="6" width="21.33203125" style="444" hidden="1" customWidth="1"/>
    <col min="7" max="8" width="0.1640625" style="444" hidden="1" customWidth="1"/>
    <col min="9" max="10" width="23.1640625" style="444" hidden="1" customWidth="1"/>
    <col min="11" max="11" width="0.1640625" style="444" hidden="1" customWidth="1"/>
    <col min="12" max="12" width="23.1640625" style="444" hidden="1" customWidth="1"/>
    <col min="13" max="13" width="24.5" style="444" hidden="1" customWidth="1"/>
    <col min="14" max="16" width="29.83203125" style="444" bestFit="1" customWidth="1"/>
    <col min="17" max="17" width="11.83203125" style="444" bestFit="1" customWidth="1"/>
    <col min="18" max="18" width="15.83203125" style="444" customWidth="1"/>
    <col min="19" max="16384" width="9.33203125" style="444"/>
  </cols>
  <sheetData>
    <row r="1" spans="1:16" ht="24.6" customHeight="1">
      <c r="A1" s="373" t="s">
        <v>45</v>
      </c>
      <c r="B1" s="443" t="s">
        <v>880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s="445" customFormat="1" ht="24.6" customHeight="1">
      <c r="A2" s="292" t="s">
        <v>248</v>
      </c>
      <c r="B2" s="292" t="s">
        <v>165</v>
      </c>
      <c r="C2" s="292" t="s">
        <v>43</v>
      </c>
      <c r="D2" s="292" t="s">
        <v>2</v>
      </c>
      <c r="E2" s="292" t="s">
        <v>48</v>
      </c>
      <c r="F2" s="292" t="s">
        <v>52</v>
      </c>
      <c r="G2" s="292" t="s">
        <v>64</v>
      </c>
      <c r="H2" s="271" t="s">
        <v>71</v>
      </c>
      <c r="I2" s="271" t="s">
        <v>130</v>
      </c>
      <c r="J2" s="271" t="s">
        <v>135</v>
      </c>
      <c r="K2" s="271" t="s">
        <v>144</v>
      </c>
      <c r="L2" s="271" t="s">
        <v>180</v>
      </c>
      <c r="M2" s="271" t="s">
        <v>357</v>
      </c>
      <c r="N2" s="271" t="s">
        <v>641</v>
      </c>
      <c r="O2" s="271" t="s">
        <v>1103</v>
      </c>
      <c r="P2" s="271" t="s">
        <v>63</v>
      </c>
    </row>
    <row r="3" spans="1:16" ht="24.6" customHeight="1">
      <c r="A3" s="292" t="s">
        <v>249</v>
      </c>
      <c r="B3" s="292" t="s">
        <v>250</v>
      </c>
      <c r="C3" s="335"/>
      <c r="D3" s="335"/>
      <c r="E3" s="335"/>
      <c r="F3" s="335"/>
      <c r="G3" s="335"/>
      <c r="H3" s="446"/>
      <c r="I3" s="446"/>
      <c r="J3" s="446"/>
      <c r="K3" s="446"/>
      <c r="L3" s="446"/>
      <c r="M3" s="446"/>
      <c r="N3" s="446"/>
      <c r="O3" s="446"/>
      <c r="P3" s="446"/>
    </row>
    <row r="4" spans="1:16" ht="24.6" customHeight="1">
      <c r="A4" s="284" t="s">
        <v>247</v>
      </c>
      <c r="B4" s="284" t="s">
        <v>32</v>
      </c>
      <c r="C4" s="284">
        <v>59076000</v>
      </c>
      <c r="D4" s="284">
        <v>83712000</v>
      </c>
      <c r="E4" s="284">
        <v>70656000</v>
      </c>
      <c r="F4" s="284">
        <v>108612000</v>
      </c>
      <c r="G4" s="284">
        <v>102972000</v>
      </c>
      <c r="H4" s="284">
        <v>105852000</v>
      </c>
      <c r="I4" s="284">
        <v>131630200</v>
      </c>
      <c r="J4" s="284">
        <f>139885200+54000000+6000000</f>
        <v>199885200</v>
      </c>
      <c r="K4" s="334">
        <v>211885200</v>
      </c>
      <c r="L4" s="284">
        <v>276426800</v>
      </c>
      <c r="M4" s="284">
        <f>'shaq,3'!H13+72000000</f>
        <v>280603200</v>
      </c>
      <c r="N4" s="284">
        <v>244732800</v>
      </c>
      <c r="O4" s="284">
        <v>244732800</v>
      </c>
      <c r="P4" s="284">
        <f>O4-N4</f>
        <v>0</v>
      </c>
    </row>
    <row r="5" spans="1:16" ht="24.6" customHeight="1">
      <c r="A5" s="284" t="s">
        <v>251</v>
      </c>
      <c r="B5" s="284" t="s">
        <v>810</v>
      </c>
      <c r="C5" s="284">
        <v>1360000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334">
        <v>0</v>
      </c>
      <c r="L5" s="284">
        <v>0</v>
      </c>
      <c r="M5" s="284">
        <v>0</v>
      </c>
      <c r="N5" s="284">
        <v>291600000</v>
      </c>
      <c r="O5" s="284">
        <v>291600000</v>
      </c>
      <c r="P5" s="284">
        <f t="shared" ref="P5:P51" si="0">O5-N5</f>
        <v>0</v>
      </c>
    </row>
    <row r="6" spans="1:16" ht="24.6" customHeight="1">
      <c r="A6" s="284" t="s">
        <v>252</v>
      </c>
      <c r="B6" s="284" t="s">
        <v>1105</v>
      </c>
      <c r="C6" s="284">
        <v>11100000</v>
      </c>
      <c r="D6" s="284">
        <v>10800000</v>
      </c>
      <c r="E6" s="284">
        <v>10800000</v>
      </c>
      <c r="F6" s="284">
        <v>10800000</v>
      </c>
      <c r="G6" s="284">
        <v>32400000</v>
      </c>
      <c r="H6" s="284">
        <v>32400000</v>
      </c>
      <c r="I6" s="284">
        <v>32400000</v>
      </c>
      <c r="J6" s="284">
        <f>32400000+32400000+1440000</f>
        <v>66240000</v>
      </c>
      <c r="K6" s="334">
        <f>66240000+1440000+7920000</f>
        <v>75600000</v>
      </c>
      <c r="L6" s="284">
        <f>97200000+2400000</f>
        <v>99600000</v>
      </c>
      <c r="M6" s="284">
        <f>97200000+2400000</f>
        <v>99600000</v>
      </c>
      <c r="N6" s="284">
        <v>85200000</v>
      </c>
      <c r="O6" s="284">
        <v>273600000</v>
      </c>
      <c r="P6" s="284">
        <f t="shared" si="0"/>
        <v>188400000</v>
      </c>
    </row>
    <row r="7" spans="1:16" ht="24.6" customHeight="1">
      <c r="A7" s="284" t="s">
        <v>253</v>
      </c>
      <c r="B7" s="284" t="s">
        <v>168</v>
      </c>
      <c r="C7" s="284">
        <v>0</v>
      </c>
      <c r="D7" s="284">
        <v>0</v>
      </c>
      <c r="E7" s="284">
        <v>0</v>
      </c>
      <c r="F7" s="284">
        <v>0</v>
      </c>
      <c r="G7" s="284">
        <v>0</v>
      </c>
      <c r="H7" s="284">
        <v>0</v>
      </c>
      <c r="I7" s="284">
        <v>0</v>
      </c>
      <c r="J7" s="284">
        <v>0</v>
      </c>
      <c r="K7" s="334">
        <v>0</v>
      </c>
      <c r="L7" s="284">
        <v>0</v>
      </c>
      <c r="M7" s="284">
        <v>0</v>
      </c>
      <c r="N7" s="284">
        <v>0</v>
      </c>
      <c r="O7" s="284">
        <v>0</v>
      </c>
      <c r="P7" s="284">
        <f t="shared" si="0"/>
        <v>0</v>
      </c>
    </row>
    <row r="8" spans="1:16" s="447" customFormat="1" ht="24.6" customHeight="1">
      <c r="A8" s="284" t="s">
        <v>254</v>
      </c>
      <c r="B8" s="284" t="s">
        <v>675</v>
      </c>
      <c r="C8" s="292">
        <f t="shared" ref="C8:J8" si="1">SUM(C4:C7)</f>
        <v>71536000</v>
      </c>
      <c r="D8" s="292">
        <f t="shared" si="1"/>
        <v>94512000</v>
      </c>
      <c r="E8" s="292">
        <f t="shared" si="1"/>
        <v>81456000</v>
      </c>
      <c r="F8" s="292">
        <f t="shared" si="1"/>
        <v>119412000</v>
      </c>
      <c r="G8" s="292">
        <f t="shared" si="1"/>
        <v>135372000</v>
      </c>
      <c r="H8" s="292">
        <f t="shared" si="1"/>
        <v>138252000</v>
      </c>
      <c r="I8" s="292">
        <f t="shared" si="1"/>
        <v>164030200</v>
      </c>
      <c r="J8" s="292">
        <f t="shared" si="1"/>
        <v>266125200</v>
      </c>
      <c r="K8" s="334">
        <v>3912000</v>
      </c>
      <c r="L8" s="284">
        <v>18000000</v>
      </c>
      <c r="M8" s="284">
        <v>18000000</v>
      </c>
      <c r="N8" s="284">
        <f>M8</f>
        <v>18000000</v>
      </c>
      <c r="O8" s="284">
        <f>N8</f>
        <v>18000000</v>
      </c>
      <c r="P8" s="284">
        <f t="shared" si="0"/>
        <v>0</v>
      </c>
    </row>
    <row r="9" spans="1:16" ht="24.6" customHeight="1">
      <c r="A9" s="292" t="s">
        <v>255</v>
      </c>
      <c r="B9" s="292" t="s">
        <v>256</v>
      </c>
      <c r="C9" s="284">
        <v>0</v>
      </c>
      <c r="D9" s="284">
        <v>0</v>
      </c>
      <c r="E9" s="284">
        <v>0</v>
      </c>
      <c r="F9" s="284">
        <v>0</v>
      </c>
      <c r="G9" s="284"/>
      <c r="H9" s="284"/>
      <c r="I9" s="284"/>
      <c r="J9" s="284"/>
      <c r="K9" s="402">
        <f>SUM(K4:K8)</f>
        <v>291397200</v>
      </c>
      <c r="L9" s="292">
        <v>0</v>
      </c>
      <c r="M9" s="292">
        <v>0</v>
      </c>
      <c r="N9" s="292">
        <v>0</v>
      </c>
      <c r="O9" s="292">
        <v>0</v>
      </c>
      <c r="P9" s="292">
        <f t="shared" si="0"/>
        <v>0</v>
      </c>
    </row>
    <row r="10" spans="1:16" ht="24.6" customHeight="1">
      <c r="A10" s="284" t="s">
        <v>258</v>
      </c>
      <c r="B10" s="284" t="s">
        <v>593</v>
      </c>
      <c r="C10" s="284">
        <v>12600000</v>
      </c>
      <c r="D10" s="284">
        <v>13600000</v>
      </c>
      <c r="E10" s="284">
        <v>13600000</v>
      </c>
      <c r="F10" s="284">
        <v>13600000</v>
      </c>
      <c r="G10" s="284">
        <v>18600000</v>
      </c>
      <c r="H10" s="284">
        <v>20000000</v>
      </c>
      <c r="I10" s="284">
        <v>26068000</v>
      </c>
      <c r="J10" s="284">
        <v>30000000</v>
      </c>
      <c r="K10" s="334">
        <v>0</v>
      </c>
      <c r="L10" s="284">
        <v>0</v>
      </c>
      <c r="M10" s="284">
        <v>2074800</v>
      </c>
      <c r="N10" s="284">
        <v>0</v>
      </c>
      <c r="O10" s="284">
        <v>0</v>
      </c>
      <c r="P10" s="284">
        <f t="shared" si="0"/>
        <v>0</v>
      </c>
    </row>
    <row r="11" spans="1:16" ht="24.6" customHeight="1">
      <c r="A11" s="284"/>
      <c r="B11" s="292" t="s">
        <v>119</v>
      </c>
      <c r="C11" s="284">
        <v>4500000</v>
      </c>
      <c r="D11" s="284">
        <v>2000000</v>
      </c>
      <c r="E11" s="284">
        <v>2000000</v>
      </c>
      <c r="F11" s="284">
        <v>4000000</v>
      </c>
      <c r="G11" s="284">
        <v>8000000</v>
      </c>
      <c r="H11" s="284">
        <v>12000000</v>
      </c>
      <c r="I11" s="284">
        <v>63308000</v>
      </c>
      <c r="J11" s="284">
        <v>40000000</v>
      </c>
      <c r="K11" s="334">
        <v>1552136000</v>
      </c>
      <c r="L11" s="292">
        <f>SUM(L4:L10)</f>
        <v>394026800</v>
      </c>
      <c r="M11" s="292">
        <f>SUM(M4:M10)</f>
        <v>400278000</v>
      </c>
      <c r="N11" s="292">
        <f>SUM(N4:N10)</f>
        <v>639532800</v>
      </c>
      <c r="O11" s="292">
        <f>SUM(O4:O10)</f>
        <v>827932800</v>
      </c>
      <c r="P11" s="292">
        <f t="shared" si="0"/>
        <v>188400000</v>
      </c>
    </row>
    <row r="12" spans="1:16" ht="24.6" customHeight="1">
      <c r="A12" s="292" t="s">
        <v>262</v>
      </c>
      <c r="B12" s="292" t="s">
        <v>263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334">
        <v>74480000</v>
      </c>
      <c r="L12" s="284"/>
      <c r="M12" s="284"/>
      <c r="N12" s="284"/>
      <c r="O12" s="284"/>
      <c r="P12" s="284">
        <f t="shared" si="0"/>
        <v>0</v>
      </c>
    </row>
    <row r="13" spans="1:16" ht="24.6" customHeight="1">
      <c r="A13" s="292" t="s">
        <v>265</v>
      </c>
      <c r="B13" s="292" t="s">
        <v>264</v>
      </c>
      <c r="C13" s="284"/>
      <c r="D13" s="284"/>
      <c r="E13" s="284"/>
      <c r="F13" s="284"/>
      <c r="G13" s="284"/>
      <c r="H13" s="284"/>
      <c r="I13" s="284"/>
      <c r="J13" s="284"/>
      <c r="K13" s="334">
        <v>8043840</v>
      </c>
      <c r="L13" s="284"/>
      <c r="M13" s="284"/>
      <c r="N13" s="284"/>
      <c r="O13" s="284"/>
      <c r="P13" s="284">
        <f t="shared" si="0"/>
        <v>0</v>
      </c>
    </row>
    <row r="14" spans="1:16" s="447" customFormat="1" ht="24.6" customHeight="1">
      <c r="A14" s="284" t="s">
        <v>266</v>
      </c>
      <c r="B14" s="284" t="s">
        <v>38</v>
      </c>
      <c r="C14" s="292">
        <f>SUM(C10:C12)</f>
        <v>17100000</v>
      </c>
      <c r="D14" s="292">
        <f>SUM(D10:D12)</f>
        <v>15600000</v>
      </c>
      <c r="E14" s="292">
        <f>SUM(E9:E12)</f>
        <v>15600000</v>
      </c>
      <c r="F14" s="292">
        <f>SUM(F9:F12)</f>
        <v>17600000</v>
      </c>
      <c r="G14" s="292">
        <f>SUM(G10:G12)</f>
        <v>26600000</v>
      </c>
      <c r="H14" s="292">
        <f>SUM(H10:H12)</f>
        <v>32000000</v>
      </c>
      <c r="I14" s="292">
        <f>SUM(I10:I12)</f>
        <v>89376000</v>
      </c>
      <c r="J14" s="292">
        <f>SUM(J10:J12)</f>
        <v>70000000</v>
      </c>
      <c r="K14" s="334">
        <v>0</v>
      </c>
      <c r="L14" s="284">
        <v>11172000</v>
      </c>
      <c r="M14" s="284">
        <f>11172000*70%</f>
        <v>7820399.9999999991</v>
      </c>
      <c r="N14" s="284">
        <f>11172000*70%</f>
        <v>7820399.9999999991</v>
      </c>
      <c r="O14" s="284">
        <f>11172000*70%</f>
        <v>7820399.9999999991</v>
      </c>
      <c r="P14" s="284">
        <f t="shared" si="0"/>
        <v>0</v>
      </c>
    </row>
    <row r="15" spans="1:16" ht="24.6" customHeight="1">
      <c r="A15" s="284" t="s">
        <v>267</v>
      </c>
      <c r="B15" s="284" t="s">
        <v>152</v>
      </c>
      <c r="C15" s="284"/>
      <c r="D15" s="284">
        <v>0</v>
      </c>
      <c r="E15" s="284">
        <v>0</v>
      </c>
      <c r="F15" s="284">
        <v>0</v>
      </c>
      <c r="G15" s="284"/>
      <c r="H15" s="284"/>
      <c r="I15" s="284"/>
      <c r="J15" s="284"/>
      <c r="K15" s="334">
        <v>42826000</v>
      </c>
      <c r="L15" s="284">
        <v>12000000</v>
      </c>
      <c r="M15" s="284">
        <f>12000000*70%</f>
        <v>8400000</v>
      </c>
      <c r="N15" s="284">
        <f>12000000*70%</f>
        <v>8400000</v>
      </c>
      <c r="O15" s="284">
        <f>12000000*70%</f>
        <v>8400000</v>
      </c>
      <c r="P15" s="284">
        <f t="shared" si="0"/>
        <v>0</v>
      </c>
    </row>
    <row r="16" spans="1:16" ht="24.6" customHeight="1">
      <c r="A16" s="284" t="s">
        <v>268</v>
      </c>
      <c r="B16" s="284" t="s">
        <v>153</v>
      </c>
      <c r="C16" s="284"/>
      <c r="D16" s="284"/>
      <c r="E16" s="284"/>
      <c r="F16" s="284">
        <v>0</v>
      </c>
      <c r="G16" s="284">
        <v>0</v>
      </c>
      <c r="H16" s="284">
        <v>100000000</v>
      </c>
      <c r="I16" s="284">
        <v>0</v>
      </c>
      <c r="J16" s="284">
        <v>0</v>
      </c>
      <c r="K16" s="334">
        <v>7448000</v>
      </c>
      <c r="L16" s="284">
        <v>400000000</v>
      </c>
      <c r="M16" s="284">
        <f>400000000*70%</f>
        <v>280000000</v>
      </c>
      <c r="N16" s="284">
        <f>M16</f>
        <v>280000000</v>
      </c>
      <c r="O16" s="284">
        <v>530000000</v>
      </c>
      <c r="P16" s="284">
        <f t="shared" si="0"/>
        <v>250000000</v>
      </c>
    </row>
    <row r="17" spans="1:16" ht="24.6" customHeight="1">
      <c r="A17" s="284" t="s">
        <v>269</v>
      </c>
      <c r="B17" s="284" t="s">
        <v>186</v>
      </c>
      <c r="C17" s="284">
        <v>15000000</v>
      </c>
      <c r="D17" s="284">
        <v>10000000</v>
      </c>
      <c r="E17" s="284">
        <v>10000000</v>
      </c>
      <c r="F17" s="284">
        <v>10000000</v>
      </c>
      <c r="G17" s="284">
        <v>13000000</v>
      </c>
      <c r="H17" s="284">
        <v>13000000</v>
      </c>
      <c r="I17" s="284">
        <v>14896000</v>
      </c>
      <c r="J17" s="284">
        <v>35000000</v>
      </c>
      <c r="K17" s="334">
        <v>14896000</v>
      </c>
      <c r="L17" s="284">
        <v>150000000</v>
      </c>
      <c r="M17" s="284">
        <f>150000000*70%</f>
        <v>105000000</v>
      </c>
      <c r="N17" s="284">
        <f>150000000*70%</f>
        <v>105000000</v>
      </c>
      <c r="O17" s="284">
        <f>150000000*70%</f>
        <v>105000000</v>
      </c>
      <c r="P17" s="284">
        <f t="shared" si="0"/>
        <v>0</v>
      </c>
    </row>
    <row r="18" spans="1:16" ht="24.6" customHeight="1">
      <c r="A18" s="284" t="s">
        <v>270</v>
      </c>
      <c r="B18" s="284" t="s">
        <v>163</v>
      </c>
      <c r="C18" s="284">
        <v>0</v>
      </c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334">
        <v>0</v>
      </c>
      <c r="L18" s="284">
        <v>8043840</v>
      </c>
      <c r="M18" s="284">
        <f>32843840*70%+10000000</f>
        <v>32990688</v>
      </c>
      <c r="N18" s="284">
        <f>32843840*70%+10000000</f>
        <v>32990688</v>
      </c>
      <c r="O18" s="284">
        <f>32843840*70%+10000000</f>
        <v>32990688</v>
      </c>
      <c r="P18" s="284">
        <f t="shared" si="0"/>
        <v>0</v>
      </c>
    </row>
    <row r="19" spans="1:16" ht="24.6" customHeight="1">
      <c r="A19" s="284" t="s">
        <v>271</v>
      </c>
      <c r="B19" s="284" t="s">
        <v>154</v>
      </c>
      <c r="C19" s="284"/>
      <c r="D19" s="284"/>
      <c r="E19" s="284"/>
      <c r="F19" s="284"/>
      <c r="G19" s="284"/>
      <c r="H19" s="284"/>
      <c r="I19" s="284"/>
      <c r="J19" s="284"/>
      <c r="K19" s="334">
        <v>3553800000</v>
      </c>
      <c r="L19" s="284">
        <v>12000000</v>
      </c>
      <c r="M19" s="284">
        <f>12000000*70%</f>
        <v>8400000</v>
      </c>
      <c r="N19" s="284">
        <v>0</v>
      </c>
      <c r="O19" s="284">
        <v>0</v>
      </c>
      <c r="P19" s="284">
        <f t="shared" si="0"/>
        <v>0</v>
      </c>
    </row>
    <row r="20" spans="1:16" ht="24.6" customHeight="1">
      <c r="A20" s="284" t="s">
        <v>272</v>
      </c>
      <c r="B20" s="284" t="s">
        <v>54</v>
      </c>
      <c r="C20" s="284"/>
      <c r="D20" s="284"/>
      <c r="E20" s="284"/>
      <c r="F20" s="284"/>
      <c r="G20" s="284"/>
      <c r="H20" s="284"/>
      <c r="I20" s="284"/>
      <c r="J20" s="284"/>
      <c r="K20" s="334">
        <v>14896000</v>
      </c>
      <c r="L20" s="284">
        <v>165378000</v>
      </c>
      <c r="M20" s="284">
        <f>165378000*70%</f>
        <v>115764600</v>
      </c>
      <c r="N20" s="284">
        <f>M20*70%</f>
        <v>81035220</v>
      </c>
      <c r="O20" s="284">
        <v>120000000</v>
      </c>
      <c r="P20" s="284">
        <f t="shared" si="0"/>
        <v>38964780</v>
      </c>
    </row>
    <row r="21" spans="1:16" ht="24.6" customHeight="1">
      <c r="A21" s="284" t="s">
        <v>273</v>
      </c>
      <c r="B21" s="284" t="s">
        <v>460</v>
      </c>
      <c r="C21" s="284"/>
      <c r="D21" s="284"/>
      <c r="E21" s="284"/>
      <c r="F21" s="284"/>
      <c r="G21" s="284"/>
      <c r="H21" s="284"/>
      <c r="I21" s="284"/>
      <c r="J21" s="284"/>
      <c r="K21" s="334"/>
      <c r="L21" s="284"/>
      <c r="M21" s="284"/>
      <c r="N21" s="284">
        <v>0</v>
      </c>
      <c r="O21" s="284">
        <v>18192000</v>
      </c>
      <c r="P21" s="284">
        <f t="shared" si="0"/>
        <v>18192000</v>
      </c>
    </row>
    <row r="22" spans="1:16" ht="24.6" customHeight="1">
      <c r="A22" s="284" t="s">
        <v>274</v>
      </c>
      <c r="B22" s="284" t="s">
        <v>164</v>
      </c>
      <c r="C22" s="284">
        <v>0</v>
      </c>
      <c r="D22" s="284">
        <v>0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402">
        <f>SUM(K10:K20)</f>
        <v>5268525840</v>
      </c>
      <c r="L22" s="284">
        <v>30000000</v>
      </c>
      <c r="M22" s="284">
        <f>30000000*70%</f>
        <v>21000000</v>
      </c>
      <c r="N22" s="284">
        <f>30000000*70%</f>
        <v>21000000</v>
      </c>
      <c r="O22" s="284">
        <v>31000000</v>
      </c>
      <c r="P22" s="284">
        <f t="shared" si="0"/>
        <v>10000000</v>
      </c>
    </row>
    <row r="23" spans="1:16" s="447" customFormat="1" ht="24.6" customHeight="1">
      <c r="A23" s="284" t="s">
        <v>275</v>
      </c>
      <c r="B23" s="284" t="s">
        <v>40</v>
      </c>
      <c r="C23" s="292">
        <f t="shared" ref="C23:J23" si="2">SUM(C17:C22)</f>
        <v>15000000</v>
      </c>
      <c r="D23" s="292">
        <f t="shared" si="2"/>
        <v>10000000</v>
      </c>
      <c r="E23" s="292">
        <f t="shared" si="2"/>
        <v>10000000</v>
      </c>
      <c r="F23" s="292">
        <f t="shared" si="2"/>
        <v>10000000</v>
      </c>
      <c r="G23" s="292">
        <f t="shared" si="2"/>
        <v>13000000</v>
      </c>
      <c r="H23" s="292">
        <f t="shared" si="2"/>
        <v>13000000</v>
      </c>
      <c r="I23" s="292">
        <f t="shared" si="2"/>
        <v>14896000</v>
      </c>
      <c r="J23" s="292">
        <f t="shared" si="2"/>
        <v>35000000</v>
      </c>
      <c r="K23" s="402"/>
      <c r="L23" s="284">
        <v>45000000</v>
      </c>
      <c r="M23" s="284">
        <f>45000000*70%</f>
        <v>31499999.999999996</v>
      </c>
      <c r="N23" s="284">
        <f>45000000*70%</f>
        <v>31499999.999999996</v>
      </c>
      <c r="O23" s="284">
        <f>45000000*70%</f>
        <v>31499999.999999996</v>
      </c>
      <c r="P23" s="284">
        <f t="shared" si="0"/>
        <v>0</v>
      </c>
    </row>
    <row r="24" spans="1:16" ht="24.6" customHeight="1">
      <c r="A24" s="284" t="s">
        <v>277</v>
      </c>
      <c r="B24" s="284" t="s">
        <v>218</v>
      </c>
      <c r="C24" s="284">
        <v>36500000</v>
      </c>
      <c r="D24" s="284">
        <v>14700000</v>
      </c>
      <c r="E24" s="284">
        <v>14700000</v>
      </c>
      <c r="F24" s="284">
        <v>36876000</v>
      </c>
      <c r="G24" s="284">
        <v>67000000</v>
      </c>
      <c r="H24" s="284">
        <v>67000000</v>
      </c>
      <c r="I24" s="284">
        <v>74480000</v>
      </c>
      <c r="J24" s="284">
        <v>100000000</v>
      </c>
      <c r="K24" s="334">
        <v>63308000</v>
      </c>
      <c r="L24" s="284">
        <v>28000000</v>
      </c>
      <c r="M24" s="284">
        <f>558000000*70%</f>
        <v>390600000</v>
      </c>
      <c r="N24" s="284">
        <v>0</v>
      </c>
      <c r="O24" s="284">
        <v>0</v>
      </c>
      <c r="P24" s="284">
        <f t="shared" si="0"/>
        <v>0</v>
      </c>
    </row>
    <row r="25" spans="1:16" ht="24.6" customHeight="1">
      <c r="A25" s="284" t="s">
        <v>557</v>
      </c>
      <c r="B25" s="284" t="s">
        <v>558</v>
      </c>
      <c r="C25" s="284"/>
      <c r="D25" s="284"/>
      <c r="E25" s="284"/>
      <c r="F25" s="284"/>
      <c r="G25" s="284"/>
      <c r="H25" s="284"/>
      <c r="I25" s="284"/>
      <c r="J25" s="284"/>
      <c r="K25" s="334">
        <v>0</v>
      </c>
      <c r="L25" s="284">
        <v>0</v>
      </c>
      <c r="M25" s="284">
        <f>600000000*70%</f>
        <v>420000000</v>
      </c>
      <c r="N25" s="284">
        <f>M25*70%</f>
        <v>294000000</v>
      </c>
      <c r="O25" s="284">
        <v>194000000</v>
      </c>
      <c r="P25" s="284">
        <f t="shared" si="0"/>
        <v>-100000000</v>
      </c>
    </row>
    <row r="26" spans="1:16" ht="24.6" customHeight="1">
      <c r="A26" s="284" t="s">
        <v>321</v>
      </c>
      <c r="B26" s="284" t="s">
        <v>356</v>
      </c>
      <c r="C26" s="284"/>
      <c r="D26" s="284"/>
      <c r="E26" s="284"/>
      <c r="F26" s="284"/>
      <c r="G26" s="284"/>
      <c r="H26" s="284"/>
      <c r="I26" s="284"/>
      <c r="J26" s="284"/>
      <c r="K26" s="402"/>
      <c r="L26" s="284">
        <v>14896000</v>
      </c>
      <c r="M26" s="284">
        <f>14896000*70%</f>
        <v>10427200</v>
      </c>
      <c r="N26" s="284">
        <f>14896000*70%</f>
        <v>10427200</v>
      </c>
      <c r="O26" s="284">
        <f>14896000*70%</f>
        <v>10427200</v>
      </c>
      <c r="P26" s="284">
        <f t="shared" si="0"/>
        <v>0</v>
      </c>
    </row>
    <row r="27" spans="1:16" ht="24.6" customHeight="1">
      <c r="A27" s="284" t="s">
        <v>392</v>
      </c>
      <c r="B27" s="284" t="s">
        <v>355</v>
      </c>
      <c r="C27" s="284"/>
      <c r="D27" s="284"/>
      <c r="E27" s="284"/>
      <c r="F27" s="284"/>
      <c r="G27" s="284"/>
      <c r="H27" s="284"/>
      <c r="I27" s="284"/>
      <c r="J27" s="284"/>
      <c r="K27" s="402"/>
      <c r="L27" s="284">
        <v>2835714000</v>
      </c>
      <c r="M27" s="284">
        <f>2835714000+1714686000</f>
        <v>4550400000</v>
      </c>
      <c r="N27" s="284">
        <f>2835714000+1714686000</f>
        <v>4550400000</v>
      </c>
      <c r="O27" s="284">
        <f>2835714000+1714686000</f>
        <v>4550400000</v>
      </c>
      <c r="P27" s="284">
        <f t="shared" si="0"/>
        <v>0</v>
      </c>
    </row>
    <row r="28" spans="1:16" ht="24.6" customHeight="1">
      <c r="A28" s="284" t="s">
        <v>733</v>
      </c>
      <c r="B28" s="284" t="s">
        <v>751</v>
      </c>
      <c r="C28" s="284"/>
      <c r="D28" s="284"/>
      <c r="E28" s="284"/>
      <c r="F28" s="284"/>
      <c r="G28" s="284"/>
      <c r="H28" s="284"/>
      <c r="I28" s="284"/>
      <c r="J28" s="284"/>
      <c r="K28" s="402"/>
      <c r="L28" s="284"/>
      <c r="M28" s="284">
        <v>0</v>
      </c>
      <c r="N28" s="284">
        <v>255000000</v>
      </c>
      <c r="O28" s="284"/>
      <c r="P28" s="284">
        <f t="shared" si="0"/>
        <v>-255000000</v>
      </c>
    </row>
    <row r="29" spans="1:16" ht="24.6" customHeight="1">
      <c r="A29" s="284" t="s">
        <v>1242</v>
      </c>
      <c r="B29" s="284" t="s">
        <v>1243</v>
      </c>
      <c r="C29" s="284"/>
      <c r="D29" s="284"/>
      <c r="E29" s="284"/>
      <c r="F29" s="284"/>
      <c r="G29" s="284"/>
      <c r="H29" s="284"/>
      <c r="I29" s="284"/>
      <c r="J29" s="284"/>
      <c r="K29" s="402"/>
      <c r="L29" s="284"/>
      <c r="M29" s="284"/>
      <c r="N29" s="284">
        <v>0</v>
      </c>
      <c r="O29" s="284">
        <v>200000000</v>
      </c>
      <c r="P29" s="284">
        <f t="shared" si="0"/>
        <v>200000000</v>
      </c>
    </row>
    <row r="30" spans="1:16" ht="24.6" customHeight="1">
      <c r="A30" s="284" t="s">
        <v>752</v>
      </c>
      <c r="B30" s="284" t="s">
        <v>753</v>
      </c>
      <c r="C30" s="284"/>
      <c r="D30" s="284"/>
      <c r="E30" s="284"/>
      <c r="F30" s="284"/>
      <c r="G30" s="284"/>
      <c r="H30" s="284"/>
      <c r="I30" s="284"/>
      <c r="J30" s="284"/>
      <c r="K30" s="334"/>
      <c r="L30" s="284">
        <v>200000000</v>
      </c>
      <c r="M30" s="284">
        <v>0</v>
      </c>
      <c r="N30" s="284">
        <v>3745000000</v>
      </c>
      <c r="O30" s="284">
        <v>3745000000</v>
      </c>
      <c r="P30" s="284">
        <f t="shared" si="0"/>
        <v>0</v>
      </c>
    </row>
    <row r="31" spans="1:16" ht="24.6" customHeight="1">
      <c r="A31" s="284" t="s">
        <v>1254</v>
      </c>
      <c r="B31" s="284" t="s">
        <v>1255</v>
      </c>
      <c r="C31" s="284"/>
      <c r="D31" s="284"/>
      <c r="E31" s="284"/>
      <c r="F31" s="284"/>
      <c r="G31" s="284"/>
      <c r="H31" s="284"/>
      <c r="I31" s="284"/>
      <c r="J31" s="284"/>
      <c r="K31" s="334"/>
      <c r="L31" s="284"/>
      <c r="M31" s="284"/>
      <c r="N31" s="284">
        <v>0</v>
      </c>
      <c r="O31" s="284">
        <v>388000000</v>
      </c>
      <c r="P31" s="284">
        <f t="shared" si="0"/>
        <v>388000000</v>
      </c>
    </row>
    <row r="32" spans="1:16" ht="24.6" customHeight="1">
      <c r="A32" s="284"/>
      <c r="B32" s="292" t="s">
        <v>119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334"/>
      <c r="L32" s="292">
        <f>SUM(L14:L30)</f>
        <v>3912203840</v>
      </c>
      <c r="M32" s="292">
        <f>SUM(M14:M30)</f>
        <v>5982302888</v>
      </c>
      <c r="N32" s="292">
        <f>SUM(N14:N31)</f>
        <v>9422573508</v>
      </c>
      <c r="O32" s="292">
        <f>SUM(O14:O31)</f>
        <v>9972730288</v>
      </c>
      <c r="P32" s="292">
        <f t="shared" si="0"/>
        <v>550156780</v>
      </c>
    </row>
    <row r="33" spans="1:18" ht="24.6" customHeight="1">
      <c r="A33" s="292" t="s">
        <v>279</v>
      </c>
      <c r="B33" s="292" t="s">
        <v>278</v>
      </c>
      <c r="C33" s="284">
        <v>803200000</v>
      </c>
      <c r="D33" s="284">
        <v>758200000</v>
      </c>
      <c r="E33" s="284">
        <f>884200000-126000000</f>
        <v>758200000</v>
      </c>
      <c r="F33" s="284">
        <f>1213800000+29400000+12600000</f>
        <v>1255800000</v>
      </c>
      <c r="G33" s="284">
        <v>1356600000</v>
      </c>
      <c r="H33" s="284">
        <v>1404900000</v>
      </c>
      <c r="I33" s="284">
        <v>1404900000</v>
      </c>
      <c r="J33" s="284">
        <v>2053800000</v>
      </c>
      <c r="K33" s="334">
        <v>0</v>
      </c>
      <c r="L33" s="284"/>
      <c r="M33" s="284"/>
      <c r="N33" s="284"/>
      <c r="O33" s="284"/>
      <c r="P33" s="284">
        <f t="shared" si="0"/>
        <v>0</v>
      </c>
    </row>
    <row r="34" spans="1:18" ht="24.6" customHeight="1">
      <c r="A34" s="284" t="s">
        <v>280</v>
      </c>
      <c r="B34" s="284" t="s">
        <v>160</v>
      </c>
      <c r="C34" s="284">
        <v>0</v>
      </c>
      <c r="D34" s="284">
        <v>40000000</v>
      </c>
      <c r="E34" s="284">
        <v>40000000</v>
      </c>
      <c r="F34" s="284">
        <v>40000000</v>
      </c>
      <c r="G34" s="284">
        <v>70000000</v>
      </c>
      <c r="H34" s="284">
        <v>85000000</v>
      </c>
      <c r="I34" s="284">
        <v>74480000</v>
      </c>
      <c r="J34" s="284">
        <v>110000000</v>
      </c>
      <c r="K34" s="402">
        <f>SUM(K33)</f>
        <v>0</v>
      </c>
      <c r="L34" s="292">
        <f>SUM(L33)</f>
        <v>0</v>
      </c>
      <c r="M34" s="292">
        <f>SUM(M33)</f>
        <v>0</v>
      </c>
      <c r="N34" s="292">
        <f>SUM(N33)</f>
        <v>0</v>
      </c>
      <c r="O34" s="292">
        <f>SUM(O33)</f>
        <v>0</v>
      </c>
      <c r="P34" s="292">
        <f t="shared" si="0"/>
        <v>0</v>
      </c>
      <c r="R34" s="448"/>
    </row>
    <row r="35" spans="1:18" ht="24.6" customHeight="1">
      <c r="A35" s="284" t="s">
        <v>281</v>
      </c>
      <c r="B35" s="284" t="s">
        <v>161</v>
      </c>
      <c r="C35" s="284">
        <v>0</v>
      </c>
      <c r="D35" s="284">
        <v>0</v>
      </c>
      <c r="E35" s="284">
        <v>0</v>
      </c>
      <c r="F35" s="284">
        <v>0</v>
      </c>
      <c r="G35" s="284">
        <v>10000000</v>
      </c>
      <c r="H35" s="284">
        <v>10000000</v>
      </c>
      <c r="I35" s="284">
        <v>7448000</v>
      </c>
      <c r="J35" s="284">
        <v>7448000</v>
      </c>
      <c r="K35" s="334"/>
      <c r="L35" s="284">
        <v>160000000</v>
      </c>
      <c r="M35" s="284">
        <f>160000000*70%</f>
        <v>112000000</v>
      </c>
      <c r="N35" s="284">
        <f>M35*80%</f>
        <v>89600000</v>
      </c>
      <c r="O35" s="284">
        <v>149600000</v>
      </c>
      <c r="P35" s="284">
        <f t="shared" si="0"/>
        <v>60000000</v>
      </c>
    </row>
    <row r="36" spans="1:18" ht="24.6" customHeight="1">
      <c r="A36" s="284" t="s">
        <v>282</v>
      </c>
      <c r="B36" s="284" t="s">
        <v>155</v>
      </c>
      <c r="C36" s="284">
        <v>0</v>
      </c>
      <c r="D36" s="284">
        <v>0</v>
      </c>
      <c r="E36" s="284">
        <v>0</v>
      </c>
      <c r="F36" s="284">
        <v>0</v>
      </c>
      <c r="G36" s="284">
        <v>0</v>
      </c>
      <c r="H36" s="284">
        <v>0</v>
      </c>
      <c r="I36" s="284">
        <v>0</v>
      </c>
      <c r="J36" s="284">
        <v>0</v>
      </c>
      <c r="K36" s="334">
        <v>14896000</v>
      </c>
      <c r="L36" s="284">
        <v>30018000</v>
      </c>
      <c r="M36" s="284">
        <f>30018000*70%</f>
        <v>21012600</v>
      </c>
      <c r="N36" s="284">
        <f>30018000*70%</f>
        <v>21012600</v>
      </c>
      <c r="O36" s="284">
        <f>30018000*70%</f>
        <v>21012600</v>
      </c>
      <c r="P36" s="284">
        <f t="shared" si="0"/>
        <v>0</v>
      </c>
    </row>
    <row r="37" spans="1:18" ht="24.6" customHeight="1">
      <c r="A37" s="284" t="s">
        <v>283</v>
      </c>
      <c r="B37" s="284" t="s">
        <v>156</v>
      </c>
      <c r="C37" s="284">
        <v>4320000</v>
      </c>
      <c r="D37" s="284">
        <v>3511733</v>
      </c>
      <c r="E37" s="284">
        <v>3511733</v>
      </c>
      <c r="F37" s="284">
        <v>3511733</v>
      </c>
      <c r="G37" s="284">
        <v>13500000</v>
      </c>
      <c r="H37" s="284">
        <v>13500000</v>
      </c>
      <c r="I37" s="284">
        <v>14896000</v>
      </c>
      <c r="J37" s="284">
        <v>25000000</v>
      </c>
      <c r="K37" s="334">
        <v>7448000</v>
      </c>
      <c r="L37" s="284">
        <v>63308000</v>
      </c>
      <c r="M37" s="284">
        <f>63308000*70%</f>
        <v>44315600</v>
      </c>
      <c r="N37" s="284">
        <f>63308000*70%</f>
        <v>44315600</v>
      </c>
      <c r="O37" s="284">
        <f>63308000*70%</f>
        <v>44315600</v>
      </c>
      <c r="P37" s="284">
        <f t="shared" si="0"/>
        <v>0</v>
      </c>
    </row>
    <row r="38" spans="1:18" ht="24.6" customHeight="1">
      <c r="A38" s="284"/>
      <c r="B38" s="292" t="s">
        <v>119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61">
        <f>SUM(L34:L37)</f>
        <v>253326000</v>
      </c>
      <c r="M38" s="361">
        <f>SUM(M34:M37)</f>
        <v>177328200</v>
      </c>
      <c r="N38" s="361">
        <f>SUM(N34:N37)</f>
        <v>154928200</v>
      </c>
      <c r="O38" s="361">
        <f>SUM(O34:O37)</f>
        <v>214928200</v>
      </c>
      <c r="P38" s="361">
        <f t="shared" si="0"/>
        <v>60000000</v>
      </c>
    </row>
    <row r="39" spans="1:18" ht="24.6" customHeight="1">
      <c r="A39" s="292" t="s">
        <v>285</v>
      </c>
      <c r="B39" s="292" t="s">
        <v>158</v>
      </c>
      <c r="C39" s="379"/>
      <c r="D39" s="379"/>
      <c r="E39" s="379"/>
      <c r="F39" s="379"/>
      <c r="G39" s="379"/>
      <c r="H39" s="379"/>
      <c r="I39" s="379"/>
      <c r="J39" s="379"/>
      <c r="K39" s="379"/>
      <c r="L39" s="284"/>
      <c r="M39" s="284"/>
      <c r="N39" s="284"/>
      <c r="O39" s="284"/>
      <c r="P39" s="284">
        <f t="shared" si="0"/>
        <v>0</v>
      </c>
    </row>
    <row r="40" spans="1:18" ht="24.6" customHeight="1">
      <c r="A40" s="284" t="s">
        <v>286</v>
      </c>
      <c r="B40" s="284" t="s">
        <v>55</v>
      </c>
      <c r="C40" s="379"/>
      <c r="D40" s="379"/>
      <c r="E40" s="379"/>
      <c r="F40" s="379"/>
      <c r="G40" s="379"/>
      <c r="H40" s="379"/>
      <c r="I40" s="379"/>
      <c r="J40" s="379"/>
      <c r="K40" s="379"/>
      <c r="L40" s="284">
        <v>30000000</v>
      </c>
      <c r="M40" s="284">
        <f>30000000*70%</f>
        <v>21000000</v>
      </c>
      <c r="N40" s="284">
        <f>30000000*70%</f>
        <v>21000000</v>
      </c>
      <c r="O40" s="284">
        <v>41000000</v>
      </c>
      <c r="P40" s="284">
        <f t="shared" si="0"/>
        <v>20000000</v>
      </c>
    </row>
    <row r="41" spans="1:18" ht="24.6" customHeight="1">
      <c r="A41" s="284" t="s">
        <v>288</v>
      </c>
      <c r="B41" s="284" t="s">
        <v>287</v>
      </c>
      <c r="C41" s="379"/>
      <c r="D41" s="379"/>
      <c r="E41" s="379"/>
      <c r="F41" s="379"/>
      <c r="G41" s="379"/>
      <c r="H41" s="379"/>
      <c r="I41" s="379"/>
      <c r="J41" s="379"/>
      <c r="K41" s="379"/>
      <c r="L41" s="284">
        <v>7448000</v>
      </c>
      <c r="M41" s="284">
        <f>100000000*70%</f>
        <v>70000000</v>
      </c>
      <c r="N41" s="284">
        <f>100000000*70%</f>
        <v>70000000</v>
      </c>
      <c r="O41" s="284">
        <v>50000000</v>
      </c>
      <c r="P41" s="284">
        <f t="shared" si="0"/>
        <v>-20000000</v>
      </c>
    </row>
    <row r="42" spans="1:18" ht="24.6" customHeight="1">
      <c r="A42" s="284" t="s">
        <v>289</v>
      </c>
      <c r="B42" s="284" t="s">
        <v>290</v>
      </c>
      <c r="C42" s="379"/>
      <c r="D42" s="379"/>
      <c r="E42" s="379"/>
      <c r="F42" s="379"/>
      <c r="G42" s="379"/>
      <c r="H42" s="379"/>
      <c r="I42" s="379"/>
      <c r="J42" s="379"/>
      <c r="K42" s="379"/>
      <c r="L42" s="284">
        <v>0</v>
      </c>
      <c r="M42" s="284">
        <v>0</v>
      </c>
      <c r="N42" s="284">
        <v>0</v>
      </c>
      <c r="O42" s="284">
        <v>0</v>
      </c>
      <c r="P42" s="284">
        <f t="shared" si="0"/>
        <v>0</v>
      </c>
    </row>
    <row r="43" spans="1:18" ht="24.6" customHeight="1">
      <c r="A43" s="284"/>
      <c r="B43" s="292" t="s">
        <v>119</v>
      </c>
      <c r="C43" s="379"/>
      <c r="D43" s="379"/>
      <c r="E43" s="379"/>
      <c r="F43" s="379"/>
      <c r="G43" s="379"/>
      <c r="H43" s="379"/>
      <c r="I43" s="379"/>
      <c r="J43" s="379"/>
      <c r="K43" s="379"/>
      <c r="L43" s="361">
        <f>SUM(L40:L42)</f>
        <v>37448000</v>
      </c>
      <c r="M43" s="361">
        <f>SUM(M40:M42)</f>
        <v>91000000</v>
      </c>
      <c r="N43" s="361">
        <f>SUM(N40:N42)</f>
        <v>91000000</v>
      </c>
      <c r="O43" s="361">
        <f>SUM(O40:O42)</f>
        <v>91000000</v>
      </c>
      <c r="P43" s="361">
        <f t="shared" si="0"/>
        <v>0</v>
      </c>
    </row>
    <row r="44" spans="1:18" ht="24.6" customHeight="1">
      <c r="A44" s="292" t="s">
        <v>293</v>
      </c>
      <c r="B44" s="292" t="s">
        <v>292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35"/>
      <c r="M44" s="335"/>
      <c r="N44" s="335"/>
      <c r="O44" s="335"/>
      <c r="P44" s="335">
        <f t="shared" si="0"/>
        <v>0</v>
      </c>
    </row>
    <row r="45" spans="1:18" ht="24.6" customHeight="1">
      <c r="A45" s="292" t="s">
        <v>294</v>
      </c>
      <c r="B45" s="292" t="s">
        <v>291</v>
      </c>
      <c r="C45" s="379"/>
      <c r="D45" s="379"/>
      <c r="E45" s="379"/>
      <c r="F45" s="379"/>
      <c r="G45" s="379"/>
      <c r="H45" s="379"/>
      <c r="I45" s="379"/>
      <c r="J45" s="379"/>
      <c r="K45" s="379"/>
      <c r="L45" s="335"/>
      <c r="M45" s="335"/>
      <c r="N45" s="335"/>
      <c r="O45" s="335"/>
      <c r="P45" s="335">
        <f t="shared" si="0"/>
        <v>0</v>
      </c>
    </row>
    <row r="46" spans="1:18" ht="24.6" customHeight="1">
      <c r="A46" s="284" t="s">
        <v>499</v>
      </c>
      <c r="B46" s="284" t="s">
        <v>307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36">
        <f t="shared" ref="L46:O50" si="3">K46-J46</f>
        <v>0</v>
      </c>
      <c r="M46" s="336">
        <f>60000000*70%</f>
        <v>42000000</v>
      </c>
      <c r="N46" s="336">
        <v>0</v>
      </c>
      <c r="O46" s="336">
        <v>0</v>
      </c>
      <c r="P46" s="336">
        <f t="shared" si="0"/>
        <v>0</v>
      </c>
    </row>
    <row r="47" spans="1:18" ht="24.6" customHeight="1">
      <c r="A47" s="284" t="s">
        <v>388</v>
      </c>
      <c r="B47" s="284" t="s">
        <v>1205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36">
        <f t="shared" si="3"/>
        <v>0</v>
      </c>
      <c r="M47" s="336">
        <v>42000000</v>
      </c>
      <c r="N47" s="336">
        <v>0</v>
      </c>
      <c r="O47" s="336">
        <v>240000000</v>
      </c>
      <c r="P47" s="336">
        <f t="shared" si="0"/>
        <v>240000000</v>
      </c>
    </row>
    <row r="48" spans="1:18" ht="24.6" customHeight="1">
      <c r="A48" s="284" t="s">
        <v>295</v>
      </c>
      <c r="B48" s="284" t="s">
        <v>176</v>
      </c>
      <c r="C48" s="379"/>
      <c r="D48" s="379"/>
      <c r="E48" s="379"/>
      <c r="F48" s="379"/>
      <c r="G48" s="379"/>
      <c r="H48" s="379"/>
      <c r="I48" s="379"/>
      <c r="J48" s="379"/>
      <c r="K48" s="379"/>
      <c r="L48" s="336">
        <f t="shared" si="3"/>
        <v>0</v>
      </c>
      <c r="M48" s="336">
        <f t="shared" si="3"/>
        <v>0</v>
      </c>
      <c r="N48" s="336">
        <f t="shared" si="3"/>
        <v>0</v>
      </c>
      <c r="O48" s="336">
        <f t="shared" si="3"/>
        <v>0</v>
      </c>
      <c r="P48" s="336">
        <f t="shared" si="0"/>
        <v>0</v>
      </c>
    </row>
    <row r="49" spans="1:16" ht="24.6" customHeight="1">
      <c r="A49" s="284" t="s">
        <v>296</v>
      </c>
      <c r="B49" s="284" t="s">
        <v>177</v>
      </c>
      <c r="C49" s="379"/>
      <c r="D49" s="379"/>
      <c r="E49" s="379"/>
      <c r="F49" s="379"/>
      <c r="G49" s="379"/>
      <c r="H49" s="379"/>
      <c r="I49" s="379"/>
      <c r="J49" s="379"/>
      <c r="K49" s="379"/>
      <c r="L49" s="336">
        <f t="shared" si="3"/>
        <v>0</v>
      </c>
      <c r="M49" s="336">
        <f t="shared" si="3"/>
        <v>0</v>
      </c>
      <c r="N49" s="336">
        <f t="shared" si="3"/>
        <v>0</v>
      </c>
      <c r="O49" s="336">
        <f t="shared" si="3"/>
        <v>0</v>
      </c>
      <c r="P49" s="336">
        <f t="shared" si="0"/>
        <v>0</v>
      </c>
    </row>
    <row r="50" spans="1:16" ht="24.6" customHeight="1">
      <c r="A50" s="284"/>
      <c r="B50" s="292" t="s">
        <v>119</v>
      </c>
      <c r="C50" s="379"/>
      <c r="D50" s="379"/>
      <c r="E50" s="379"/>
      <c r="F50" s="379"/>
      <c r="G50" s="379"/>
      <c r="H50" s="379"/>
      <c r="I50" s="379"/>
      <c r="J50" s="379"/>
      <c r="K50" s="379"/>
      <c r="L50" s="336">
        <f t="shared" si="3"/>
        <v>0</v>
      </c>
      <c r="M50" s="361">
        <f>SUM(M46:M49)</f>
        <v>84000000</v>
      </c>
      <c r="N50" s="336">
        <f>SUM(N46:N49)</f>
        <v>0</v>
      </c>
      <c r="O50" s="361">
        <f>SUM(O46:O49)</f>
        <v>240000000</v>
      </c>
      <c r="P50" s="361">
        <f t="shared" si="0"/>
        <v>240000000</v>
      </c>
    </row>
    <row r="51" spans="1:16" ht="24.6" customHeight="1">
      <c r="A51" s="284"/>
      <c r="B51" s="292" t="s">
        <v>42</v>
      </c>
      <c r="C51" s="379"/>
      <c r="D51" s="379"/>
      <c r="E51" s="379"/>
      <c r="F51" s="379"/>
      <c r="G51" s="379"/>
      <c r="H51" s="379"/>
      <c r="I51" s="379"/>
      <c r="J51" s="379"/>
      <c r="K51" s="379"/>
      <c r="L51" s="361">
        <f>L50+L43+L38+L32+L11</f>
        <v>4597004640</v>
      </c>
      <c r="M51" s="361">
        <f>M50+M43+M38+M32+M11</f>
        <v>6734909088</v>
      </c>
      <c r="N51" s="361">
        <f>N50+N43+N38+N32+N11</f>
        <v>10308034508</v>
      </c>
      <c r="O51" s="361">
        <f>O50+O43+O38+O32+O11</f>
        <v>11346591288</v>
      </c>
      <c r="P51" s="361">
        <f t="shared" si="0"/>
        <v>1038556780</v>
      </c>
    </row>
  </sheetData>
  <phoneticPr fontId="0" type="noConversion"/>
  <printOptions gridLines="1"/>
  <pageMargins left="0.67" right="0.25" top="0.89" bottom="0.71" header="0.3" footer="0.42"/>
  <pageSetup scale="54" orientation="portrait" r:id="rId1"/>
  <headerFooter alignWithMargins="0">
    <oddHeader>&amp;C&amp;"Albertus Medium,Bold"&amp;36Wasaaradda Arrimaha Dibadda</oddHeader>
    <oddFooter>&amp;R&amp;"Times New Roman,Bold"&amp;14 12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P48"/>
  <sheetViews>
    <sheetView view="pageBreakPreview" zoomScale="60" zoomScaleNormal="70" workbookViewId="0">
      <selection sqref="A1:XFD1048576"/>
    </sheetView>
  </sheetViews>
  <sheetFormatPr defaultRowHeight="24.95" customHeight="1"/>
  <cols>
    <col min="1" max="1" width="16.6640625" style="155" bestFit="1" customWidth="1"/>
    <col min="2" max="2" width="79.83203125" style="155" bestFit="1" customWidth="1"/>
    <col min="3" max="3" width="16.5" style="155" hidden="1" customWidth="1"/>
    <col min="4" max="4" width="16.33203125" style="155" hidden="1" customWidth="1"/>
    <col min="5" max="5" width="18" style="155" hidden="1" customWidth="1"/>
    <col min="6" max="6" width="16.33203125" style="155" hidden="1" customWidth="1"/>
    <col min="7" max="7" width="0.1640625" style="155" hidden="1" customWidth="1"/>
    <col min="8" max="8" width="16.33203125" style="155" hidden="1" customWidth="1"/>
    <col min="9" max="9" width="0.1640625" style="155" hidden="1" customWidth="1"/>
    <col min="10" max="10" width="19.83203125" style="155" hidden="1" customWidth="1"/>
    <col min="11" max="11" width="20.33203125" style="155" hidden="1" customWidth="1"/>
    <col min="12" max="12" width="21.6640625" style="155" hidden="1" customWidth="1"/>
    <col min="13" max="13" width="27.33203125" style="155" hidden="1" customWidth="1"/>
    <col min="14" max="14" width="31" style="155" bestFit="1" customWidth="1"/>
    <col min="15" max="15" width="27.6640625" style="155" bestFit="1" customWidth="1"/>
    <col min="16" max="16" width="31" style="399" bestFit="1" customWidth="1"/>
    <col min="17" max="16384" width="9.33203125" style="155"/>
  </cols>
  <sheetData>
    <row r="1" spans="1:16" ht="24.95" customHeight="1">
      <c r="A1" s="373" t="s">
        <v>45</v>
      </c>
      <c r="B1" s="443" t="s">
        <v>745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292"/>
    </row>
    <row r="2" spans="1:16" s="449" customFormat="1" ht="24.95" customHeight="1">
      <c r="A2" s="292" t="s">
        <v>248</v>
      </c>
      <c r="B2" s="292" t="s">
        <v>165</v>
      </c>
      <c r="C2" s="373" t="s">
        <v>43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128</v>
      </c>
      <c r="J2" s="378" t="s">
        <v>135</v>
      </c>
      <c r="K2" s="378" t="s">
        <v>146</v>
      </c>
      <c r="L2" s="378" t="s">
        <v>180</v>
      </c>
      <c r="M2" s="378" t="s">
        <v>357</v>
      </c>
      <c r="N2" s="378" t="s">
        <v>641</v>
      </c>
      <c r="O2" s="378" t="s">
        <v>1103</v>
      </c>
      <c r="P2" s="271" t="s">
        <v>63</v>
      </c>
    </row>
    <row r="3" spans="1:16" ht="24.95" customHeight="1">
      <c r="A3" s="292" t="s">
        <v>249</v>
      </c>
      <c r="B3" s="292" t="s">
        <v>250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284"/>
    </row>
    <row r="4" spans="1:16" ht="24.95" customHeight="1">
      <c r="A4" s="284" t="s">
        <v>247</v>
      </c>
      <c r="B4" s="284" t="s">
        <v>32</v>
      </c>
      <c r="C4" s="284">
        <v>52881000</v>
      </c>
      <c r="D4" s="284">
        <v>78528000</v>
      </c>
      <c r="E4" s="284">
        <v>97212000</v>
      </c>
      <c r="F4" s="284">
        <v>76320000</v>
      </c>
      <c r="G4" s="284">
        <f>85872000-3192000</f>
        <v>82680000</v>
      </c>
      <c r="H4" s="284">
        <v>87312000</v>
      </c>
      <c r="I4" s="284">
        <f>113505600+4149600</f>
        <v>117655200</v>
      </c>
      <c r="J4" s="284">
        <f>119527200+4149600+54000000+6000000</f>
        <v>183676800</v>
      </c>
      <c r="K4" s="284">
        <f>183676800+12000000+27690000-4149600+4149600+4134000+4149600</f>
        <v>231650400</v>
      </c>
      <c r="L4" s="284">
        <v>231650400</v>
      </c>
      <c r="M4" s="284">
        <f>'shaq,3'!H14+36000000</f>
        <v>336955200</v>
      </c>
      <c r="N4" s="284">
        <v>330865600</v>
      </c>
      <c r="O4" s="284">
        <v>484567200</v>
      </c>
      <c r="P4" s="284">
        <f t="shared" ref="P4:P12" si="0">O4-N4</f>
        <v>153701600</v>
      </c>
    </row>
    <row r="5" spans="1:16" ht="24.95" customHeight="1">
      <c r="A5" s="284" t="s">
        <v>251</v>
      </c>
      <c r="B5" s="284" t="s">
        <v>811</v>
      </c>
      <c r="C5" s="284">
        <v>980000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>
        <v>0</v>
      </c>
      <c r="L5" s="284">
        <v>0</v>
      </c>
      <c r="M5" s="284">
        <v>0</v>
      </c>
      <c r="N5" s="284">
        <v>97200000</v>
      </c>
      <c r="O5" s="284">
        <v>97200000</v>
      </c>
      <c r="P5" s="284">
        <f t="shared" si="0"/>
        <v>0</v>
      </c>
    </row>
    <row r="6" spans="1:16" ht="24.95" customHeight="1">
      <c r="A6" s="284" t="s">
        <v>252</v>
      </c>
      <c r="B6" s="284" t="s">
        <v>1105</v>
      </c>
      <c r="C6" s="284">
        <v>10800000</v>
      </c>
      <c r="D6" s="284">
        <v>13944000</v>
      </c>
      <c r="E6" s="284">
        <v>17688000</v>
      </c>
      <c r="F6" s="284">
        <v>17688000</v>
      </c>
      <c r="G6" s="284">
        <v>21288000</v>
      </c>
      <c r="H6" s="284">
        <f>G6</f>
        <v>21288000</v>
      </c>
      <c r="I6" s="284">
        <v>21288000</v>
      </c>
      <c r="J6" s="284">
        <f>21288000+32400000+1440000</f>
        <v>55128000</v>
      </c>
      <c r="K6" s="284">
        <f>55128000+1440000+7920000</f>
        <v>64488000</v>
      </c>
      <c r="L6" s="284">
        <f>64488000+3600000</f>
        <v>68088000</v>
      </c>
      <c r="M6" s="284">
        <f>45888000+600000</f>
        <v>46488000</v>
      </c>
      <c r="N6" s="284">
        <v>86088000</v>
      </c>
      <c r="O6" s="284">
        <v>162000000</v>
      </c>
      <c r="P6" s="284">
        <f t="shared" si="0"/>
        <v>75912000</v>
      </c>
    </row>
    <row r="7" spans="1:16" ht="24.95" customHeight="1">
      <c r="A7" s="284" t="s">
        <v>253</v>
      </c>
      <c r="B7" s="284" t="s">
        <v>168</v>
      </c>
      <c r="C7" s="284"/>
      <c r="D7" s="284"/>
      <c r="E7" s="284"/>
      <c r="F7" s="284"/>
      <c r="G7" s="284"/>
      <c r="H7" s="284"/>
      <c r="I7" s="284"/>
      <c r="J7" s="284">
        <v>0</v>
      </c>
      <c r="K7" s="284">
        <v>0</v>
      </c>
      <c r="L7" s="284"/>
      <c r="M7" s="284"/>
      <c r="N7" s="284"/>
      <c r="O7" s="284"/>
      <c r="P7" s="284">
        <f t="shared" si="0"/>
        <v>0</v>
      </c>
    </row>
    <row r="8" spans="1:16" s="412" customFormat="1" ht="24.95" customHeight="1">
      <c r="A8" s="284" t="s">
        <v>254</v>
      </c>
      <c r="B8" s="284" t="s">
        <v>667</v>
      </c>
      <c r="C8" s="292">
        <f t="shared" ref="C8:J8" si="1">SUM(C4:C7)</f>
        <v>64661000</v>
      </c>
      <c r="D8" s="292">
        <f t="shared" si="1"/>
        <v>92472000</v>
      </c>
      <c r="E8" s="292">
        <f t="shared" si="1"/>
        <v>114900000</v>
      </c>
      <c r="F8" s="292">
        <f t="shared" si="1"/>
        <v>94008000</v>
      </c>
      <c r="G8" s="292">
        <f t="shared" si="1"/>
        <v>103968000</v>
      </c>
      <c r="H8" s="292">
        <f t="shared" si="1"/>
        <v>108600000</v>
      </c>
      <c r="I8" s="292">
        <f t="shared" si="1"/>
        <v>138943200</v>
      </c>
      <c r="J8" s="292">
        <f t="shared" si="1"/>
        <v>238804800</v>
      </c>
      <c r="K8" s="284">
        <v>3600000</v>
      </c>
      <c r="L8" s="284">
        <v>3600000</v>
      </c>
      <c r="M8" s="284">
        <v>33600000</v>
      </c>
      <c r="N8" s="284">
        <f>M8</f>
        <v>33600000</v>
      </c>
      <c r="O8" s="284">
        <v>40488000</v>
      </c>
      <c r="P8" s="284">
        <f t="shared" si="0"/>
        <v>6888000</v>
      </c>
    </row>
    <row r="9" spans="1:16" ht="24.95" customHeight="1">
      <c r="A9" s="292" t="s">
        <v>255</v>
      </c>
      <c r="B9" s="292" t="s">
        <v>256</v>
      </c>
      <c r="C9" s="284"/>
      <c r="D9" s="284"/>
      <c r="E9" s="284"/>
      <c r="F9" s="284"/>
      <c r="G9" s="284"/>
      <c r="H9" s="284"/>
      <c r="I9" s="284"/>
      <c r="J9" s="284"/>
      <c r="K9" s="284">
        <v>0</v>
      </c>
      <c r="L9" s="284">
        <v>0</v>
      </c>
      <c r="M9" s="284">
        <v>0</v>
      </c>
      <c r="N9" s="284">
        <v>0</v>
      </c>
      <c r="O9" s="284">
        <v>0</v>
      </c>
      <c r="P9" s="284">
        <f t="shared" si="0"/>
        <v>0</v>
      </c>
    </row>
    <row r="10" spans="1:16" ht="24.95" customHeight="1">
      <c r="A10" s="284" t="s">
        <v>257</v>
      </c>
      <c r="B10" s="284" t="s">
        <v>260</v>
      </c>
      <c r="C10" s="284">
        <v>0</v>
      </c>
      <c r="D10" s="284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92">
        <f>SUM(K4:K9)</f>
        <v>299738400</v>
      </c>
      <c r="L10" s="292">
        <v>0</v>
      </c>
      <c r="M10" s="292">
        <v>0</v>
      </c>
      <c r="N10" s="292">
        <v>0</v>
      </c>
      <c r="O10" s="292">
        <v>0</v>
      </c>
      <c r="P10" s="292">
        <f t="shared" si="0"/>
        <v>0</v>
      </c>
    </row>
    <row r="11" spans="1:16" ht="24.95" customHeight="1">
      <c r="A11" s="284" t="s">
        <v>259</v>
      </c>
      <c r="B11" s="284" t="s">
        <v>242</v>
      </c>
      <c r="C11" s="284">
        <v>17681000</v>
      </c>
      <c r="D11" s="284">
        <v>34100000</v>
      </c>
      <c r="E11" s="284">
        <v>34100000</v>
      </c>
      <c r="F11" s="284">
        <v>34100000</v>
      </c>
      <c r="G11" s="284">
        <v>42336000</v>
      </c>
      <c r="H11" s="284">
        <v>100000000</v>
      </c>
      <c r="I11" s="284">
        <v>100000000</v>
      </c>
      <c r="J11" s="284">
        <v>150000000</v>
      </c>
      <c r="K11" s="284"/>
      <c r="L11" s="284">
        <v>0</v>
      </c>
      <c r="M11" s="284">
        <v>0</v>
      </c>
      <c r="N11" s="284">
        <v>0</v>
      </c>
      <c r="O11" s="284">
        <v>0</v>
      </c>
      <c r="P11" s="284">
        <f t="shared" si="0"/>
        <v>0</v>
      </c>
    </row>
    <row r="12" spans="1:16" ht="24.95" customHeight="1">
      <c r="A12" s="284" t="s">
        <v>258</v>
      </c>
      <c r="B12" s="284" t="s">
        <v>261</v>
      </c>
      <c r="C12" s="284">
        <v>11700000</v>
      </c>
      <c r="D12" s="284">
        <v>15000000</v>
      </c>
      <c r="E12" s="284">
        <v>15000000</v>
      </c>
      <c r="F12" s="284">
        <v>15000000</v>
      </c>
      <c r="G12" s="284">
        <v>14400000</v>
      </c>
      <c r="H12" s="284">
        <v>20000000</v>
      </c>
      <c r="I12" s="284">
        <v>19364800</v>
      </c>
      <c r="J12" s="284">
        <v>19364800</v>
      </c>
      <c r="K12" s="284">
        <v>5958400</v>
      </c>
      <c r="L12" s="284">
        <v>0</v>
      </c>
      <c r="M12" s="284">
        <v>0</v>
      </c>
      <c r="N12" s="284">
        <v>0</v>
      </c>
      <c r="O12" s="284">
        <v>0</v>
      </c>
      <c r="P12" s="284">
        <f t="shared" si="0"/>
        <v>0</v>
      </c>
    </row>
    <row r="13" spans="1:16" ht="24.95" customHeight="1">
      <c r="A13" s="284"/>
      <c r="B13" s="292" t="s">
        <v>119</v>
      </c>
      <c r="C13" s="284">
        <v>5000000</v>
      </c>
      <c r="D13" s="284">
        <v>2000000</v>
      </c>
      <c r="E13" s="284">
        <v>2000000</v>
      </c>
      <c r="F13" s="284">
        <v>6000000</v>
      </c>
      <c r="G13" s="284">
        <v>4800000</v>
      </c>
      <c r="H13" s="284">
        <v>6000000</v>
      </c>
      <c r="I13" s="284">
        <v>4468800</v>
      </c>
      <c r="J13" s="284">
        <v>4468800</v>
      </c>
      <c r="K13" s="284">
        <v>26068000</v>
      </c>
      <c r="L13" s="292">
        <f>SUM(L4:L12)</f>
        <v>303338400</v>
      </c>
      <c r="M13" s="292">
        <f>SUM(M4:M12)</f>
        <v>417043200</v>
      </c>
      <c r="N13" s="292">
        <f>SUM(N4:N12)</f>
        <v>547753600</v>
      </c>
      <c r="O13" s="292">
        <f>SUM(O4:O12)</f>
        <v>784255200</v>
      </c>
      <c r="P13" s="292">
        <f>O13-N13</f>
        <v>236501600</v>
      </c>
    </row>
    <row r="14" spans="1:16" ht="24.95" customHeight="1">
      <c r="A14" s="292" t="s">
        <v>262</v>
      </c>
      <c r="B14" s="292" t="s">
        <v>263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8937600</v>
      </c>
      <c r="L14" s="284"/>
      <c r="M14" s="284"/>
      <c r="N14" s="284"/>
      <c r="O14" s="284"/>
      <c r="P14" s="284">
        <f>O14-N14</f>
        <v>0</v>
      </c>
    </row>
    <row r="15" spans="1:16" s="412" customFormat="1" ht="24.95" customHeight="1">
      <c r="A15" s="292" t="s">
        <v>265</v>
      </c>
      <c r="B15" s="292" t="s">
        <v>264</v>
      </c>
      <c r="C15" s="292">
        <f t="shared" ref="C15:H15" si="2">SUM(C10:C14)</f>
        <v>34381000</v>
      </c>
      <c r="D15" s="292">
        <f t="shared" si="2"/>
        <v>51100000</v>
      </c>
      <c r="E15" s="292">
        <f t="shared" si="2"/>
        <v>51100000</v>
      </c>
      <c r="F15" s="292">
        <f t="shared" si="2"/>
        <v>55100000</v>
      </c>
      <c r="G15" s="292">
        <f t="shared" si="2"/>
        <v>61536000</v>
      </c>
      <c r="H15" s="292">
        <f t="shared" si="2"/>
        <v>126000000</v>
      </c>
      <c r="I15" s="292">
        <f>SUM(I10:I14)</f>
        <v>123833600</v>
      </c>
      <c r="J15" s="292">
        <f>SUM(J10:J14)</f>
        <v>173833600</v>
      </c>
      <c r="K15" s="284">
        <v>7448000</v>
      </c>
      <c r="L15" s="284"/>
      <c r="M15" s="284"/>
      <c r="N15" s="284"/>
      <c r="O15" s="284"/>
      <c r="P15" s="284">
        <f>O15-N15</f>
        <v>0</v>
      </c>
    </row>
    <row r="16" spans="1:16" ht="24.95" customHeight="1">
      <c r="A16" s="284" t="s">
        <v>266</v>
      </c>
      <c r="B16" s="284" t="s">
        <v>38</v>
      </c>
      <c r="C16" s="284"/>
      <c r="D16" s="284"/>
      <c r="E16" s="284"/>
      <c r="F16" s="284"/>
      <c r="G16" s="284"/>
      <c r="H16" s="284"/>
      <c r="I16" s="284"/>
      <c r="J16" s="284"/>
      <c r="K16" s="284">
        <v>0</v>
      </c>
      <c r="L16" s="284">
        <v>6000000</v>
      </c>
      <c r="M16" s="284">
        <f>6000000*70%</f>
        <v>4200000</v>
      </c>
      <c r="N16" s="284">
        <f>6000000*70%</f>
        <v>4200000</v>
      </c>
      <c r="O16" s="284">
        <v>30000000</v>
      </c>
      <c r="P16" s="284">
        <f t="shared" ref="P16:P24" si="3">O16-N16</f>
        <v>25800000</v>
      </c>
    </row>
    <row r="17" spans="1:16" ht="24.95" customHeight="1">
      <c r="A17" s="284" t="s">
        <v>269</v>
      </c>
      <c r="B17" s="284" t="s">
        <v>186</v>
      </c>
      <c r="C17" s="284"/>
      <c r="D17" s="284"/>
      <c r="E17" s="284"/>
      <c r="F17" s="284"/>
      <c r="G17" s="284"/>
      <c r="H17" s="284"/>
      <c r="I17" s="284"/>
      <c r="J17" s="284"/>
      <c r="K17" s="284">
        <v>604024800</v>
      </c>
      <c r="L17" s="284">
        <v>40000000</v>
      </c>
      <c r="M17" s="284">
        <f>40000000*70%</f>
        <v>28000000</v>
      </c>
      <c r="N17" s="284">
        <f>40000000*70%</f>
        <v>28000000</v>
      </c>
      <c r="O17" s="284">
        <f>40000000*70%</f>
        <v>28000000</v>
      </c>
      <c r="P17" s="284">
        <f t="shared" si="3"/>
        <v>0</v>
      </c>
    </row>
    <row r="18" spans="1:16" ht="24.95" customHeight="1">
      <c r="A18" s="284" t="s">
        <v>270</v>
      </c>
      <c r="B18" s="284" t="s">
        <v>163</v>
      </c>
      <c r="C18" s="284">
        <v>3000000</v>
      </c>
      <c r="D18" s="284">
        <v>2000000</v>
      </c>
      <c r="E18" s="284">
        <v>2000000</v>
      </c>
      <c r="F18" s="284">
        <v>2000000</v>
      </c>
      <c r="G18" s="284">
        <v>3200000</v>
      </c>
      <c r="H18" s="284">
        <v>4000000</v>
      </c>
      <c r="I18" s="284">
        <v>2979200</v>
      </c>
      <c r="J18" s="284">
        <v>2979200</v>
      </c>
      <c r="K18" s="284">
        <v>11172000</v>
      </c>
      <c r="L18" s="284">
        <v>8937600</v>
      </c>
      <c r="M18" s="284">
        <f>8937600*70%</f>
        <v>6256320</v>
      </c>
      <c r="N18" s="284">
        <v>144000000</v>
      </c>
      <c r="O18" s="284">
        <v>0</v>
      </c>
      <c r="P18" s="284">
        <f t="shared" si="3"/>
        <v>-144000000</v>
      </c>
    </row>
    <row r="19" spans="1:16" ht="24.95" customHeight="1">
      <c r="A19" s="284" t="s">
        <v>271</v>
      </c>
      <c r="B19" s="284" t="s">
        <v>154</v>
      </c>
      <c r="C19" s="284">
        <v>5000000</v>
      </c>
      <c r="D19" s="284">
        <v>1500000</v>
      </c>
      <c r="E19" s="284">
        <v>1500000</v>
      </c>
      <c r="F19" s="284">
        <v>1500000</v>
      </c>
      <c r="G19" s="284">
        <v>1600000</v>
      </c>
      <c r="H19" s="284">
        <v>2000000</v>
      </c>
      <c r="I19" s="284">
        <v>1489600</v>
      </c>
      <c r="J19" s="284">
        <v>1489600</v>
      </c>
      <c r="K19" s="284">
        <v>0</v>
      </c>
      <c r="L19" s="284">
        <v>9000000</v>
      </c>
      <c r="M19" s="284">
        <f>9000000*70%</f>
        <v>6300000</v>
      </c>
      <c r="N19" s="284">
        <v>0</v>
      </c>
      <c r="O19" s="284">
        <v>0</v>
      </c>
      <c r="P19" s="284">
        <f t="shared" si="3"/>
        <v>0</v>
      </c>
    </row>
    <row r="20" spans="1:16" ht="24.95" customHeight="1">
      <c r="A20" s="284" t="s">
        <v>803</v>
      </c>
      <c r="B20" s="284" t="s">
        <v>804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>
        <v>21600000</v>
      </c>
      <c r="O20" s="284">
        <v>40000000</v>
      </c>
      <c r="P20" s="284">
        <f t="shared" si="3"/>
        <v>18400000</v>
      </c>
    </row>
    <row r="21" spans="1:16" ht="24.95" customHeight="1">
      <c r="A21" s="284" t="s">
        <v>274</v>
      </c>
      <c r="B21" s="284" t="s">
        <v>164</v>
      </c>
      <c r="C21" s="284">
        <v>6000000</v>
      </c>
      <c r="D21" s="284">
        <f>7000000+1500000</f>
        <v>8500000</v>
      </c>
      <c r="E21" s="284">
        <v>8500000</v>
      </c>
      <c r="F21" s="284">
        <v>14500000</v>
      </c>
      <c r="G21" s="284">
        <v>12000000</v>
      </c>
      <c r="H21" s="284">
        <v>15000000</v>
      </c>
      <c r="I21" s="284">
        <v>18620000</v>
      </c>
      <c r="J21" s="284">
        <v>30000000</v>
      </c>
      <c r="K21" s="284">
        <v>0</v>
      </c>
      <c r="L21" s="284">
        <v>10000000</v>
      </c>
      <c r="M21" s="284">
        <f>10000000*70%</f>
        <v>7000000</v>
      </c>
      <c r="N21" s="284">
        <f>10000000*70%</f>
        <v>7000000</v>
      </c>
      <c r="O21" s="284">
        <f>10000000*70%</f>
        <v>7000000</v>
      </c>
      <c r="P21" s="284">
        <f t="shared" si="3"/>
        <v>0</v>
      </c>
    </row>
    <row r="22" spans="1:16" ht="24.95" customHeight="1">
      <c r="A22" s="284" t="s">
        <v>275</v>
      </c>
      <c r="B22" s="284" t="s">
        <v>40</v>
      </c>
      <c r="C22" s="284">
        <v>4000000</v>
      </c>
      <c r="D22" s="284">
        <v>0</v>
      </c>
      <c r="E22" s="284">
        <v>3500000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100000000</v>
      </c>
      <c r="L22" s="284">
        <v>8937600</v>
      </c>
      <c r="M22" s="284">
        <f>8937600*70%</f>
        <v>6256320</v>
      </c>
      <c r="N22" s="284">
        <v>36072000</v>
      </c>
      <c r="O22" s="284">
        <v>36072000</v>
      </c>
      <c r="P22" s="284">
        <f t="shared" si="3"/>
        <v>0</v>
      </c>
    </row>
    <row r="23" spans="1:16" ht="24.95" customHeight="1">
      <c r="A23" s="283" t="s">
        <v>311</v>
      </c>
      <c r="B23" s="284" t="s">
        <v>1154</v>
      </c>
      <c r="C23" s="284">
        <v>30688000</v>
      </c>
      <c r="D23" s="284">
        <v>3000000</v>
      </c>
      <c r="E23" s="284">
        <v>3000000</v>
      </c>
      <c r="F23" s="284">
        <v>3000000</v>
      </c>
      <c r="G23" s="284">
        <v>2400000</v>
      </c>
      <c r="H23" s="284">
        <v>3000000</v>
      </c>
      <c r="I23" s="284">
        <v>2234400</v>
      </c>
      <c r="J23" s="284">
        <v>2234400</v>
      </c>
      <c r="K23" s="284">
        <v>30688000</v>
      </c>
      <c r="L23" s="284">
        <f>30688000*70%</f>
        <v>21481600</v>
      </c>
      <c r="M23" s="284">
        <f>30688000*70%</f>
        <v>21481600</v>
      </c>
      <c r="N23" s="284">
        <v>0</v>
      </c>
      <c r="O23" s="284">
        <v>126000000</v>
      </c>
      <c r="P23" s="284">
        <f t="shared" si="3"/>
        <v>126000000</v>
      </c>
    </row>
    <row r="24" spans="1:16" ht="24.95" customHeight="1">
      <c r="A24" s="284" t="s">
        <v>277</v>
      </c>
      <c r="B24" s="284" t="s">
        <v>218</v>
      </c>
      <c r="C24" s="284"/>
      <c r="D24" s="284"/>
      <c r="E24" s="284"/>
      <c r="F24" s="284"/>
      <c r="G24" s="284"/>
      <c r="H24" s="284"/>
      <c r="I24" s="284"/>
      <c r="J24" s="284"/>
      <c r="K24" s="292">
        <f>SUM(K21:K22)</f>
        <v>100000000</v>
      </c>
      <c r="L24" s="284">
        <v>11172000</v>
      </c>
      <c r="M24" s="284">
        <f>11172000*70%</f>
        <v>7820399.9999999991</v>
      </c>
      <c r="N24" s="284">
        <v>0</v>
      </c>
      <c r="O24" s="284">
        <v>0</v>
      </c>
      <c r="P24" s="284">
        <f t="shared" si="3"/>
        <v>0</v>
      </c>
    </row>
    <row r="25" spans="1:16" ht="24.95" customHeight="1">
      <c r="A25" s="284" t="s">
        <v>733</v>
      </c>
      <c r="B25" s="284" t="s">
        <v>751</v>
      </c>
      <c r="C25" s="284"/>
      <c r="D25" s="284"/>
      <c r="E25" s="284"/>
      <c r="F25" s="284"/>
      <c r="G25" s="284"/>
      <c r="H25" s="284"/>
      <c r="I25" s="284"/>
      <c r="J25" s="284"/>
      <c r="K25" s="292"/>
      <c r="L25" s="284"/>
      <c r="M25" s="284"/>
      <c r="N25" s="284">
        <v>5274720</v>
      </c>
      <c r="O25" s="284"/>
      <c r="P25" s="284">
        <f t="shared" ref="P25:P47" si="4">O25-N25</f>
        <v>-5274720</v>
      </c>
    </row>
    <row r="26" spans="1:16" ht="24.95" customHeight="1">
      <c r="A26" s="284"/>
      <c r="B26" s="292" t="s">
        <v>119</v>
      </c>
      <c r="C26" s="284">
        <v>10000000</v>
      </c>
      <c r="D26" s="284">
        <v>0</v>
      </c>
      <c r="E26" s="284">
        <v>0</v>
      </c>
      <c r="F26" s="284">
        <v>0</v>
      </c>
      <c r="G26" s="284">
        <v>0</v>
      </c>
      <c r="H26" s="284">
        <v>15000000</v>
      </c>
      <c r="I26" s="284">
        <v>11172000</v>
      </c>
      <c r="J26" s="284">
        <v>11172000</v>
      </c>
      <c r="K26" s="292" t="e">
        <f>SUM(#REF!)</f>
        <v>#REF!</v>
      </c>
      <c r="L26" s="292">
        <f>SUM(L14:L24)</f>
        <v>115528800</v>
      </c>
      <c r="M26" s="292">
        <f>SUM(M16:M24)</f>
        <v>87314640</v>
      </c>
      <c r="N26" s="292">
        <f>SUM(N16:N25)</f>
        <v>246146720</v>
      </c>
      <c r="O26" s="292">
        <f>SUM(O16:O25)</f>
        <v>267072000</v>
      </c>
      <c r="P26" s="292">
        <f t="shared" si="4"/>
        <v>20925280</v>
      </c>
    </row>
    <row r="27" spans="1:16" ht="24.95" customHeight="1">
      <c r="A27" s="292" t="s">
        <v>279</v>
      </c>
      <c r="B27" s="292" t="s">
        <v>278</v>
      </c>
      <c r="C27" s="284">
        <v>0</v>
      </c>
      <c r="D27" s="284">
        <v>0</v>
      </c>
      <c r="E27" s="284">
        <v>3418500</v>
      </c>
      <c r="F27" s="284">
        <v>27430292</v>
      </c>
      <c r="G27" s="284">
        <v>0</v>
      </c>
      <c r="H27" s="284">
        <v>0</v>
      </c>
      <c r="I27" s="284">
        <v>0</v>
      </c>
      <c r="J27" s="284">
        <v>0</v>
      </c>
      <c r="K27" s="284"/>
      <c r="L27" s="284"/>
      <c r="M27" s="284"/>
      <c r="N27" s="284"/>
      <c r="O27" s="284"/>
      <c r="P27" s="284">
        <f t="shared" si="4"/>
        <v>0</v>
      </c>
    </row>
    <row r="28" spans="1:16" s="412" customFormat="1" ht="24.95" customHeight="1">
      <c r="A28" s="284" t="s">
        <v>280</v>
      </c>
      <c r="B28" s="284" t="s">
        <v>160</v>
      </c>
      <c r="C28" s="284"/>
      <c r="D28" s="284"/>
      <c r="E28" s="284"/>
      <c r="F28" s="284"/>
      <c r="G28" s="284"/>
      <c r="H28" s="284">
        <v>0</v>
      </c>
      <c r="I28" s="284">
        <v>150000000</v>
      </c>
      <c r="J28" s="284">
        <v>224480000</v>
      </c>
      <c r="K28" s="284">
        <v>18620000</v>
      </c>
      <c r="L28" s="284">
        <v>0</v>
      </c>
      <c r="M28" s="284">
        <v>0</v>
      </c>
      <c r="N28" s="284">
        <v>0</v>
      </c>
      <c r="O28" s="284">
        <v>0</v>
      </c>
      <c r="P28" s="284">
        <f t="shared" si="4"/>
        <v>0</v>
      </c>
    </row>
    <row r="29" spans="1:16" ht="24.95" customHeight="1">
      <c r="A29" s="284" t="s">
        <v>281</v>
      </c>
      <c r="B29" s="284" t="s">
        <v>161</v>
      </c>
      <c r="C29" s="292" t="e">
        <f>#REF!+#REF!+#REF!+C15+C8</f>
        <v>#REF!</v>
      </c>
      <c r="D29" s="292" t="e">
        <f>#REF!+#REF!+#REF!+D15+D8</f>
        <v>#REF!</v>
      </c>
      <c r="E29" s="292" t="e">
        <f>#REF!+#REF!+#REF!+E15+E8</f>
        <v>#REF!</v>
      </c>
      <c r="F29" s="292" t="e">
        <f>#REF!+#REF!+#REF!+F15+F8</f>
        <v>#REF!</v>
      </c>
      <c r="G29" s="292" t="e">
        <f>#REF!+#REF!+#REF!+G15+G8</f>
        <v>#REF!</v>
      </c>
      <c r="H29" s="292" t="e">
        <f>#REF!+#REF!+#REF!+H15+H8</f>
        <v>#REF!</v>
      </c>
      <c r="I29" s="292" t="e">
        <f>#REF!+#REF!+#REF!+I15+I8</f>
        <v>#REF!</v>
      </c>
      <c r="J29" s="292" t="e">
        <f>#REF!+#REF!+#REF!+J15+J8</f>
        <v>#REF!</v>
      </c>
      <c r="K29" s="284">
        <v>2234400</v>
      </c>
      <c r="L29" s="284">
        <v>200000000</v>
      </c>
      <c r="M29" s="284">
        <f>200000000*70%+9900000</f>
        <v>149900000</v>
      </c>
      <c r="N29" s="284">
        <f>M29*80%</f>
        <v>119920000</v>
      </c>
      <c r="O29" s="284">
        <v>239840000</v>
      </c>
      <c r="P29" s="284">
        <f t="shared" si="4"/>
        <v>119920000</v>
      </c>
    </row>
    <row r="30" spans="1:16" ht="24.95" customHeight="1">
      <c r="A30" s="284" t="s">
        <v>282</v>
      </c>
      <c r="B30" s="284" t="s">
        <v>155</v>
      </c>
      <c r="C30" s="335"/>
      <c r="D30" s="335"/>
      <c r="E30" s="335"/>
      <c r="F30" s="336" t="e">
        <f>SUM(F24:F29)</f>
        <v>#REF!</v>
      </c>
      <c r="G30" s="336"/>
      <c r="H30" s="336" t="s">
        <v>4</v>
      </c>
      <c r="I30" s="336"/>
      <c r="J30" s="336"/>
      <c r="K30" s="361">
        <f>SUM(K28:K29)</f>
        <v>20854400</v>
      </c>
      <c r="L30" s="336">
        <v>26000000</v>
      </c>
      <c r="M30" s="336">
        <f>26000000*70%</f>
        <v>18200000</v>
      </c>
      <c r="N30" s="336">
        <v>22000000</v>
      </c>
      <c r="O30" s="336">
        <v>30000000</v>
      </c>
      <c r="P30" s="284">
        <f t="shared" si="4"/>
        <v>8000000</v>
      </c>
    </row>
    <row r="31" spans="1:16" ht="24.95" customHeight="1">
      <c r="A31" s="284" t="s">
        <v>283</v>
      </c>
      <c r="B31" s="284" t="s">
        <v>156</v>
      </c>
      <c r="C31" s="335"/>
      <c r="D31" s="335"/>
      <c r="E31" s="335"/>
      <c r="F31" s="336" t="e">
        <f>F29-F30</f>
        <v>#REF!</v>
      </c>
      <c r="G31" s="336"/>
      <c r="H31" s="336"/>
      <c r="I31" s="336"/>
      <c r="J31" s="336"/>
      <c r="K31" s="361" t="e">
        <f>K30+K26+K24+#REF!+K10</f>
        <v>#REF!</v>
      </c>
      <c r="L31" s="336">
        <v>6000000</v>
      </c>
      <c r="M31" s="336">
        <f>6000000*70%</f>
        <v>4200000</v>
      </c>
      <c r="N31" s="336">
        <f>6000000*70%</f>
        <v>4200000</v>
      </c>
      <c r="O31" s="336">
        <f>6000000*70%</f>
        <v>4200000</v>
      </c>
      <c r="P31" s="284">
        <f t="shared" si="4"/>
        <v>0</v>
      </c>
    </row>
    <row r="32" spans="1:16" ht="24.95" customHeight="1">
      <c r="A32" s="284"/>
      <c r="B32" s="292" t="s">
        <v>119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61">
        <f>SUM(L29:L31)</f>
        <v>232000000</v>
      </c>
      <c r="M32" s="361">
        <f>SUM(M29:M31)</f>
        <v>172300000</v>
      </c>
      <c r="N32" s="361">
        <f>SUM(N29:N31)</f>
        <v>146120000</v>
      </c>
      <c r="O32" s="361">
        <f>SUM(O29:O31)</f>
        <v>274040000</v>
      </c>
      <c r="P32" s="292">
        <f t="shared" si="4"/>
        <v>127920000</v>
      </c>
    </row>
    <row r="33" spans="1:16" ht="24.95" customHeight="1">
      <c r="A33" s="292" t="s">
        <v>285</v>
      </c>
      <c r="B33" s="292" t="s">
        <v>158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284">
        <f t="shared" si="4"/>
        <v>0</v>
      </c>
    </row>
    <row r="34" spans="1:16" ht="24.95" customHeight="1">
      <c r="A34" s="284" t="s">
        <v>286</v>
      </c>
      <c r="B34" s="284" t="s">
        <v>55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60">
        <v>30000000</v>
      </c>
      <c r="M34" s="360">
        <f>30000000*70%</f>
        <v>21000000</v>
      </c>
      <c r="N34" s="360">
        <f>30000000*70%</f>
        <v>21000000</v>
      </c>
      <c r="O34" s="360">
        <f>30000000*70%</f>
        <v>21000000</v>
      </c>
      <c r="P34" s="284">
        <f t="shared" si="4"/>
        <v>0</v>
      </c>
    </row>
    <row r="35" spans="1:16" ht="24.95" customHeight="1">
      <c r="A35" s="284" t="s">
        <v>288</v>
      </c>
      <c r="B35" s="284" t="s">
        <v>287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60">
        <v>5000000</v>
      </c>
      <c r="M35" s="360">
        <f>5000000*70%</f>
        <v>3500000</v>
      </c>
      <c r="N35" s="360">
        <f>5000000*70%</f>
        <v>3500000</v>
      </c>
      <c r="O35" s="360">
        <f>5000000*70%</f>
        <v>3500000</v>
      </c>
      <c r="P35" s="284">
        <f t="shared" si="4"/>
        <v>0</v>
      </c>
    </row>
    <row r="36" spans="1:16" ht="24.95" customHeight="1">
      <c r="A36" s="284"/>
      <c r="B36" s="292" t="s">
        <v>119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83">
        <f>SUM(L34:L35)</f>
        <v>35000000</v>
      </c>
      <c r="M36" s="383">
        <f>SUM(M34:M35)</f>
        <v>24500000</v>
      </c>
      <c r="N36" s="383">
        <f>SUM(N34:N35)</f>
        <v>24500000</v>
      </c>
      <c r="O36" s="383">
        <f>SUM(O34:O35)</f>
        <v>24500000</v>
      </c>
      <c r="P36" s="292">
        <f t="shared" si="4"/>
        <v>0</v>
      </c>
    </row>
    <row r="37" spans="1:16" ht="24.95" customHeight="1">
      <c r="A37" s="292" t="s">
        <v>293</v>
      </c>
      <c r="B37" s="292" t="s">
        <v>292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284">
        <f t="shared" si="4"/>
        <v>0</v>
      </c>
    </row>
    <row r="38" spans="1:16" ht="24.95" customHeight="1">
      <c r="A38" s="292" t="s">
        <v>294</v>
      </c>
      <c r="B38" s="292" t="s">
        <v>291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284">
        <f t="shared" si="4"/>
        <v>0</v>
      </c>
    </row>
    <row r="39" spans="1:16" ht="24.95" customHeight="1">
      <c r="A39" s="284" t="s">
        <v>389</v>
      </c>
      <c r="B39" s="284" t="s">
        <v>307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60">
        <v>10000000</v>
      </c>
      <c r="M39" s="360">
        <f>18657570*70%</f>
        <v>13060299</v>
      </c>
      <c r="N39" s="284">
        <v>0</v>
      </c>
      <c r="O39" s="284">
        <v>50000000</v>
      </c>
      <c r="P39" s="284">
        <f t="shared" si="4"/>
        <v>50000000</v>
      </c>
    </row>
    <row r="40" spans="1:16" ht="24.95" customHeight="1">
      <c r="A40" s="284" t="s">
        <v>388</v>
      </c>
      <c r="B40" s="284" t="s">
        <v>309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>
        <v>0</v>
      </c>
      <c r="M40" s="360">
        <f>108000000*70%+32400000+108000000</f>
        <v>216000000</v>
      </c>
      <c r="N40" s="284">
        <v>67200000</v>
      </c>
      <c r="O40" s="284">
        <v>0</v>
      </c>
      <c r="P40" s="284">
        <f t="shared" si="4"/>
        <v>-67200000</v>
      </c>
    </row>
    <row r="41" spans="1:16" ht="24.95" customHeight="1">
      <c r="A41" s="284" t="s">
        <v>295</v>
      </c>
      <c r="B41" s="284" t="s">
        <v>176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60">
        <v>4000000</v>
      </c>
      <c r="M41" s="360">
        <f>4000000*70%</f>
        <v>2800000</v>
      </c>
      <c r="N41" s="284">
        <v>0</v>
      </c>
      <c r="O41" s="284">
        <v>15000000</v>
      </c>
      <c r="P41" s="284">
        <f t="shared" si="4"/>
        <v>15000000</v>
      </c>
    </row>
    <row r="42" spans="1:16" ht="24.95" customHeight="1">
      <c r="A42" s="284" t="s">
        <v>296</v>
      </c>
      <c r="B42" s="284" t="s">
        <v>177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60">
        <v>1489600</v>
      </c>
      <c r="M42" s="360">
        <f>1489600*70%</f>
        <v>1042719.9999999999</v>
      </c>
      <c r="N42" s="284">
        <v>0</v>
      </c>
      <c r="O42" s="284">
        <v>10000000</v>
      </c>
      <c r="P42" s="284">
        <f t="shared" si="4"/>
        <v>10000000</v>
      </c>
    </row>
    <row r="43" spans="1:16" ht="24.95" customHeight="1">
      <c r="A43" s="284"/>
      <c r="B43" s="292" t="s">
        <v>119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83">
        <f>SUM(L39:L42)</f>
        <v>15489600</v>
      </c>
      <c r="M43" s="383">
        <f>SUM(M39:M42)</f>
        <v>232903019</v>
      </c>
      <c r="N43" s="292">
        <f>SUM(N39:N42)</f>
        <v>67200000</v>
      </c>
      <c r="O43" s="292">
        <f>SUM(O39:O42)</f>
        <v>75000000</v>
      </c>
      <c r="P43" s="284">
        <f t="shared" si="4"/>
        <v>7800000</v>
      </c>
    </row>
    <row r="44" spans="1:16" ht="24.95" customHeight="1">
      <c r="A44" s="284" t="s">
        <v>338</v>
      </c>
      <c r="B44" s="292" t="s">
        <v>731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83"/>
      <c r="M44" s="383"/>
      <c r="N44" s="284"/>
      <c r="O44" s="284"/>
      <c r="P44" s="284">
        <f t="shared" si="4"/>
        <v>0</v>
      </c>
    </row>
    <row r="45" spans="1:16" ht="24.95" customHeight="1">
      <c r="A45" s="284" t="s">
        <v>446</v>
      </c>
      <c r="B45" s="292" t="s">
        <v>746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83"/>
      <c r="M45" s="360">
        <v>0</v>
      </c>
      <c r="N45" s="284">
        <v>600000000</v>
      </c>
      <c r="O45" s="284">
        <v>360000000</v>
      </c>
      <c r="P45" s="284">
        <f t="shared" si="4"/>
        <v>-240000000</v>
      </c>
    </row>
    <row r="46" spans="1:16" ht="24.95" customHeight="1">
      <c r="A46" s="284"/>
      <c r="B46" s="292" t="s">
        <v>119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83"/>
      <c r="M46" s="360">
        <v>0</v>
      </c>
      <c r="N46" s="292">
        <f>SUM(N45)</f>
        <v>600000000</v>
      </c>
      <c r="O46" s="292">
        <f>SUM(O45)</f>
        <v>360000000</v>
      </c>
      <c r="P46" s="292">
        <f t="shared" si="4"/>
        <v>-240000000</v>
      </c>
    </row>
    <row r="47" spans="1:16" ht="24.95" customHeight="1">
      <c r="A47" s="284"/>
      <c r="B47" s="292" t="s">
        <v>42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61">
        <f>L43+L36+L32+L26+L13</f>
        <v>701356800</v>
      </c>
      <c r="M47" s="361">
        <f>M43+M36+M32+M26+M13</f>
        <v>934060859</v>
      </c>
      <c r="N47" s="361">
        <f>N46+N43+N36+N32+N26+N13</f>
        <v>1631720320</v>
      </c>
      <c r="O47" s="361">
        <f>O46+O43+O36+O32+O26+O13</f>
        <v>1784867200</v>
      </c>
      <c r="P47" s="292">
        <f t="shared" si="4"/>
        <v>153146880</v>
      </c>
    </row>
    <row r="48" spans="1:16" ht="24.95" customHeight="1">
      <c r="B48" s="450"/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1"/>
      <c r="O48" s="451"/>
      <c r="P48" s="452"/>
    </row>
  </sheetData>
  <phoneticPr fontId="0" type="noConversion"/>
  <printOptions horizontalCentered="1" verticalCentered="1" gridLines="1"/>
  <pageMargins left="0.3" right="0.4" top="0.67" bottom="0.81" header="0.25" footer="0.5"/>
  <pageSetup scale="58" orientation="portrait" r:id="rId1"/>
  <headerFooter alignWithMargins="0">
    <oddHeader>&amp;C&amp;"Algerian,Regular"&amp;28Wasaaradda Cadaaladda.</oddHeader>
    <oddFooter>&amp;R&amp;"Times New Roman,Bold"&amp;14 13</oddFooter>
  </headerFooter>
  <ignoredErrors>
    <ignoredError sqref="L43 L36 L32" formulaRange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/>
  <dimension ref="A1:R51"/>
  <sheetViews>
    <sheetView view="pageBreakPreview" zoomScale="60" zoomScaleNormal="75" zoomScalePageLayoutView="70" workbookViewId="0">
      <selection sqref="A1:XFD1048576"/>
    </sheetView>
  </sheetViews>
  <sheetFormatPr defaultRowHeight="12.75"/>
  <cols>
    <col min="1" max="1" width="19.1640625" style="155" bestFit="1" customWidth="1"/>
    <col min="2" max="2" width="93.83203125" style="155" bestFit="1" customWidth="1"/>
    <col min="3" max="3" width="0.1640625" style="155" hidden="1" customWidth="1"/>
    <col min="4" max="4" width="17.6640625" style="155" hidden="1" customWidth="1"/>
    <col min="5" max="5" width="18" style="155" hidden="1" customWidth="1"/>
    <col min="6" max="6" width="17.6640625" style="155" hidden="1" customWidth="1"/>
    <col min="7" max="7" width="20.33203125" style="155" hidden="1" customWidth="1"/>
    <col min="8" max="8" width="22" style="155" hidden="1" customWidth="1"/>
    <col min="9" max="9" width="1.33203125" style="155" hidden="1" customWidth="1"/>
    <col min="10" max="10" width="0.83203125" style="155" hidden="1" customWidth="1"/>
    <col min="11" max="11" width="22.33203125" style="155" hidden="1" customWidth="1"/>
    <col min="12" max="12" width="25.1640625" style="155" hidden="1" customWidth="1"/>
    <col min="13" max="13" width="31.1640625" style="155" hidden="1" customWidth="1"/>
    <col min="14" max="15" width="31.6640625" style="155" bestFit="1" customWidth="1"/>
    <col min="16" max="16" width="28" style="155" bestFit="1" customWidth="1"/>
    <col min="17" max="17" width="17" style="155" customWidth="1"/>
    <col min="18" max="16384" width="9.33203125" style="155"/>
  </cols>
  <sheetData>
    <row r="1" spans="1:18" ht="30" customHeight="1">
      <c r="A1" s="373" t="s">
        <v>45</v>
      </c>
      <c r="B1" s="443" t="s">
        <v>871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8" s="426" customFormat="1" ht="30" customHeight="1">
      <c r="A2" s="292" t="s">
        <v>248</v>
      </c>
      <c r="B2" s="292" t="s">
        <v>165</v>
      </c>
      <c r="C2" s="378" t="s">
        <v>43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130</v>
      </c>
      <c r="J2" s="378" t="s">
        <v>135</v>
      </c>
      <c r="K2" s="378" t="s">
        <v>180</v>
      </c>
      <c r="L2" s="378" t="s">
        <v>180</v>
      </c>
      <c r="M2" s="378" t="s">
        <v>297</v>
      </c>
      <c r="N2" s="378" t="s">
        <v>641</v>
      </c>
      <c r="O2" s="378" t="s">
        <v>1103</v>
      </c>
      <c r="P2" s="271" t="s">
        <v>63</v>
      </c>
      <c r="Q2" s="453"/>
    </row>
    <row r="3" spans="1:18" ht="30" customHeight="1">
      <c r="A3" s="292" t="s">
        <v>249</v>
      </c>
      <c r="B3" s="292" t="s">
        <v>250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8" ht="30" customHeight="1">
      <c r="A4" s="284" t="s">
        <v>247</v>
      </c>
      <c r="B4" s="284" t="s">
        <v>32</v>
      </c>
      <c r="C4" s="284">
        <v>2136768000</v>
      </c>
      <c r="D4" s="284">
        <v>2136768000</v>
      </c>
      <c r="E4" s="284">
        <v>2567568000</v>
      </c>
      <c r="F4" s="284">
        <v>2653728000</v>
      </c>
      <c r="G4" s="284">
        <v>3515328000</v>
      </c>
      <c r="H4" s="284">
        <f>G4</f>
        <v>3515328000</v>
      </c>
      <c r="I4" s="284">
        <f>4569926400+318240000</f>
        <v>4888166400</v>
      </c>
      <c r="J4" s="284">
        <v>5152305600</v>
      </c>
      <c r="K4" s="284">
        <v>5788785600</v>
      </c>
      <c r="L4" s="284">
        <f>5152305600+636480000</f>
        <v>5788785600</v>
      </c>
      <c r="M4" s="284">
        <v>13817980800</v>
      </c>
      <c r="N4" s="284">
        <v>13817980800</v>
      </c>
      <c r="O4" s="284">
        <v>13633401600</v>
      </c>
      <c r="P4" s="336">
        <f>O4-N4</f>
        <v>-184579200</v>
      </c>
    </row>
    <row r="5" spans="1:18" ht="30" customHeight="1">
      <c r="A5" s="284" t="s">
        <v>251</v>
      </c>
      <c r="B5" s="284" t="s">
        <v>33</v>
      </c>
      <c r="C5" s="284">
        <v>7200000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/>
      <c r="L5" s="284">
        <v>0</v>
      </c>
      <c r="M5" s="284">
        <v>0</v>
      </c>
      <c r="N5" s="284">
        <v>0</v>
      </c>
      <c r="O5" s="284">
        <v>0</v>
      </c>
      <c r="P5" s="336">
        <f t="shared" ref="P5:P48" si="0">O5-N5</f>
        <v>0</v>
      </c>
    </row>
    <row r="6" spans="1:18" ht="30" customHeight="1">
      <c r="A6" s="284" t="s">
        <v>252</v>
      </c>
      <c r="B6" s="284" t="s">
        <v>1105</v>
      </c>
      <c r="C6" s="284">
        <v>23600000</v>
      </c>
      <c r="D6" s="284">
        <v>23600000</v>
      </c>
      <c r="E6" s="284">
        <v>23600000</v>
      </c>
      <c r="F6" s="284">
        <v>23600000</v>
      </c>
      <c r="G6" s="284">
        <f>F6</f>
        <v>23600000</v>
      </c>
      <c r="H6" s="284">
        <v>60000000</v>
      </c>
      <c r="I6" s="284">
        <v>100000000</v>
      </c>
      <c r="J6" s="284">
        <v>100000000</v>
      </c>
      <c r="K6" s="284">
        <v>100000000</v>
      </c>
      <c r="L6" s="284">
        <v>100000000</v>
      </c>
      <c r="M6" s="284">
        <v>695600000</v>
      </c>
      <c r="N6" s="284">
        <f>M6</f>
        <v>695600000</v>
      </c>
      <c r="O6" s="284">
        <f>N6</f>
        <v>695600000</v>
      </c>
      <c r="P6" s="336">
        <f t="shared" si="0"/>
        <v>0</v>
      </c>
    </row>
    <row r="7" spans="1:18" ht="30" customHeight="1">
      <c r="A7" s="292" t="s">
        <v>255</v>
      </c>
      <c r="B7" s="292" t="s">
        <v>256</v>
      </c>
      <c r="C7" s="284">
        <v>12777300</v>
      </c>
      <c r="D7" s="284">
        <v>22777350</v>
      </c>
      <c r="E7" s="284">
        <v>22777350</v>
      </c>
      <c r="F7" s="284">
        <v>22777350</v>
      </c>
      <c r="G7" s="284">
        <v>32000000</v>
      </c>
      <c r="H7" s="284">
        <v>40000000</v>
      </c>
      <c r="I7" s="284">
        <v>29792000</v>
      </c>
      <c r="J7" s="284">
        <v>35000000</v>
      </c>
      <c r="K7" s="284"/>
      <c r="L7" s="284">
        <v>0</v>
      </c>
      <c r="M7" s="284">
        <v>0</v>
      </c>
      <c r="N7" s="284">
        <v>0</v>
      </c>
      <c r="O7" s="284">
        <v>0</v>
      </c>
      <c r="P7" s="336">
        <f t="shared" si="0"/>
        <v>0</v>
      </c>
    </row>
    <row r="8" spans="1:18" ht="30" customHeight="1">
      <c r="A8" s="284" t="s">
        <v>257</v>
      </c>
      <c r="B8" s="284" t="s">
        <v>260</v>
      </c>
      <c r="C8" s="284">
        <v>10000000</v>
      </c>
      <c r="D8" s="284">
        <v>10000000</v>
      </c>
      <c r="E8" s="284">
        <v>10000000</v>
      </c>
      <c r="F8" s="284">
        <v>10000000</v>
      </c>
      <c r="G8" s="284">
        <v>12000000</v>
      </c>
      <c r="H8" s="284">
        <v>15000000</v>
      </c>
      <c r="I8" s="284">
        <v>11172000</v>
      </c>
      <c r="J8" s="284">
        <v>15000000</v>
      </c>
      <c r="K8" s="284"/>
      <c r="L8" s="284">
        <v>0</v>
      </c>
      <c r="M8" s="284">
        <v>0</v>
      </c>
      <c r="N8" s="284">
        <v>0</v>
      </c>
      <c r="O8" s="284">
        <v>0</v>
      </c>
      <c r="P8" s="336">
        <f t="shared" si="0"/>
        <v>0</v>
      </c>
      <c r="R8" s="454"/>
    </row>
    <row r="9" spans="1:18" ht="30" customHeight="1">
      <c r="A9" s="284" t="s">
        <v>259</v>
      </c>
      <c r="B9" s="284" t="s">
        <v>242</v>
      </c>
      <c r="C9" s="284">
        <v>620352000</v>
      </c>
      <c r="D9" s="284">
        <v>558316800</v>
      </c>
      <c r="E9" s="284">
        <v>620352000</v>
      </c>
      <c r="F9" s="284">
        <v>853072500</v>
      </c>
      <c r="G9" s="284">
        <v>784056000</v>
      </c>
      <c r="H9" s="284">
        <v>862340976</v>
      </c>
      <c r="I9" s="284">
        <f>1037170800+60051600</f>
        <v>1097222400</v>
      </c>
      <c r="J9" s="284">
        <v>1565405478</v>
      </c>
      <c r="K9" s="284"/>
      <c r="L9" s="284">
        <v>0</v>
      </c>
      <c r="M9" s="284">
        <v>0</v>
      </c>
      <c r="N9" s="284">
        <v>0</v>
      </c>
      <c r="O9" s="284">
        <v>0</v>
      </c>
      <c r="P9" s="336">
        <f t="shared" si="0"/>
        <v>0</v>
      </c>
    </row>
    <row r="10" spans="1:18" ht="30" customHeight="1">
      <c r="A10" s="284" t="s">
        <v>258</v>
      </c>
      <c r="B10" s="284" t="s">
        <v>261</v>
      </c>
      <c r="C10" s="284"/>
      <c r="D10" s="284"/>
      <c r="E10" s="284"/>
      <c r="F10" s="284"/>
      <c r="G10" s="284"/>
      <c r="H10" s="284">
        <v>0</v>
      </c>
      <c r="I10" s="284">
        <f>75255375+5240625</f>
        <v>80496000</v>
      </c>
      <c r="J10" s="284">
        <v>94711500</v>
      </c>
      <c r="K10" s="284"/>
      <c r="L10" s="284">
        <v>0</v>
      </c>
      <c r="M10" s="284">
        <v>0</v>
      </c>
      <c r="N10" s="284">
        <v>0</v>
      </c>
      <c r="O10" s="284">
        <v>0</v>
      </c>
      <c r="P10" s="336">
        <f t="shared" si="0"/>
        <v>0</v>
      </c>
    </row>
    <row r="11" spans="1:18" ht="30" customHeight="1">
      <c r="A11" s="284"/>
      <c r="B11" s="292" t="s">
        <v>119</v>
      </c>
      <c r="C11" s="284"/>
      <c r="D11" s="284"/>
      <c r="E11" s="284"/>
      <c r="F11" s="284"/>
      <c r="G11" s="284"/>
      <c r="H11" s="284">
        <v>0</v>
      </c>
      <c r="I11" s="284">
        <f>30000000+2089136</f>
        <v>32089136</v>
      </c>
      <c r="J11" s="284">
        <v>32089136</v>
      </c>
      <c r="K11" s="292">
        <f>SUM(K4:K10)</f>
        <v>5888785600</v>
      </c>
      <c r="L11" s="292">
        <f>SUM(L4:L10)</f>
        <v>5888785600</v>
      </c>
      <c r="M11" s="292">
        <f>SUM(M4:M10)</f>
        <v>14513580800</v>
      </c>
      <c r="N11" s="292">
        <f>SUM(N4:N10)</f>
        <v>14513580800</v>
      </c>
      <c r="O11" s="292">
        <f>SUM(O4:O10)</f>
        <v>14329001600</v>
      </c>
      <c r="P11" s="361">
        <f t="shared" si="0"/>
        <v>-184579200</v>
      </c>
    </row>
    <row r="12" spans="1:18" ht="30" customHeight="1">
      <c r="A12" s="292" t="s">
        <v>262</v>
      </c>
      <c r="B12" s="292" t="s">
        <v>263</v>
      </c>
      <c r="C12" s="284">
        <v>494272000</v>
      </c>
      <c r="D12" s="284">
        <v>547031750</v>
      </c>
      <c r="E12" s="284">
        <v>547031750</v>
      </c>
      <c r="F12" s="284">
        <v>1022000000</v>
      </c>
      <c r="G12" s="284">
        <v>1460000000</v>
      </c>
      <c r="H12" s="284">
        <v>1460000000</v>
      </c>
      <c r="I12" s="284">
        <v>3650000000</v>
      </c>
      <c r="J12" s="284">
        <v>4117500000</v>
      </c>
      <c r="K12" s="284"/>
      <c r="L12" s="284"/>
      <c r="M12" s="284"/>
      <c r="N12" s="284"/>
      <c r="O12" s="284"/>
      <c r="P12" s="336">
        <f t="shared" si="0"/>
        <v>0</v>
      </c>
      <c r="Q12" s="455"/>
    </row>
    <row r="13" spans="1:18" ht="30" customHeight="1">
      <c r="A13" s="292" t="s">
        <v>265</v>
      </c>
      <c r="B13" s="292" t="s">
        <v>264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336">
        <f t="shared" si="0"/>
        <v>0</v>
      </c>
      <c r="Q13" s="455"/>
    </row>
    <row r="14" spans="1:18" ht="30" customHeight="1">
      <c r="A14" s="284" t="s">
        <v>266</v>
      </c>
      <c r="B14" s="284" t="s">
        <v>38</v>
      </c>
      <c r="C14" s="284">
        <v>180000000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20000000</v>
      </c>
      <c r="L14" s="284">
        <v>20000000</v>
      </c>
      <c r="M14" s="284">
        <f>20000000*70%</f>
        <v>14000000</v>
      </c>
      <c r="N14" s="284">
        <f>20000000*70%</f>
        <v>14000000</v>
      </c>
      <c r="O14" s="284">
        <f>20000000*70%</f>
        <v>14000000</v>
      </c>
      <c r="P14" s="336">
        <f t="shared" si="0"/>
        <v>0</v>
      </c>
    </row>
    <row r="15" spans="1:18" s="427" customFormat="1" ht="30" customHeight="1">
      <c r="A15" s="284" t="s">
        <v>269</v>
      </c>
      <c r="B15" s="284" t="s">
        <v>186</v>
      </c>
      <c r="C15" s="292">
        <f t="shared" ref="C15:J15" si="1">SUM(C7:C14)</f>
        <v>1317401300</v>
      </c>
      <c r="D15" s="292">
        <f t="shared" si="1"/>
        <v>1138125900</v>
      </c>
      <c r="E15" s="292">
        <f t="shared" si="1"/>
        <v>1200161100</v>
      </c>
      <c r="F15" s="292">
        <f t="shared" si="1"/>
        <v>1907849850</v>
      </c>
      <c r="G15" s="292">
        <f t="shared" si="1"/>
        <v>2288056000</v>
      </c>
      <c r="H15" s="292">
        <f t="shared" si="1"/>
        <v>2377340976</v>
      </c>
      <c r="I15" s="292">
        <f t="shared" si="1"/>
        <v>4900771536</v>
      </c>
      <c r="J15" s="292">
        <f t="shared" si="1"/>
        <v>5859706114</v>
      </c>
      <c r="K15" s="284">
        <v>25000000</v>
      </c>
      <c r="L15" s="284">
        <v>25000000</v>
      </c>
      <c r="M15" s="284">
        <f>25000000*70%</f>
        <v>17500000</v>
      </c>
      <c r="N15" s="284">
        <f>25000000*70%</f>
        <v>17500000</v>
      </c>
      <c r="O15" s="284">
        <f>25000000*70%</f>
        <v>17500000</v>
      </c>
      <c r="P15" s="336">
        <f t="shared" si="0"/>
        <v>0</v>
      </c>
    </row>
    <row r="16" spans="1:18" ht="30" customHeight="1">
      <c r="A16" s="284" t="s">
        <v>270</v>
      </c>
      <c r="B16" s="284" t="s">
        <v>163</v>
      </c>
      <c r="C16" s="284"/>
      <c r="D16" s="284"/>
      <c r="E16" s="284"/>
      <c r="F16" s="284"/>
      <c r="G16" s="284"/>
      <c r="H16" s="284"/>
      <c r="I16" s="284"/>
      <c r="J16" s="284"/>
      <c r="K16" s="284">
        <v>15000000</v>
      </c>
      <c r="L16" s="284">
        <v>15000000</v>
      </c>
      <c r="M16" s="284">
        <f>15000000*70%</f>
        <v>10500000</v>
      </c>
      <c r="N16" s="284">
        <f>15000000*70%</f>
        <v>10500000</v>
      </c>
      <c r="O16" s="284">
        <f>15000000*70%</f>
        <v>10500000</v>
      </c>
      <c r="P16" s="336">
        <f t="shared" si="0"/>
        <v>0</v>
      </c>
    </row>
    <row r="17" spans="1:16" ht="30" customHeight="1">
      <c r="A17" s="284" t="s">
        <v>271</v>
      </c>
      <c r="B17" s="284" t="s">
        <v>834</v>
      </c>
      <c r="C17" s="284">
        <v>20000000</v>
      </c>
      <c r="D17" s="284">
        <v>20000000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20000000</v>
      </c>
      <c r="L17" s="284">
        <v>20000000</v>
      </c>
      <c r="M17" s="284">
        <f>20000000*70%</f>
        <v>14000000</v>
      </c>
      <c r="N17" s="284">
        <v>100000000</v>
      </c>
      <c r="O17" s="284">
        <v>100000000</v>
      </c>
      <c r="P17" s="336">
        <f t="shared" si="0"/>
        <v>0</v>
      </c>
    </row>
    <row r="18" spans="1:16" ht="30" customHeight="1">
      <c r="A18" s="284" t="s">
        <v>272</v>
      </c>
      <c r="B18" s="284" t="s">
        <v>54</v>
      </c>
      <c r="C18" s="284">
        <v>40000000</v>
      </c>
      <c r="D18" s="284">
        <v>20000000</v>
      </c>
      <c r="E18" s="284">
        <v>20000000</v>
      </c>
      <c r="F18" s="284">
        <v>20000000</v>
      </c>
      <c r="G18" s="284">
        <v>24000000</v>
      </c>
      <c r="H18" s="284">
        <v>30000000</v>
      </c>
      <c r="I18" s="284">
        <v>33516000</v>
      </c>
      <c r="J18" s="284">
        <v>40000000</v>
      </c>
      <c r="K18" s="284">
        <v>30000000</v>
      </c>
      <c r="L18" s="284">
        <v>30000000</v>
      </c>
      <c r="M18" s="284">
        <f>30000000*70%</f>
        <v>21000000</v>
      </c>
      <c r="N18" s="284">
        <v>14700000</v>
      </c>
      <c r="O18" s="284">
        <v>14700000</v>
      </c>
      <c r="P18" s="336">
        <f t="shared" si="0"/>
        <v>0</v>
      </c>
    </row>
    <row r="19" spans="1:16" ht="30" customHeight="1">
      <c r="A19" s="284" t="s">
        <v>273</v>
      </c>
      <c r="B19" s="284" t="s">
        <v>120</v>
      </c>
      <c r="C19" s="284">
        <v>0</v>
      </c>
      <c r="D19" s="284">
        <v>0</v>
      </c>
      <c r="E19" s="284">
        <v>0</v>
      </c>
      <c r="F19" s="284">
        <v>0</v>
      </c>
      <c r="G19" s="284">
        <v>0</v>
      </c>
      <c r="H19" s="284">
        <v>100000000</v>
      </c>
      <c r="I19" s="284">
        <v>0</v>
      </c>
      <c r="J19" s="284">
        <v>153000000</v>
      </c>
      <c r="K19" s="284">
        <v>30000000</v>
      </c>
      <c r="L19" s="284">
        <v>30000000</v>
      </c>
      <c r="M19" s="284">
        <f>30000000*70%</f>
        <v>21000000</v>
      </c>
      <c r="N19" s="284">
        <v>14700000</v>
      </c>
      <c r="O19" s="284">
        <v>14700000</v>
      </c>
      <c r="P19" s="336">
        <f t="shared" si="0"/>
        <v>0</v>
      </c>
    </row>
    <row r="20" spans="1:16" ht="30" customHeight="1">
      <c r="A20" s="284" t="s">
        <v>274</v>
      </c>
      <c r="B20" s="284" t="s">
        <v>164</v>
      </c>
      <c r="C20" s="284">
        <v>10000000</v>
      </c>
      <c r="D20" s="284">
        <v>20000000</v>
      </c>
      <c r="E20" s="284">
        <v>20000000</v>
      </c>
      <c r="F20" s="284">
        <v>20000000</v>
      </c>
      <c r="G20" s="284">
        <v>16000000</v>
      </c>
      <c r="H20" s="284">
        <v>20000000</v>
      </c>
      <c r="I20" s="284">
        <v>22344000</v>
      </c>
      <c r="J20" s="284">
        <v>30000000</v>
      </c>
      <c r="K20" s="284">
        <v>10000000</v>
      </c>
      <c r="L20" s="284">
        <v>10000000</v>
      </c>
      <c r="M20" s="284">
        <f>10000000*70%</f>
        <v>7000000</v>
      </c>
      <c r="N20" s="284">
        <f>10000000*70%</f>
        <v>7000000</v>
      </c>
      <c r="O20" s="284">
        <f>10000000*70%</f>
        <v>7000000</v>
      </c>
      <c r="P20" s="336">
        <f t="shared" si="0"/>
        <v>0</v>
      </c>
    </row>
    <row r="21" spans="1:16" ht="30" customHeight="1">
      <c r="A21" s="284" t="s">
        <v>275</v>
      </c>
      <c r="B21" s="284" t="s">
        <v>40</v>
      </c>
      <c r="C21" s="284">
        <v>10000000</v>
      </c>
      <c r="D21" s="284">
        <v>20000000</v>
      </c>
      <c r="E21" s="284">
        <v>20000000</v>
      </c>
      <c r="F21" s="284">
        <v>20000000</v>
      </c>
      <c r="G21" s="284">
        <v>16000000</v>
      </c>
      <c r="H21" s="284">
        <v>20000000</v>
      </c>
      <c r="I21" s="284">
        <v>22344000</v>
      </c>
      <c r="J21" s="284">
        <v>25000000</v>
      </c>
      <c r="K21" s="284">
        <v>70000000</v>
      </c>
      <c r="L21" s="284">
        <v>70000000</v>
      </c>
      <c r="M21" s="284">
        <f>70000000*70%</f>
        <v>49000000</v>
      </c>
      <c r="N21" s="284">
        <v>109000000</v>
      </c>
      <c r="O21" s="284">
        <v>209000000</v>
      </c>
      <c r="P21" s="336">
        <f t="shared" si="0"/>
        <v>100000000</v>
      </c>
    </row>
    <row r="22" spans="1:16" ht="30" customHeight="1">
      <c r="A22" s="284" t="s">
        <v>358</v>
      </c>
      <c r="B22" s="284" t="s">
        <v>359</v>
      </c>
      <c r="C22" s="284"/>
      <c r="D22" s="284"/>
      <c r="E22" s="284"/>
      <c r="F22" s="284"/>
      <c r="G22" s="284"/>
      <c r="H22" s="284"/>
      <c r="I22" s="284"/>
      <c r="J22" s="284"/>
      <c r="K22" s="284">
        <v>30000000</v>
      </c>
      <c r="L22" s="284">
        <v>30000000</v>
      </c>
      <c r="M22" s="284">
        <f>30000000*70%</f>
        <v>21000000</v>
      </c>
      <c r="N22" s="284">
        <v>81000000</v>
      </c>
      <c r="O22" s="284">
        <v>100000000</v>
      </c>
      <c r="P22" s="336">
        <f t="shared" si="0"/>
        <v>19000000</v>
      </c>
    </row>
    <row r="23" spans="1:16" s="427" customFormat="1" ht="30" customHeight="1">
      <c r="A23" s="284" t="s">
        <v>277</v>
      </c>
      <c r="B23" s="284" t="s">
        <v>218</v>
      </c>
      <c r="C23" s="292"/>
      <c r="D23" s="292"/>
      <c r="E23" s="292"/>
      <c r="F23" s="292"/>
      <c r="G23" s="292"/>
      <c r="H23" s="292"/>
      <c r="I23" s="292"/>
      <c r="J23" s="292"/>
      <c r="K23" s="284">
        <v>445775100</v>
      </c>
      <c r="L23" s="284">
        <v>445775100</v>
      </c>
      <c r="M23" s="284">
        <f>445775100</f>
        <v>445775100</v>
      </c>
      <c r="N23" s="284">
        <v>0</v>
      </c>
      <c r="O23" s="284">
        <v>0</v>
      </c>
      <c r="P23" s="336">
        <f t="shared" si="0"/>
        <v>0</v>
      </c>
    </row>
    <row r="24" spans="1:16" ht="30" customHeight="1">
      <c r="A24" s="284" t="s">
        <v>340</v>
      </c>
      <c r="B24" s="284" t="s">
        <v>360</v>
      </c>
      <c r="C24" s="284">
        <v>0</v>
      </c>
      <c r="D24" s="284">
        <v>4000000</v>
      </c>
      <c r="E24" s="284">
        <v>4000000</v>
      </c>
      <c r="F24" s="284">
        <v>4000000</v>
      </c>
      <c r="G24" s="284">
        <v>4000000</v>
      </c>
      <c r="H24" s="284">
        <v>5000000</v>
      </c>
      <c r="I24" s="284">
        <v>7448000</v>
      </c>
      <c r="J24" s="284">
        <v>12000000</v>
      </c>
      <c r="K24" s="284">
        <v>290000000</v>
      </c>
      <c r="L24" s="284">
        <v>290000000</v>
      </c>
      <c r="M24" s="284">
        <v>290000000</v>
      </c>
      <c r="N24" s="284">
        <v>356250000</v>
      </c>
      <c r="O24" s="284">
        <v>290000000</v>
      </c>
      <c r="P24" s="336">
        <f t="shared" si="0"/>
        <v>-66250000</v>
      </c>
    </row>
    <row r="25" spans="1:16" ht="30" customHeight="1">
      <c r="A25" s="284" t="s">
        <v>733</v>
      </c>
      <c r="B25" s="284" t="s">
        <v>1217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>
        <v>0</v>
      </c>
      <c r="N25" s="284">
        <v>791096466</v>
      </c>
      <c r="O25" s="284">
        <v>1399762942</v>
      </c>
      <c r="P25" s="336">
        <f t="shared" si="0"/>
        <v>608666476</v>
      </c>
    </row>
    <row r="26" spans="1:16" ht="30" customHeight="1">
      <c r="A26" s="284"/>
      <c r="B26" s="292" t="s">
        <v>119</v>
      </c>
      <c r="C26" s="284">
        <v>4000000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92">
        <f>SUM(K14:K24)</f>
        <v>985775100</v>
      </c>
      <c r="L26" s="292">
        <f>SUM(L14:L24)</f>
        <v>985775100</v>
      </c>
      <c r="M26" s="292">
        <f>SUM(M14:M24)</f>
        <v>910775100</v>
      </c>
      <c r="N26" s="292">
        <f>SUM(N14:N25)</f>
        <v>1515746466</v>
      </c>
      <c r="O26" s="292">
        <f>SUM(O14:O25)</f>
        <v>2177162942</v>
      </c>
      <c r="P26" s="336">
        <f t="shared" si="0"/>
        <v>661416476</v>
      </c>
    </row>
    <row r="27" spans="1:16" ht="30" customHeight="1">
      <c r="A27" s="292" t="s">
        <v>279</v>
      </c>
      <c r="B27" s="292" t="s">
        <v>278</v>
      </c>
      <c r="C27" s="284">
        <v>4000000</v>
      </c>
      <c r="D27" s="284">
        <v>24000000</v>
      </c>
      <c r="E27" s="284">
        <v>24000000</v>
      </c>
      <c r="F27" s="284">
        <v>24000000</v>
      </c>
      <c r="G27" s="284">
        <v>19200000</v>
      </c>
      <c r="H27" s="284">
        <v>24000000</v>
      </c>
      <c r="I27" s="284">
        <v>17875200</v>
      </c>
      <c r="J27" s="284">
        <v>30000000</v>
      </c>
      <c r="K27" s="284"/>
      <c r="L27" s="284"/>
      <c r="M27" s="284"/>
      <c r="N27" s="284"/>
      <c r="O27" s="284"/>
      <c r="P27" s="336">
        <f t="shared" si="0"/>
        <v>0</v>
      </c>
    </row>
    <row r="28" spans="1:16" ht="30" customHeight="1">
      <c r="A28" s="284" t="s">
        <v>280</v>
      </c>
      <c r="B28" s="284" t="s">
        <v>160</v>
      </c>
      <c r="C28" s="284">
        <v>0</v>
      </c>
      <c r="D28" s="284">
        <v>0</v>
      </c>
      <c r="E28" s="284">
        <v>0</v>
      </c>
      <c r="F28" s="284">
        <v>0</v>
      </c>
      <c r="G28" s="284">
        <v>2400000</v>
      </c>
      <c r="H28" s="284">
        <v>3000000</v>
      </c>
      <c r="I28" s="284">
        <v>7448000</v>
      </c>
      <c r="J28" s="284">
        <v>10000000</v>
      </c>
      <c r="K28" s="284"/>
      <c r="L28" s="284">
        <v>0</v>
      </c>
      <c r="M28" s="284">
        <v>0</v>
      </c>
      <c r="N28" s="284">
        <v>0</v>
      </c>
      <c r="O28" s="284">
        <v>0</v>
      </c>
      <c r="P28" s="336">
        <f t="shared" si="0"/>
        <v>0</v>
      </c>
    </row>
    <row r="29" spans="1:16" ht="30" customHeight="1">
      <c r="A29" s="284" t="s">
        <v>281</v>
      </c>
      <c r="B29" s="284" t="s">
        <v>161</v>
      </c>
      <c r="C29" s="284"/>
      <c r="D29" s="284"/>
      <c r="E29" s="284"/>
      <c r="F29" s="284"/>
      <c r="G29" s="284"/>
      <c r="H29" s="284"/>
      <c r="I29" s="284"/>
      <c r="J29" s="284"/>
      <c r="K29" s="284">
        <v>500000000</v>
      </c>
      <c r="L29" s="284">
        <v>500000000</v>
      </c>
      <c r="M29" s="284">
        <f>1089530000</f>
        <v>1089530000</v>
      </c>
      <c r="N29" s="284">
        <v>1171624000</v>
      </c>
      <c r="O29" s="284">
        <v>1271624000</v>
      </c>
      <c r="P29" s="336">
        <f t="shared" si="0"/>
        <v>100000000</v>
      </c>
    </row>
    <row r="30" spans="1:16" ht="30" customHeight="1">
      <c r="A30" s="284" t="s">
        <v>282</v>
      </c>
      <c r="B30" s="284" t="s">
        <v>155</v>
      </c>
      <c r="C30" s="284">
        <v>0</v>
      </c>
      <c r="D30" s="284">
        <v>4000000</v>
      </c>
      <c r="E30" s="284">
        <v>4000000</v>
      </c>
      <c r="F30" s="284">
        <v>4000000</v>
      </c>
      <c r="G30" s="284">
        <v>4800000</v>
      </c>
      <c r="H30" s="284">
        <v>6000000</v>
      </c>
      <c r="I30" s="284">
        <v>11916800</v>
      </c>
      <c r="J30" s="284">
        <v>10000000</v>
      </c>
      <c r="K30" s="284">
        <v>45000000</v>
      </c>
      <c r="L30" s="284">
        <v>45000000</v>
      </c>
      <c r="M30" s="284">
        <f>45000000*70%</f>
        <v>31499999.999999996</v>
      </c>
      <c r="N30" s="284">
        <f>45000000*70%</f>
        <v>31499999.999999996</v>
      </c>
      <c r="O30" s="284">
        <v>41500000</v>
      </c>
      <c r="P30" s="336">
        <f t="shared" si="0"/>
        <v>10000000.000000004</v>
      </c>
    </row>
    <row r="31" spans="1:16" ht="30" customHeight="1">
      <c r="A31" s="284" t="s">
        <v>283</v>
      </c>
      <c r="B31" s="284" t="s">
        <v>156</v>
      </c>
      <c r="C31" s="284">
        <v>4000000</v>
      </c>
      <c r="D31" s="284">
        <v>0</v>
      </c>
      <c r="E31" s="284">
        <v>0</v>
      </c>
      <c r="F31" s="284">
        <v>0</v>
      </c>
      <c r="G31" s="284">
        <v>0</v>
      </c>
      <c r="H31" s="284">
        <v>20000000</v>
      </c>
      <c r="I31" s="284">
        <v>14896000</v>
      </c>
      <c r="J31" s="284">
        <v>25000000</v>
      </c>
      <c r="K31" s="284">
        <v>30000000</v>
      </c>
      <c r="L31" s="284">
        <v>30000000</v>
      </c>
      <c r="M31" s="284">
        <f>30000000*70%</f>
        <v>21000000</v>
      </c>
      <c r="N31" s="284">
        <f>30000000*70%</f>
        <v>21000000</v>
      </c>
      <c r="O31" s="284">
        <f>30000000*70%</f>
        <v>21000000</v>
      </c>
      <c r="P31" s="336">
        <f t="shared" si="0"/>
        <v>0</v>
      </c>
    </row>
    <row r="32" spans="1:16" ht="30" customHeight="1">
      <c r="A32" s="284" t="s">
        <v>316</v>
      </c>
      <c r="B32" s="358" t="s">
        <v>872</v>
      </c>
      <c r="C32" s="359"/>
      <c r="D32" s="359"/>
      <c r="E32" s="359"/>
      <c r="F32" s="359"/>
      <c r="G32" s="359"/>
      <c r="H32" s="359"/>
      <c r="I32" s="359"/>
      <c r="J32" s="359"/>
      <c r="K32" s="358">
        <v>9622278136</v>
      </c>
      <c r="L32" s="360">
        <v>9622278136</v>
      </c>
      <c r="M32" s="360">
        <v>11364120000</v>
      </c>
      <c r="N32" s="360">
        <v>11578259440</v>
      </c>
      <c r="O32" s="360">
        <v>11521883440</v>
      </c>
      <c r="P32" s="336">
        <f t="shared" si="0"/>
        <v>-56376000</v>
      </c>
    </row>
    <row r="33" spans="1:16" ht="30" customHeight="1">
      <c r="A33" s="284" t="s">
        <v>492</v>
      </c>
      <c r="B33" s="358" t="s">
        <v>835</v>
      </c>
      <c r="C33" s="359"/>
      <c r="D33" s="359"/>
      <c r="E33" s="359"/>
      <c r="F33" s="359"/>
      <c r="G33" s="359"/>
      <c r="H33" s="359"/>
      <c r="I33" s="359"/>
      <c r="J33" s="359"/>
      <c r="K33" s="358"/>
      <c r="L33" s="456"/>
      <c r="M33" s="456"/>
      <c r="N33" s="456">
        <v>80000000</v>
      </c>
      <c r="O33" s="456">
        <v>100000000</v>
      </c>
      <c r="P33" s="336">
        <f t="shared" si="0"/>
        <v>20000000</v>
      </c>
    </row>
    <row r="34" spans="1:16" ht="30" customHeight="1" thickBot="1">
      <c r="A34" s="284" t="s">
        <v>616</v>
      </c>
      <c r="B34" s="358" t="s">
        <v>315</v>
      </c>
      <c r="C34" s="457">
        <v>4000000</v>
      </c>
      <c r="D34" s="457">
        <v>0</v>
      </c>
      <c r="E34" s="457">
        <v>0</v>
      </c>
      <c r="F34" s="457">
        <v>0</v>
      </c>
      <c r="G34" s="457">
        <v>0</v>
      </c>
      <c r="H34" s="457">
        <v>30000000</v>
      </c>
      <c r="I34" s="457">
        <v>22344000</v>
      </c>
      <c r="J34" s="458">
        <v>22344000</v>
      </c>
      <c r="K34" s="358">
        <v>40000000</v>
      </c>
      <c r="L34" s="459">
        <v>40000000</v>
      </c>
      <c r="M34" s="459">
        <f>611180000*70%</f>
        <v>427826000</v>
      </c>
      <c r="N34" s="459">
        <f>611180000*70%</f>
        <v>427826000</v>
      </c>
      <c r="O34" s="459">
        <f>611180000*70%</f>
        <v>427826000</v>
      </c>
      <c r="P34" s="336">
        <f t="shared" si="0"/>
        <v>0</v>
      </c>
    </row>
    <row r="35" spans="1:16" ht="30" customHeight="1">
      <c r="A35" s="284" t="s">
        <v>430</v>
      </c>
      <c r="B35" s="358" t="s">
        <v>451</v>
      </c>
      <c r="C35" s="359"/>
      <c r="D35" s="359"/>
      <c r="E35" s="359"/>
      <c r="F35" s="359"/>
      <c r="G35" s="359"/>
      <c r="H35" s="359"/>
      <c r="I35" s="359"/>
      <c r="J35" s="359"/>
      <c r="K35" s="360"/>
      <c r="L35" s="360">
        <v>65000000</v>
      </c>
      <c r="M35" s="360">
        <f>65000000*70%</f>
        <v>45500000</v>
      </c>
      <c r="N35" s="360">
        <v>80000000</v>
      </c>
      <c r="O35" s="360">
        <v>80000000</v>
      </c>
      <c r="P35" s="336">
        <f t="shared" si="0"/>
        <v>0</v>
      </c>
    </row>
    <row r="36" spans="1:16" ht="30" customHeight="1">
      <c r="A36" s="284"/>
      <c r="B36" s="460" t="s">
        <v>119</v>
      </c>
      <c r="C36" s="359"/>
      <c r="D36" s="359"/>
      <c r="E36" s="359"/>
      <c r="F36" s="359"/>
      <c r="G36" s="359"/>
      <c r="H36" s="359"/>
      <c r="I36" s="359"/>
      <c r="J36" s="359"/>
      <c r="K36" s="383">
        <f ca="1">SUM(K29:K47)</f>
        <v>10267278136</v>
      </c>
      <c r="L36" s="383">
        <f>SUM(L28:L35)</f>
        <v>10302278136</v>
      </c>
      <c r="M36" s="383">
        <f>SUM(M28:M35)</f>
        <v>12979476000</v>
      </c>
      <c r="N36" s="383">
        <f>SUM(N28:N35)</f>
        <v>13390209440</v>
      </c>
      <c r="O36" s="383">
        <f>SUM(O28:O35)</f>
        <v>13463833440</v>
      </c>
      <c r="P36" s="361">
        <f t="shared" si="0"/>
        <v>73624000</v>
      </c>
    </row>
    <row r="37" spans="1:16" ht="30" customHeight="1">
      <c r="A37" s="292" t="s">
        <v>285</v>
      </c>
      <c r="B37" s="460" t="s">
        <v>158</v>
      </c>
      <c r="C37" s="359"/>
      <c r="D37" s="359"/>
      <c r="E37" s="359"/>
      <c r="F37" s="359"/>
      <c r="G37" s="359"/>
      <c r="H37" s="359"/>
      <c r="I37" s="359"/>
      <c r="J37" s="359"/>
      <c r="K37" s="360"/>
      <c r="L37" s="360"/>
      <c r="M37" s="360"/>
      <c r="N37" s="360"/>
      <c r="O37" s="360"/>
      <c r="P37" s="336">
        <f t="shared" si="0"/>
        <v>0</v>
      </c>
    </row>
    <row r="38" spans="1:16" ht="30" customHeight="1">
      <c r="A38" s="284" t="s">
        <v>286</v>
      </c>
      <c r="B38" s="358" t="s">
        <v>55</v>
      </c>
      <c r="C38" s="359"/>
      <c r="D38" s="359"/>
      <c r="E38" s="359"/>
      <c r="F38" s="359"/>
      <c r="G38" s="359"/>
      <c r="H38" s="359"/>
      <c r="I38" s="359"/>
      <c r="J38" s="359"/>
      <c r="K38" s="360">
        <v>100000000</v>
      </c>
      <c r="L38" s="360">
        <v>100000000</v>
      </c>
      <c r="M38" s="360">
        <f>135000000*70%+103596470</f>
        <v>198096470</v>
      </c>
      <c r="N38" s="360">
        <v>278096470</v>
      </c>
      <c r="O38" s="360">
        <v>308096470</v>
      </c>
      <c r="P38" s="336">
        <f t="shared" si="0"/>
        <v>30000000</v>
      </c>
    </row>
    <row r="39" spans="1:16" ht="30" customHeight="1">
      <c r="A39" s="284" t="s">
        <v>288</v>
      </c>
      <c r="B39" s="358" t="s">
        <v>287</v>
      </c>
      <c r="C39" s="359"/>
      <c r="D39" s="359"/>
      <c r="E39" s="359"/>
      <c r="F39" s="359"/>
      <c r="G39" s="359"/>
      <c r="H39" s="359"/>
      <c r="I39" s="359"/>
      <c r="J39" s="359"/>
      <c r="K39" s="360">
        <v>15000000</v>
      </c>
      <c r="L39" s="360">
        <v>15000000</v>
      </c>
      <c r="M39" s="360">
        <f>15000000*70%</f>
        <v>10500000</v>
      </c>
      <c r="N39" s="360">
        <f>15000000*70%</f>
        <v>10500000</v>
      </c>
      <c r="O39" s="360">
        <f>15000000*70%</f>
        <v>10500000</v>
      </c>
      <c r="P39" s="336">
        <f t="shared" si="0"/>
        <v>0</v>
      </c>
    </row>
    <row r="40" spans="1:16" ht="30" customHeight="1">
      <c r="A40" s="284"/>
      <c r="B40" s="460" t="s">
        <v>119</v>
      </c>
      <c r="C40" s="359"/>
      <c r="D40" s="359"/>
      <c r="E40" s="359"/>
      <c r="F40" s="359"/>
      <c r="G40" s="359"/>
      <c r="H40" s="359"/>
      <c r="I40" s="359"/>
      <c r="J40" s="359"/>
      <c r="K40" s="383">
        <f>SUM(K38:K39)</f>
        <v>115000000</v>
      </c>
      <c r="L40" s="383">
        <f>SUM(L38:L39)</f>
        <v>115000000</v>
      </c>
      <c r="M40" s="383">
        <f>SUM(M38:M39)</f>
        <v>208596470</v>
      </c>
      <c r="N40" s="383">
        <f>SUM(N38:N39)</f>
        <v>288596470</v>
      </c>
      <c r="O40" s="383">
        <f>SUM(O38:O39)</f>
        <v>318596470</v>
      </c>
      <c r="P40" s="336">
        <f t="shared" si="0"/>
        <v>30000000</v>
      </c>
    </row>
    <row r="41" spans="1:16" ht="30" customHeight="1">
      <c r="A41" s="292" t="s">
        <v>293</v>
      </c>
      <c r="B41" s="460" t="s">
        <v>292</v>
      </c>
      <c r="C41" s="359"/>
      <c r="D41" s="359"/>
      <c r="E41" s="359"/>
      <c r="F41" s="359"/>
      <c r="G41" s="359"/>
      <c r="H41" s="359"/>
      <c r="I41" s="359"/>
      <c r="J41" s="359"/>
      <c r="K41" s="360"/>
      <c r="L41" s="360"/>
      <c r="M41" s="360"/>
      <c r="N41" s="360"/>
      <c r="O41" s="360"/>
      <c r="P41" s="336">
        <f t="shared" si="0"/>
        <v>0</v>
      </c>
    </row>
    <row r="42" spans="1:16" ht="30" customHeight="1">
      <c r="A42" s="292" t="s">
        <v>294</v>
      </c>
      <c r="B42" s="460" t="s">
        <v>291</v>
      </c>
      <c r="C42" s="359"/>
      <c r="D42" s="359"/>
      <c r="E42" s="359"/>
      <c r="F42" s="359"/>
      <c r="G42" s="359"/>
      <c r="H42" s="359"/>
      <c r="I42" s="359"/>
      <c r="J42" s="359"/>
      <c r="K42" s="360"/>
      <c r="L42" s="360"/>
      <c r="M42" s="360"/>
      <c r="N42" s="360"/>
      <c r="O42" s="360"/>
      <c r="P42" s="336">
        <f t="shared" si="0"/>
        <v>0</v>
      </c>
    </row>
    <row r="43" spans="1:16" ht="30" customHeight="1">
      <c r="A43" s="284" t="s">
        <v>499</v>
      </c>
      <c r="B43" s="358" t="s">
        <v>307</v>
      </c>
      <c r="C43" s="359"/>
      <c r="D43" s="359"/>
      <c r="E43" s="359"/>
      <c r="F43" s="359"/>
      <c r="G43" s="359"/>
      <c r="H43" s="359"/>
      <c r="I43" s="359"/>
      <c r="J43" s="359"/>
      <c r="K43" s="360">
        <v>30000000</v>
      </c>
      <c r="L43" s="360">
        <v>0</v>
      </c>
      <c r="M43" s="360">
        <v>0</v>
      </c>
      <c r="N43" s="284">
        <v>0</v>
      </c>
      <c r="O43" s="284">
        <v>0</v>
      </c>
      <c r="P43" s="336">
        <f t="shared" si="0"/>
        <v>0</v>
      </c>
    </row>
    <row r="44" spans="1:16" ht="30" customHeight="1">
      <c r="A44" s="284" t="s">
        <v>567</v>
      </c>
      <c r="B44" s="358" t="s">
        <v>1216</v>
      </c>
      <c r="C44" s="359"/>
      <c r="D44" s="359"/>
      <c r="E44" s="359"/>
      <c r="F44" s="359"/>
      <c r="G44" s="359"/>
      <c r="H44" s="359"/>
      <c r="I44" s="359"/>
      <c r="J44" s="359"/>
      <c r="K44" s="360"/>
      <c r="L44" s="360">
        <v>0</v>
      </c>
      <c r="M44" s="360">
        <v>264000000</v>
      </c>
      <c r="N44" s="284">
        <v>0</v>
      </c>
      <c r="O44" s="284">
        <v>185000000</v>
      </c>
      <c r="P44" s="336">
        <f t="shared" si="0"/>
        <v>185000000</v>
      </c>
    </row>
    <row r="45" spans="1:16" ht="30" customHeight="1">
      <c r="A45" s="284" t="s">
        <v>295</v>
      </c>
      <c r="B45" s="358" t="s">
        <v>176</v>
      </c>
      <c r="C45" s="359"/>
      <c r="D45" s="359"/>
      <c r="E45" s="359"/>
      <c r="F45" s="359"/>
      <c r="G45" s="359"/>
      <c r="H45" s="359"/>
      <c r="I45" s="359"/>
      <c r="J45" s="359"/>
      <c r="K45" s="360"/>
      <c r="L45" s="360">
        <v>30000000</v>
      </c>
      <c r="M45" s="360">
        <f>30000000*70%</f>
        <v>21000000</v>
      </c>
      <c r="N45" s="284">
        <v>0</v>
      </c>
      <c r="O45" s="284">
        <v>0</v>
      </c>
      <c r="P45" s="336">
        <f t="shared" si="0"/>
        <v>0</v>
      </c>
    </row>
    <row r="46" spans="1:16" ht="30" customHeight="1">
      <c r="A46" s="284" t="s">
        <v>296</v>
      </c>
      <c r="B46" s="358" t="s">
        <v>177</v>
      </c>
      <c r="C46" s="359"/>
      <c r="D46" s="359"/>
      <c r="E46" s="359"/>
      <c r="F46" s="359"/>
      <c r="G46" s="359"/>
      <c r="H46" s="359"/>
      <c r="I46" s="359"/>
      <c r="J46" s="359"/>
      <c r="K46" s="360">
        <v>15000000</v>
      </c>
      <c r="L46" s="360">
        <v>15000000</v>
      </c>
      <c r="M46" s="360">
        <f>15000000*70%</f>
        <v>10500000</v>
      </c>
      <c r="N46" s="284">
        <v>0</v>
      </c>
      <c r="O46" s="284">
        <v>0</v>
      </c>
      <c r="P46" s="336">
        <f t="shared" si="0"/>
        <v>0</v>
      </c>
    </row>
    <row r="47" spans="1:16" ht="30" customHeight="1">
      <c r="A47" s="284" t="s">
        <v>1171</v>
      </c>
      <c r="B47" s="358" t="s">
        <v>361</v>
      </c>
      <c r="C47" s="359"/>
      <c r="D47" s="359"/>
      <c r="E47" s="359"/>
      <c r="F47" s="359"/>
      <c r="G47" s="359"/>
      <c r="H47" s="359"/>
      <c r="I47" s="359"/>
      <c r="J47" s="359"/>
      <c r="K47" s="360">
        <v>30000000</v>
      </c>
      <c r="L47" s="360">
        <v>30000000</v>
      </c>
      <c r="M47" s="360">
        <f>30000000*70%</f>
        <v>21000000</v>
      </c>
      <c r="N47" s="360">
        <f>30000000*70%</f>
        <v>21000000</v>
      </c>
      <c r="O47" s="360">
        <f>30000000*70%</f>
        <v>21000000</v>
      </c>
      <c r="P47" s="336">
        <f>O47-N47</f>
        <v>0</v>
      </c>
    </row>
    <row r="48" spans="1:16" ht="30" customHeight="1">
      <c r="A48" s="284"/>
      <c r="B48" s="460" t="s">
        <v>119</v>
      </c>
      <c r="C48" s="359"/>
      <c r="D48" s="359"/>
      <c r="E48" s="359"/>
      <c r="F48" s="359"/>
      <c r="G48" s="359"/>
      <c r="H48" s="359"/>
      <c r="I48" s="359"/>
      <c r="J48" s="359"/>
      <c r="K48" s="383">
        <f>SUM(K43:K46)</f>
        <v>45000000</v>
      </c>
      <c r="L48" s="383">
        <f>SUM(L44:L46)</f>
        <v>45000000</v>
      </c>
      <c r="M48" s="383">
        <f>SUM(M43:M46)</f>
        <v>295500000</v>
      </c>
      <c r="N48" s="292">
        <f>SUM(N47)</f>
        <v>21000000</v>
      </c>
      <c r="O48" s="292">
        <f>SUM(O43:O47)</f>
        <v>206000000</v>
      </c>
      <c r="P48" s="284">
        <f t="shared" si="0"/>
        <v>185000000</v>
      </c>
    </row>
    <row r="49" spans="1:16" ht="30" customHeight="1">
      <c r="A49" s="284"/>
      <c r="B49" s="460" t="s">
        <v>42</v>
      </c>
      <c r="C49" s="359"/>
      <c r="D49" s="359"/>
      <c r="E49" s="359"/>
      <c r="F49" s="359"/>
      <c r="G49" s="359"/>
      <c r="H49" s="359"/>
      <c r="I49" s="359"/>
      <c r="J49" s="359"/>
      <c r="K49" s="383">
        <f ca="1">K48+K40+K36+K26+K11</f>
        <v>17301838836</v>
      </c>
      <c r="L49" s="383" t="e">
        <f>L48+L40+L36+L26+L11+#REF!</f>
        <v>#REF!</v>
      </c>
      <c r="M49" s="383">
        <f>M48+M40+M36+M26+M11</f>
        <v>28907928370</v>
      </c>
      <c r="N49" s="292">
        <f>N48+N40+N36+N26+N11</f>
        <v>29729133176</v>
      </c>
      <c r="O49" s="292">
        <f>O48+O40+O36+O26+O11</f>
        <v>30494594452</v>
      </c>
      <c r="P49" s="292">
        <f>O49-N49</f>
        <v>765461276</v>
      </c>
    </row>
    <row r="51" spans="1:16">
      <c r="M51" s="461"/>
    </row>
  </sheetData>
  <phoneticPr fontId="0" type="noConversion"/>
  <printOptions gridLines="1"/>
  <pageMargins left="0.7" right="0.24" top="0.75" bottom="0.45" header="0.3" footer="0.17"/>
  <pageSetup paperSize="9" scale="50" orientation="portrait" r:id="rId1"/>
  <headerFooter alignWithMargins="0">
    <oddHeader xml:space="preserve">&amp;C&amp;"Algerian,Bold"&amp;32Ciidanka Asluubta </oddHeader>
    <oddFooter>&amp;C2.2.2.8 waxaa ku jira raashinkii maxaabiista oo ah 7,300,000,000&amp;R&amp;"Times New Roman,Bold"&amp;14 14</oddFooter>
  </headerFooter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65"/>
  <sheetViews>
    <sheetView tabSelected="1" view="pageBreakPreview" topLeftCell="A40" zoomScale="60" workbookViewId="0">
      <selection activeCell="B49" sqref="B49"/>
    </sheetView>
  </sheetViews>
  <sheetFormatPr defaultRowHeight="17.45" customHeight="1"/>
  <cols>
    <col min="1" max="1" width="11.83203125" style="95" bestFit="1" customWidth="1"/>
    <col min="2" max="2" width="57" style="95" customWidth="1"/>
    <col min="3" max="9" width="9.33203125" style="95" hidden="1" customWidth="1"/>
    <col min="10" max="10" width="23.6640625" style="95" hidden="1" customWidth="1"/>
    <col min="11" max="11" width="29.33203125" style="95" hidden="1" customWidth="1"/>
    <col min="12" max="12" width="27" style="345" customWidth="1"/>
    <col min="13" max="13" width="35.33203125" style="345" bestFit="1" customWidth="1"/>
    <col min="14" max="14" width="34" style="345" bestFit="1" customWidth="1"/>
    <col min="15" max="16384" width="9.33203125" style="95"/>
  </cols>
  <sheetData>
    <row r="1" spans="1:14" ht="17.45" customHeight="1">
      <c r="A1" s="91" t="s">
        <v>45</v>
      </c>
      <c r="B1" s="92" t="s">
        <v>51</v>
      </c>
      <c r="C1" s="93" t="s">
        <v>2</v>
      </c>
      <c r="D1" s="93" t="s">
        <v>48</v>
      </c>
      <c r="E1" s="93" t="s">
        <v>57</v>
      </c>
      <c r="F1" s="93" t="s">
        <v>72</v>
      </c>
      <c r="G1" s="94" t="s">
        <v>69</v>
      </c>
      <c r="H1" s="94" t="s">
        <v>147</v>
      </c>
      <c r="I1" s="94" t="s">
        <v>148</v>
      </c>
      <c r="J1" s="94" t="s">
        <v>180</v>
      </c>
      <c r="K1" s="94" t="s">
        <v>297</v>
      </c>
      <c r="L1" s="93" t="s">
        <v>643</v>
      </c>
      <c r="M1" s="93" t="s">
        <v>1102</v>
      </c>
      <c r="N1" s="93" t="s">
        <v>53</v>
      </c>
    </row>
    <row r="2" spans="1:14" ht="17.45" customHeight="1">
      <c r="A2" s="96">
        <v>1</v>
      </c>
      <c r="B2" s="89" t="s">
        <v>118</v>
      </c>
      <c r="C2" s="89" t="e">
        <f>'1-1A'!#REF!</f>
        <v>#REF!</v>
      </c>
      <c r="D2" s="89">
        <f>'1-1A'!C7</f>
        <v>0</v>
      </c>
      <c r="E2" s="89">
        <f>'1-1A'!C7</f>
        <v>0</v>
      </c>
      <c r="F2" s="89">
        <f>'1-1A'!D7</f>
        <v>0</v>
      </c>
      <c r="G2" s="97">
        <f>'1-1A'!E4</f>
        <v>2600419200</v>
      </c>
      <c r="H2" s="97">
        <f>'1-1A'!F4</f>
        <v>2600419200</v>
      </c>
      <c r="I2" s="97">
        <v>2600419200</v>
      </c>
      <c r="J2" s="97">
        <v>2600419200</v>
      </c>
      <c r="K2" s="97">
        <f>'1-1A'!I7</f>
        <v>819000000</v>
      </c>
      <c r="L2" s="89">
        <f>'1-1A'!I7</f>
        <v>819000000</v>
      </c>
      <c r="M2" s="89">
        <f>'1-1A'!K7</f>
        <v>819000000</v>
      </c>
      <c r="N2" s="89">
        <f>M2-L2</f>
        <v>0</v>
      </c>
    </row>
    <row r="3" spans="1:14" ht="17.45" customHeight="1">
      <c r="A3" s="96" t="s">
        <v>77</v>
      </c>
      <c r="B3" s="89" t="s">
        <v>117</v>
      </c>
      <c r="C3" s="89" t="e">
        <f>'1-1A'!#REF!</f>
        <v>#REF!</v>
      </c>
      <c r="D3" s="89" t="e">
        <f>'1-1A'!#REF!</f>
        <v>#REF!</v>
      </c>
      <c r="E3" s="89">
        <f>'1-1A'!C21</f>
        <v>1189000000</v>
      </c>
      <c r="F3" s="89">
        <f>'1-1A'!D21</f>
        <v>1151200000</v>
      </c>
      <c r="G3" s="97">
        <f>'1-1A'!E21</f>
        <v>1151200000</v>
      </c>
      <c r="H3" s="97">
        <f>'1-1A'!F18:F18</f>
        <v>1151200000</v>
      </c>
      <c r="I3" s="97">
        <v>1151200000</v>
      </c>
      <c r="J3" s="97">
        <v>1151200000</v>
      </c>
      <c r="K3" s="97">
        <f>'1-1A'!I21</f>
        <v>585000000</v>
      </c>
      <c r="L3" s="89">
        <f>'1-1A'!I21</f>
        <v>585000000</v>
      </c>
      <c r="M3" s="89">
        <f>'1-1A'!K21</f>
        <v>585000000</v>
      </c>
      <c r="N3" s="89">
        <f t="shared" ref="N3:N63" si="0">M3-L3</f>
        <v>0</v>
      </c>
    </row>
    <row r="4" spans="1:14" ht="17.45" customHeight="1">
      <c r="A4" s="96" t="s">
        <v>76</v>
      </c>
      <c r="B4" s="89" t="s">
        <v>234</v>
      </c>
      <c r="C4" s="89"/>
      <c r="D4" s="89"/>
      <c r="E4" s="89"/>
      <c r="F4" s="89">
        <v>0</v>
      </c>
      <c r="G4" s="97" t="e">
        <f>'1B'!D25</f>
        <v>#REF!</v>
      </c>
      <c r="H4" s="97">
        <v>283464717</v>
      </c>
      <c r="I4" s="97" t="e">
        <f>'1B'!F25</f>
        <v>#REF!</v>
      </c>
      <c r="J4" s="97">
        <v>379488642</v>
      </c>
      <c r="K4" s="97">
        <f>'1B'!H40</f>
        <v>654751624.20000005</v>
      </c>
      <c r="L4" s="89">
        <f>'1B'!I40</f>
        <v>520566204.19999999</v>
      </c>
      <c r="M4" s="89">
        <f>'1B'!J40</f>
        <v>669508120.20000005</v>
      </c>
      <c r="N4" s="89">
        <f t="shared" si="0"/>
        <v>148941916.00000006</v>
      </c>
    </row>
    <row r="5" spans="1:14" ht="17.45" customHeight="1">
      <c r="A5" s="96">
        <v>2</v>
      </c>
      <c r="B5" s="89" t="s">
        <v>115</v>
      </c>
      <c r="C5" s="89" t="e">
        <f>#REF!</f>
        <v>#REF!</v>
      </c>
      <c r="D5" s="89" t="e">
        <f>#REF!</f>
        <v>#REF!</v>
      </c>
      <c r="E5" s="89" t="e">
        <f>#REF!</f>
        <v>#REF!</v>
      </c>
      <c r="F5" s="89" t="e">
        <f>'2'!G52</f>
        <v>#REF!</v>
      </c>
      <c r="G5" s="97" t="e">
        <f>'2'!H52</f>
        <v>#REF!</v>
      </c>
      <c r="H5" s="97" t="e">
        <f>'2'!I52</f>
        <v>#REF!</v>
      </c>
      <c r="I5" s="97" t="e">
        <f>'2'!J52</f>
        <v>#REF!</v>
      </c>
      <c r="J5" s="97">
        <v>6088620400</v>
      </c>
      <c r="K5" s="98">
        <f>'2'!M52</f>
        <v>15614266400</v>
      </c>
      <c r="L5" s="89">
        <f>'2'!N52</f>
        <v>14413692800</v>
      </c>
      <c r="M5" s="89">
        <f>'2'!O52</f>
        <v>15364892800</v>
      </c>
      <c r="N5" s="89">
        <f t="shared" si="0"/>
        <v>951200000</v>
      </c>
    </row>
    <row r="6" spans="1:14" ht="17.45" customHeight="1">
      <c r="A6" s="96">
        <v>3</v>
      </c>
      <c r="B6" s="89" t="s">
        <v>116</v>
      </c>
      <c r="C6" s="89" t="e">
        <f>'3'!#REF!</f>
        <v>#REF!</v>
      </c>
      <c r="D6" s="89" t="e">
        <f>'3'!#REF!</f>
        <v>#REF!</v>
      </c>
      <c r="E6" s="89" t="e">
        <f>'3'!#REF!</f>
        <v>#REF!</v>
      </c>
      <c r="F6" s="89" t="e">
        <f>'3'!#REF!</f>
        <v>#REF!</v>
      </c>
      <c r="G6" s="97" t="e">
        <f>'3'!#REF!</f>
        <v>#REF!</v>
      </c>
      <c r="H6" s="97" t="e">
        <f>'3'!#REF!</f>
        <v>#REF!</v>
      </c>
      <c r="I6" s="97" t="e">
        <f>'3'!#REF!</f>
        <v>#REF!</v>
      </c>
      <c r="J6" s="97">
        <v>6555058600</v>
      </c>
      <c r="K6" s="98">
        <f>'3'!L53</f>
        <v>14449890400</v>
      </c>
      <c r="L6" s="89">
        <f>'3'!M53</f>
        <v>13336485600</v>
      </c>
      <c r="M6" s="89">
        <f>'3'!N53</f>
        <v>15639542400</v>
      </c>
      <c r="N6" s="89">
        <f t="shared" si="0"/>
        <v>2303056800</v>
      </c>
    </row>
    <row r="7" spans="1:14" ht="17.45" customHeight="1">
      <c r="A7" s="96">
        <v>4</v>
      </c>
      <c r="B7" s="89" t="s">
        <v>233</v>
      </c>
      <c r="C7" s="89" t="e">
        <f>'4'!#REF!</f>
        <v>#REF!</v>
      </c>
      <c r="D7" s="89" t="e">
        <f>'4'!#REF!</f>
        <v>#REF!</v>
      </c>
      <c r="E7" s="89" t="e">
        <f>'4'!#REF!</f>
        <v>#REF!</v>
      </c>
      <c r="F7" s="89" t="e">
        <f>'4'!#REF!</f>
        <v>#REF!</v>
      </c>
      <c r="G7" s="97" t="e">
        <f>'4'!#REF!</f>
        <v>#REF!</v>
      </c>
      <c r="H7" s="97" t="e">
        <f>'4'!#REF!</f>
        <v>#REF!</v>
      </c>
      <c r="I7" s="97" t="e">
        <f>'4'!#REF!</f>
        <v>#REF!</v>
      </c>
      <c r="J7" s="97">
        <v>1114391200</v>
      </c>
      <c r="K7" s="98">
        <f>'4'!L48</f>
        <v>1191980080</v>
      </c>
      <c r="L7" s="89">
        <f>'4'!M48</f>
        <v>1662712120</v>
      </c>
      <c r="M7" s="89">
        <f>'4'!N48</f>
        <v>1962840120</v>
      </c>
      <c r="N7" s="89">
        <f t="shared" si="0"/>
        <v>300128000</v>
      </c>
    </row>
    <row r="8" spans="1:14" ht="17.45" customHeight="1">
      <c r="A8" s="96">
        <v>5</v>
      </c>
      <c r="B8" s="89" t="s">
        <v>600</v>
      </c>
      <c r="C8" s="89" t="e">
        <f>'5'!#REF!</f>
        <v>#REF!</v>
      </c>
      <c r="D8" s="89" t="e">
        <f>'5'!#REF!</f>
        <v>#REF!</v>
      </c>
      <c r="E8" s="89" t="e">
        <f>'5'!#REF!</f>
        <v>#REF!</v>
      </c>
      <c r="F8" s="89">
        <v>463194400</v>
      </c>
      <c r="G8" s="97" t="e">
        <f>'5'!#REF!</f>
        <v>#REF!</v>
      </c>
      <c r="H8" s="97" t="e">
        <f>'5'!#REF!</f>
        <v>#REF!</v>
      </c>
      <c r="I8" s="97" t="e">
        <f>'5'!#REF!</f>
        <v>#REF!</v>
      </c>
      <c r="J8" s="97">
        <v>854051200</v>
      </c>
      <c r="K8" s="98">
        <f>'5'!L50</f>
        <v>1376195200</v>
      </c>
      <c r="L8" s="89">
        <f>'5'!M50</f>
        <v>1822920400</v>
      </c>
      <c r="M8" s="89">
        <f>'5'!N50</f>
        <v>2220080400</v>
      </c>
      <c r="N8" s="89">
        <f t="shared" si="0"/>
        <v>397160000</v>
      </c>
    </row>
    <row r="9" spans="1:14" ht="17.45" customHeight="1">
      <c r="A9" s="96">
        <v>6</v>
      </c>
      <c r="B9" s="89" t="s">
        <v>108</v>
      </c>
      <c r="C9" s="89" t="e">
        <f>'6'!#REF!</f>
        <v>#REF!</v>
      </c>
      <c r="D9" s="89" t="e">
        <f>'6'!#REF!</f>
        <v>#REF!</v>
      </c>
      <c r="E9" s="89" t="e">
        <f>'6'!#REF!</f>
        <v>#REF!</v>
      </c>
      <c r="F9" s="89">
        <v>516977600</v>
      </c>
      <c r="G9" s="97" t="e">
        <f>'6'!#REF!</f>
        <v>#REF!</v>
      </c>
      <c r="H9" s="97" t="e">
        <f>'6'!#REF!</f>
        <v>#REF!</v>
      </c>
      <c r="I9" s="97" t="e">
        <f>'6'!#REF!</f>
        <v>#REF!</v>
      </c>
      <c r="J9" s="97">
        <v>907223322</v>
      </c>
      <c r="K9" s="97">
        <f>'6'!L53</f>
        <v>4553600085.3999996</v>
      </c>
      <c r="L9" s="89">
        <f>'6'!M53</f>
        <v>8241133782.3999996</v>
      </c>
      <c r="M9" s="89">
        <f>'6'!N53</f>
        <v>7270720165.3999996</v>
      </c>
      <c r="N9" s="89">
        <f t="shared" si="0"/>
        <v>-970413617</v>
      </c>
    </row>
    <row r="10" spans="1:14" ht="17.45" customHeight="1">
      <c r="A10" s="96">
        <v>7</v>
      </c>
      <c r="B10" s="89" t="s">
        <v>107</v>
      </c>
      <c r="C10" s="89">
        <f>'7'!D30</f>
        <v>0</v>
      </c>
      <c r="D10" s="89">
        <f>'7'!E30</f>
        <v>0</v>
      </c>
      <c r="E10" s="89">
        <f>'7'!F30</f>
        <v>0</v>
      </c>
      <c r="F10" s="89">
        <v>496375200</v>
      </c>
      <c r="G10" s="97">
        <f>'7'!I30:I30</f>
        <v>0</v>
      </c>
      <c r="H10" s="97">
        <f>'7'!J30</f>
        <v>0</v>
      </c>
      <c r="I10" s="97">
        <f>'7'!K30</f>
        <v>14151200</v>
      </c>
      <c r="J10" s="97">
        <v>1758966400</v>
      </c>
      <c r="K10" s="97">
        <f>'7'!M47</f>
        <v>1487178880</v>
      </c>
      <c r="L10" s="89">
        <f>'7'!N47</f>
        <v>1831210024</v>
      </c>
      <c r="M10" s="89">
        <f>'7'!O47</f>
        <v>1899834024</v>
      </c>
      <c r="N10" s="89">
        <f t="shared" si="0"/>
        <v>68624000</v>
      </c>
    </row>
    <row r="11" spans="1:14" ht="17.45" customHeight="1">
      <c r="A11" s="96">
        <v>8</v>
      </c>
      <c r="B11" s="89" t="s">
        <v>403</v>
      </c>
      <c r="C11" s="89" t="e">
        <f>'8'!#REF!</f>
        <v>#REF!</v>
      </c>
      <c r="D11" s="89" t="e">
        <f>'8'!#REF!</f>
        <v>#REF!</v>
      </c>
      <c r="E11" s="89" t="e">
        <f>'8'!#REF!</f>
        <v>#REF!</v>
      </c>
      <c r="F11" s="89" t="e">
        <f>'8'!#REF!</f>
        <v>#REF!</v>
      </c>
      <c r="G11" s="97" t="e">
        <f>'8'!#REF!</f>
        <v>#REF!</v>
      </c>
      <c r="H11" s="97" t="e">
        <f>'8'!#REF!</f>
        <v>#REF!</v>
      </c>
      <c r="I11" s="97" t="e">
        <f>'8'!#REF!</f>
        <v>#REF!</v>
      </c>
      <c r="J11" s="97">
        <v>13195562882</v>
      </c>
      <c r="K11" s="97">
        <f>'8'!K58</f>
        <v>36927624324</v>
      </c>
      <c r="L11" s="89">
        <f>'8'!L58</f>
        <v>37666480824</v>
      </c>
      <c r="M11" s="89">
        <f>'8'!M58</f>
        <v>35851912824</v>
      </c>
      <c r="N11" s="89">
        <f t="shared" si="0"/>
        <v>-1814568000</v>
      </c>
    </row>
    <row r="12" spans="1:14" ht="17.45" customHeight="1">
      <c r="A12" s="96" t="s">
        <v>720</v>
      </c>
      <c r="B12" s="89" t="s">
        <v>220</v>
      </c>
      <c r="C12" s="89">
        <f>'33'!D36</f>
        <v>0</v>
      </c>
      <c r="D12" s="89">
        <f>'33'!E36</f>
        <v>0</v>
      </c>
      <c r="E12" s="89">
        <f>'33'!F36</f>
        <v>0</v>
      </c>
      <c r="F12" s="89">
        <v>116932000</v>
      </c>
      <c r="G12" s="97">
        <f>'33'!H36</f>
        <v>0</v>
      </c>
      <c r="H12" s="97">
        <f>'33'!I36</f>
        <v>0</v>
      </c>
      <c r="I12" s="97">
        <f>'33'!J36</f>
        <v>0</v>
      </c>
      <c r="J12" s="97">
        <v>4324324812</v>
      </c>
      <c r="K12" s="97">
        <f>'8A'!M49</f>
        <v>7390013961.6714296</v>
      </c>
      <c r="L12" s="89">
        <f>'8A'!N49</f>
        <v>6900394495.3000002</v>
      </c>
      <c r="M12" s="89">
        <f>'8A'!O49</f>
        <v>9033577194</v>
      </c>
      <c r="N12" s="89">
        <f t="shared" si="0"/>
        <v>2133182698.6999998</v>
      </c>
    </row>
    <row r="13" spans="1:14" ht="17.45" customHeight="1">
      <c r="A13" s="96" t="s">
        <v>719</v>
      </c>
      <c r="B13" s="89" t="s">
        <v>711</v>
      </c>
      <c r="C13" s="89"/>
      <c r="D13" s="89"/>
      <c r="E13" s="89"/>
      <c r="F13" s="89"/>
      <c r="G13" s="97"/>
      <c r="H13" s="97"/>
      <c r="I13" s="97"/>
      <c r="J13" s="97"/>
      <c r="K13" s="97">
        <v>0</v>
      </c>
      <c r="L13" s="89">
        <f>'8B'!D47</f>
        <v>375686800</v>
      </c>
      <c r="M13" s="89">
        <f>'8B'!E47</f>
        <v>428231600</v>
      </c>
      <c r="N13" s="89">
        <f t="shared" si="0"/>
        <v>52544800</v>
      </c>
    </row>
    <row r="14" spans="1:14" ht="17.45" customHeight="1">
      <c r="A14" s="96" t="s">
        <v>1206</v>
      </c>
      <c r="B14" s="89" t="s">
        <v>1207</v>
      </c>
      <c r="C14" s="89"/>
      <c r="D14" s="89"/>
      <c r="E14" s="89"/>
      <c r="F14" s="89"/>
      <c r="G14" s="97"/>
      <c r="H14" s="97"/>
      <c r="I14" s="97"/>
      <c r="J14" s="97"/>
      <c r="K14" s="97"/>
      <c r="L14" s="89">
        <v>0</v>
      </c>
      <c r="M14" s="89">
        <f>'8C'!O42</f>
        <v>6943665380</v>
      </c>
      <c r="N14" s="89">
        <f t="shared" si="0"/>
        <v>6943665380</v>
      </c>
    </row>
    <row r="15" spans="1:14" ht="17.45" customHeight="1">
      <c r="A15" s="96" t="s">
        <v>1208</v>
      </c>
      <c r="B15" s="89" t="s">
        <v>1209</v>
      </c>
      <c r="C15" s="89"/>
      <c r="D15" s="89"/>
      <c r="E15" s="89"/>
      <c r="F15" s="89"/>
      <c r="G15" s="97"/>
      <c r="H15" s="97"/>
      <c r="I15" s="97"/>
      <c r="J15" s="97"/>
      <c r="K15" s="97"/>
      <c r="L15" s="89">
        <v>0</v>
      </c>
      <c r="M15" s="89">
        <f>'8D'!Q41</f>
        <v>800000000</v>
      </c>
      <c r="N15" s="89">
        <f t="shared" si="0"/>
        <v>800000000</v>
      </c>
    </row>
    <row r="16" spans="1:14" ht="17.45" customHeight="1">
      <c r="A16" s="96">
        <v>9</v>
      </c>
      <c r="B16" s="89" t="s">
        <v>149</v>
      </c>
      <c r="C16" s="89" t="e">
        <f>'9'!#REF!</f>
        <v>#REF!</v>
      </c>
      <c r="D16" s="89" t="e">
        <f>'9'!#REF!</f>
        <v>#REF!</v>
      </c>
      <c r="E16" s="89" t="e">
        <f>'9'!#REF!</f>
        <v>#REF!</v>
      </c>
      <c r="F16" s="89">
        <v>1870580000</v>
      </c>
      <c r="G16" s="97" t="e">
        <f>'9'!#REF!</f>
        <v>#REF!</v>
      </c>
      <c r="H16" s="97" t="e">
        <f>'9'!#REF!</f>
        <v>#REF!</v>
      </c>
      <c r="I16" s="97" t="e">
        <f>'9'!#REF!</f>
        <v>#REF!</v>
      </c>
      <c r="J16" s="97">
        <v>4597004640</v>
      </c>
      <c r="K16" s="97">
        <f>'9'!M51</f>
        <v>6734909088</v>
      </c>
      <c r="L16" s="89">
        <f>'9'!N51</f>
        <v>10308034508</v>
      </c>
      <c r="M16" s="89">
        <f>'9'!O51</f>
        <v>11346591288</v>
      </c>
      <c r="N16" s="89">
        <f t="shared" si="0"/>
        <v>1038556780</v>
      </c>
    </row>
    <row r="17" spans="1:14" ht="17.45" customHeight="1">
      <c r="A17" s="96">
        <v>10</v>
      </c>
      <c r="B17" s="89" t="s">
        <v>413</v>
      </c>
      <c r="C17" s="89" t="e">
        <f>'10'!D29</f>
        <v>#REF!</v>
      </c>
      <c r="D17" s="89" t="e">
        <f>'10'!E29</f>
        <v>#REF!</v>
      </c>
      <c r="E17" s="89" t="e">
        <f>'10'!F29</f>
        <v>#REF!</v>
      </c>
      <c r="F17" s="89">
        <v>235824000</v>
      </c>
      <c r="G17" s="97" t="e">
        <f>'10'!H29</f>
        <v>#REF!</v>
      </c>
      <c r="H17" s="97" t="e">
        <f>'10'!I29</f>
        <v>#REF!</v>
      </c>
      <c r="I17" s="97" t="e">
        <f>'10'!J29</f>
        <v>#REF!</v>
      </c>
      <c r="J17" s="97">
        <v>679875200</v>
      </c>
      <c r="K17" s="97">
        <f>'10'!M47</f>
        <v>934060859</v>
      </c>
      <c r="L17" s="89">
        <f>'10'!N47</f>
        <v>1631720320</v>
      </c>
      <c r="M17" s="89">
        <f>'10'!O47</f>
        <v>1784867200</v>
      </c>
      <c r="N17" s="89">
        <f t="shared" si="0"/>
        <v>153146880</v>
      </c>
    </row>
    <row r="18" spans="1:14" ht="17.45" customHeight="1">
      <c r="A18" s="96" t="s">
        <v>75</v>
      </c>
      <c r="B18" s="89" t="s">
        <v>232</v>
      </c>
      <c r="C18" s="89" t="e">
        <f>'10a'!#REF!</f>
        <v>#REF!</v>
      </c>
      <c r="D18" s="89" t="e">
        <f>'10a'!#REF!</f>
        <v>#REF!</v>
      </c>
      <c r="E18" s="89" t="e">
        <f>'10a'!#REF!</f>
        <v>#REF!</v>
      </c>
      <c r="F18" s="89">
        <v>6290707200</v>
      </c>
      <c r="G18" s="89" t="e">
        <f>'10a'!#REF!</f>
        <v>#REF!</v>
      </c>
      <c r="H18" s="89" t="e">
        <f>'10a'!#REF!</f>
        <v>#REF!</v>
      </c>
      <c r="I18" s="89" t="e">
        <f>'10a'!#REF!</f>
        <v>#REF!</v>
      </c>
      <c r="J18" s="97">
        <v>17366838836</v>
      </c>
      <c r="K18" s="89">
        <f>'10a'!M49</f>
        <v>28907928370</v>
      </c>
      <c r="L18" s="89">
        <f>'10a'!N49</f>
        <v>29729133176</v>
      </c>
      <c r="M18" s="89">
        <f>'10a'!O49</f>
        <v>30494594452</v>
      </c>
      <c r="N18" s="89">
        <f t="shared" si="0"/>
        <v>765461276</v>
      </c>
    </row>
    <row r="19" spans="1:14" ht="17.45" customHeight="1">
      <c r="A19" s="96" t="s">
        <v>223</v>
      </c>
      <c r="B19" s="89" t="s">
        <v>231</v>
      </c>
      <c r="C19" s="89" t="e">
        <f>#REF!</f>
        <v>#REF!</v>
      </c>
      <c r="D19" s="89" t="e">
        <f>#REF!</f>
        <v>#REF!</v>
      </c>
      <c r="E19" s="89" t="e">
        <f>#REF!</f>
        <v>#REF!</v>
      </c>
      <c r="F19" s="89">
        <v>1956383200</v>
      </c>
      <c r="G19" s="89" t="e">
        <f>#REF!</f>
        <v>#REF!</v>
      </c>
      <c r="H19" s="89" t="e">
        <f>#REF!</f>
        <v>#REF!</v>
      </c>
      <c r="I19" s="89" t="e">
        <f>#REF!</f>
        <v>#REF!</v>
      </c>
      <c r="J19" s="97">
        <v>4243360800</v>
      </c>
      <c r="K19" s="89">
        <f>'10b'!L46</f>
        <v>5250228560</v>
      </c>
      <c r="L19" s="89">
        <f>'10b'!M46</f>
        <v>7431930880</v>
      </c>
      <c r="M19" s="89">
        <f>'10b'!N46</f>
        <v>8490853800</v>
      </c>
      <c r="N19" s="89">
        <f t="shared" si="0"/>
        <v>1058922920</v>
      </c>
    </row>
    <row r="20" spans="1:14" ht="17.45" customHeight="1">
      <c r="A20" s="96" t="s">
        <v>217</v>
      </c>
      <c r="B20" s="89" t="s">
        <v>225</v>
      </c>
      <c r="C20" s="89"/>
      <c r="D20" s="89"/>
      <c r="E20" s="89"/>
      <c r="F20" s="89"/>
      <c r="G20" s="97"/>
      <c r="H20" s="97"/>
      <c r="I20" s="97"/>
      <c r="J20" s="97">
        <v>235240000</v>
      </c>
      <c r="K20" s="97">
        <f>'10c'!M39</f>
        <v>238129360</v>
      </c>
      <c r="L20" s="89">
        <f>'10c'!N39</f>
        <v>1217248800</v>
      </c>
      <c r="M20" s="89">
        <f>'10c'!O39</f>
        <v>1540450400</v>
      </c>
      <c r="N20" s="89">
        <f t="shared" si="0"/>
        <v>323201600</v>
      </c>
    </row>
    <row r="21" spans="1:14" ht="17.45" customHeight="1">
      <c r="A21" s="96" t="s">
        <v>216</v>
      </c>
      <c r="B21" s="89" t="s">
        <v>226</v>
      </c>
      <c r="C21" s="89"/>
      <c r="D21" s="89"/>
      <c r="E21" s="89"/>
      <c r="F21" s="89"/>
      <c r="G21" s="97"/>
      <c r="H21" s="97"/>
      <c r="I21" s="97"/>
      <c r="J21" s="97">
        <v>306784800</v>
      </c>
      <c r="K21" s="97">
        <f>'10d'!N32</f>
        <v>346828800</v>
      </c>
      <c r="L21" s="89">
        <f>'10d'!O32</f>
        <v>360848800</v>
      </c>
      <c r="M21" s="89">
        <f>'10d'!P32</f>
        <v>316181600</v>
      </c>
      <c r="N21" s="89">
        <f t="shared" si="0"/>
        <v>-44667200</v>
      </c>
    </row>
    <row r="22" spans="1:14" ht="17.45" customHeight="1">
      <c r="A22" s="96">
        <v>11</v>
      </c>
      <c r="B22" s="89" t="s">
        <v>140</v>
      </c>
      <c r="C22" s="89" t="e">
        <f>#REF!</f>
        <v>#REF!</v>
      </c>
      <c r="D22" s="89" t="e">
        <f>#REF!</f>
        <v>#REF!</v>
      </c>
      <c r="E22" s="89" t="e">
        <f>#REF!</f>
        <v>#REF!</v>
      </c>
      <c r="F22" s="89">
        <v>7253005000</v>
      </c>
      <c r="G22" s="97" t="e">
        <f>#REF!</f>
        <v>#REF!</v>
      </c>
      <c r="H22" s="97" t="e">
        <f>#REF!</f>
        <v>#REF!</v>
      </c>
      <c r="I22" s="97" t="e">
        <f>#REF!</f>
        <v>#REF!</v>
      </c>
      <c r="J22" s="97">
        <f>13678460159+911575954</f>
        <v>14590036113</v>
      </c>
      <c r="K22" s="98">
        <f>'11'!M52</f>
        <v>14716661488.700001</v>
      </c>
      <c r="L22" s="89">
        <f>'11'!N52</f>
        <v>14684818890</v>
      </c>
      <c r="M22" s="89">
        <f>'11'!O52</f>
        <v>15334632490</v>
      </c>
      <c r="N22" s="89">
        <f t="shared" si="0"/>
        <v>649813600</v>
      </c>
    </row>
    <row r="23" spans="1:14" ht="17.45" customHeight="1">
      <c r="A23" s="96" t="s">
        <v>221</v>
      </c>
      <c r="B23" s="89" t="s">
        <v>228</v>
      </c>
      <c r="C23" s="89" t="e">
        <f>'11a'!#REF!</f>
        <v>#REF!</v>
      </c>
      <c r="D23" s="89" t="e">
        <f>'11a'!#REF!</f>
        <v>#REF!</v>
      </c>
      <c r="E23" s="89" t="e">
        <f>'11a'!#REF!</f>
        <v>#REF!</v>
      </c>
      <c r="F23" s="89">
        <v>15499411200</v>
      </c>
      <c r="G23" s="97" t="e">
        <f>'11a'!#REF!</f>
        <v>#REF!</v>
      </c>
      <c r="H23" s="97" t="e">
        <f>'11a'!#REF!</f>
        <v>#REF!</v>
      </c>
      <c r="I23" s="97" t="e">
        <f>'11a'!#REF!</f>
        <v>#REF!</v>
      </c>
      <c r="J23" s="97">
        <v>33622078053</v>
      </c>
      <c r="K23" s="97">
        <f>'11a'!M49</f>
        <v>65987778363</v>
      </c>
      <c r="L23" s="89">
        <f>'11a'!N49</f>
        <v>59808328123</v>
      </c>
      <c r="M23" s="89">
        <f>'11a'!Q49</f>
        <v>60638328123</v>
      </c>
      <c r="N23" s="89">
        <f t="shared" si="0"/>
        <v>830000000</v>
      </c>
    </row>
    <row r="24" spans="1:14" ht="17.45" customHeight="1">
      <c r="A24" s="96" t="s">
        <v>78</v>
      </c>
      <c r="B24" s="89" t="s">
        <v>79</v>
      </c>
      <c r="C24" s="89"/>
      <c r="D24" s="89"/>
      <c r="E24" s="89"/>
      <c r="F24" s="89">
        <v>0</v>
      </c>
      <c r="G24" s="97" t="e">
        <f>'11b'!#REF!</f>
        <v>#REF!</v>
      </c>
      <c r="H24" s="97" t="e">
        <f>'11b'!#REF!</f>
        <v>#REF!</v>
      </c>
      <c r="I24" s="97" t="e">
        <f>'11b'!#REF!</f>
        <v>#REF!</v>
      </c>
      <c r="J24" s="97">
        <v>2161379387</v>
      </c>
      <c r="K24" s="97">
        <f>'11b'!I43</f>
        <v>6403093217.3999996</v>
      </c>
      <c r="L24" s="89">
        <f>'11b'!J43</f>
        <v>6286511633.3999996</v>
      </c>
      <c r="M24" s="89">
        <f>'11b'!K43</f>
        <v>6275409153.3999996</v>
      </c>
      <c r="N24" s="89">
        <f t="shared" si="0"/>
        <v>-11102480</v>
      </c>
    </row>
    <row r="25" spans="1:14" ht="17.45" customHeight="1">
      <c r="A25" s="96" t="s">
        <v>224</v>
      </c>
      <c r="B25" s="89" t="s">
        <v>227</v>
      </c>
      <c r="C25" s="89"/>
      <c r="D25" s="89"/>
      <c r="E25" s="89"/>
      <c r="F25" s="89"/>
      <c r="G25" s="97"/>
      <c r="H25" s="97"/>
      <c r="I25" s="97"/>
      <c r="J25" s="97">
        <v>289800000</v>
      </c>
      <c r="K25" s="97">
        <f>'11c'!M42</f>
        <v>424900000</v>
      </c>
      <c r="L25" s="89">
        <f>'11c'!N42</f>
        <v>332240000</v>
      </c>
      <c r="M25" s="89">
        <f>'11c'!O42</f>
        <v>363637000</v>
      </c>
      <c r="N25" s="89">
        <f t="shared" si="0"/>
        <v>31397000</v>
      </c>
    </row>
    <row r="26" spans="1:14" ht="17.45" customHeight="1">
      <c r="A26" s="96" t="s">
        <v>455</v>
      </c>
      <c r="B26" s="89" t="s">
        <v>167</v>
      </c>
      <c r="C26" s="89"/>
      <c r="D26" s="89"/>
      <c r="E26" s="89"/>
      <c r="F26" s="89"/>
      <c r="G26" s="97"/>
      <c r="H26" s="97"/>
      <c r="I26" s="97"/>
      <c r="J26" s="97">
        <v>3053688406</v>
      </c>
      <c r="K26" s="97">
        <f>'11d'!K44</f>
        <v>2598135846</v>
      </c>
      <c r="L26" s="89">
        <f>'11d'!L44</f>
        <v>3214534526</v>
      </c>
      <c r="M26" s="89">
        <f>'11d'!M44</f>
        <v>3048534526</v>
      </c>
      <c r="N26" s="89">
        <f t="shared" si="0"/>
        <v>-166000000</v>
      </c>
    </row>
    <row r="27" spans="1:14" ht="17.45" customHeight="1">
      <c r="A27" s="96">
        <v>12</v>
      </c>
      <c r="B27" s="89" t="s">
        <v>1270</v>
      </c>
      <c r="C27" s="89" t="e">
        <f>#REF!</f>
        <v>#REF!</v>
      </c>
      <c r="D27" s="89" t="e">
        <f>#REF!</f>
        <v>#REF!</v>
      </c>
      <c r="E27" s="89" t="e">
        <f>#REF!</f>
        <v>#REF!</v>
      </c>
      <c r="F27" s="89">
        <v>1120164000</v>
      </c>
      <c r="G27" s="89" t="e">
        <f>#REF!</f>
        <v>#REF!</v>
      </c>
      <c r="H27" s="89">
        <v>2129624000</v>
      </c>
      <c r="I27" s="89">
        <v>2777308800</v>
      </c>
      <c r="J27" s="97">
        <v>2829318000</v>
      </c>
      <c r="K27" s="89">
        <f>'12'!M49</f>
        <v>7671675200</v>
      </c>
      <c r="L27" s="89">
        <f>'12'!N49</f>
        <v>9118002660</v>
      </c>
      <c r="M27" s="89">
        <f>'12'!O49</f>
        <v>8170279600</v>
      </c>
      <c r="N27" s="89">
        <f t="shared" si="0"/>
        <v>-947723060</v>
      </c>
    </row>
    <row r="28" spans="1:14" ht="17.45" customHeight="1">
      <c r="A28" s="96" t="s">
        <v>222</v>
      </c>
      <c r="B28" s="89" t="s">
        <v>82</v>
      </c>
      <c r="C28" s="89"/>
      <c r="D28" s="89"/>
      <c r="E28" s="89"/>
      <c r="F28" s="89">
        <v>0</v>
      </c>
      <c r="G28" s="89" t="e">
        <f>'12a'!#REF!</f>
        <v>#REF!</v>
      </c>
      <c r="H28" s="89" t="e">
        <f>'12a'!#REF!</f>
        <v>#REF!</v>
      </c>
      <c r="I28" s="89" t="e">
        <f>'12a'!#REF!</f>
        <v>#REF!</v>
      </c>
      <c r="J28" s="97">
        <v>2962071366</v>
      </c>
      <c r="K28" s="89">
        <f>'12a'!I45</f>
        <v>8873433055.6000004</v>
      </c>
      <c r="L28" s="89">
        <f>'12a'!J45</f>
        <v>17085350274.4</v>
      </c>
      <c r="M28" s="89">
        <f>'12a'!K45</f>
        <v>15591636540</v>
      </c>
      <c r="N28" s="89">
        <f t="shared" si="0"/>
        <v>-1493713734.3999996</v>
      </c>
    </row>
    <row r="29" spans="1:14" ht="17.45" customHeight="1">
      <c r="A29" s="96">
        <v>13</v>
      </c>
      <c r="B29" s="89" t="s">
        <v>230</v>
      </c>
      <c r="C29" s="89" t="e">
        <f>#REF!</f>
        <v>#REF!</v>
      </c>
      <c r="D29" s="89" t="e">
        <f>#REF!</f>
        <v>#REF!</v>
      </c>
      <c r="E29" s="89" t="e">
        <f>#REF!</f>
        <v>#REF!</v>
      </c>
      <c r="F29" s="89">
        <v>8198449200</v>
      </c>
      <c r="G29" s="89" t="e">
        <f>#REF!</f>
        <v>#REF!</v>
      </c>
      <c r="H29" s="89" t="e">
        <f>#REF!</f>
        <v>#REF!</v>
      </c>
      <c r="I29" s="89" t="e">
        <f>#REF!</f>
        <v>#REF!</v>
      </c>
      <c r="J29" s="97">
        <v>12346564127</v>
      </c>
      <c r="K29" s="89">
        <f>'13'!M45</f>
        <v>23437079569.985714</v>
      </c>
      <c r="L29" s="89">
        <f>'13'!N45</f>
        <v>1498938965.7</v>
      </c>
      <c r="M29" s="89">
        <f>'13'!O45</f>
        <v>1692133109.7</v>
      </c>
      <c r="N29" s="89">
        <f t="shared" si="0"/>
        <v>193194144</v>
      </c>
    </row>
    <row r="30" spans="1:14" ht="17.45" customHeight="1">
      <c r="A30" s="96" t="s">
        <v>721</v>
      </c>
      <c r="B30" s="89" t="s">
        <v>67</v>
      </c>
      <c r="C30" s="89" t="e">
        <f>#REF!</f>
        <v>#REF!</v>
      </c>
      <c r="D30" s="89" t="e">
        <f>#REF!</f>
        <v>#REF!</v>
      </c>
      <c r="E30" s="89" t="e">
        <f>#REF!</f>
        <v>#REF!</v>
      </c>
      <c r="F30" s="99">
        <v>39464354920</v>
      </c>
      <c r="G30" s="99" t="e">
        <f>#REF!</f>
        <v>#REF!</v>
      </c>
      <c r="H30" s="99" t="e">
        <f>#REF!</f>
        <v>#REF!</v>
      </c>
      <c r="I30" s="99" t="e">
        <f>#REF!</f>
        <v>#REF!</v>
      </c>
      <c r="J30" s="97">
        <v>87580662108</v>
      </c>
      <c r="K30" s="99">
        <f>'13A'!M45</f>
        <v>133672365037.14285</v>
      </c>
      <c r="L30" s="89">
        <f>'13A'!N45</f>
        <v>133517821749.70999</v>
      </c>
      <c r="M30" s="89">
        <f>'13A'!O45</f>
        <v>142287277333.70999</v>
      </c>
      <c r="N30" s="89">
        <f t="shared" si="0"/>
        <v>8769455584</v>
      </c>
    </row>
    <row r="31" spans="1:14" ht="17.45" customHeight="1">
      <c r="A31" s="96">
        <v>14</v>
      </c>
      <c r="B31" s="89" t="s">
        <v>409</v>
      </c>
      <c r="C31" s="89" t="e">
        <f>'14'!#REF!</f>
        <v>#REF!</v>
      </c>
      <c r="D31" s="89" t="e">
        <f>'14'!#REF!</f>
        <v>#REF!</v>
      </c>
      <c r="E31" s="89" t="e">
        <f>'14'!#REF!</f>
        <v>#REF!</v>
      </c>
      <c r="F31" s="89">
        <v>296182400</v>
      </c>
      <c r="G31" s="89" t="e">
        <f>'14'!#REF!</f>
        <v>#REF!</v>
      </c>
      <c r="H31" s="89" t="e">
        <f>'14'!#REF!</f>
        <v>#REF!</v>
      </c>
      <c r="I31" s="89" t="e">
        <f>'14'!#REF!</f>
        <v>#REF!</v>
      </c>
      <c r="J31" s="97">
        <v>1778123200</v>
      </c>
      <c r="K31" s="89">
        <f>'14'!M44</f>
        <v>1702966400</v>
      </c>
      <c r="L31" s="89">
        <f>'14'!N44</f>
        <v>1694840320</v>
      </c>
      <c r="M31" s="89">
        <f>'14'!O44</f>
        <v>2253987520</v>
      </c>
      <c r="N31" s="89">
        <f t="shared" si="0"/>
        <v>559147200</v>
      </c>
    </row>
    <row r="32" spans="1:14" ht="17.45" customHeight="1">
      <c r="A32" s="96">
        <v>15</v>
      </c>
      <c r="B32" s="89" t="s">
        <v>88</v>
      </c>
      <c r="C32" s="89" t="e">
        <f>#REF!</f>
        <v>#REF!</v>
      </c>
      <c r="D32" s="89" t="e">
        <f>#REF!</f>
        <v>#REF!</v>
      </c>
      <c r="E32" s="89" t="e">
        <f>#REF!</f>
        <v>#REF!</v>
      </c>
      <c r="F32" s="89">
        <v>14395601571</v>
      </c>
      <c r="G32" s="89" t="e">
        <f>#REF!</f>
        <v>#REF!</v>
      </c>
      <c r="H32" s="89" t="e">
        <f>#REF!</f>
        <v>#REF!</v>
      </c>
      <c r="I32" s="89" t="e">
        <f>#REF!</f>
        <v>#REF!</v>
      </c>
      <c r="J32" s="97">
        <v>18153248520</v>
      </c>
      <c r="K32" s="89">
        <f>'15'!M67</f>
        <v>42611931120</v>
      </c>
      <c r="L32" s="89">
        <f>'15'!N67</f>
        <v>85783951475</v>
      </c>
      <c r="M32" s="89">
        <f>'15'!O67</f>
        <v>41241486400</v>
      </c>
      <c r="N32" s="89">
        <f t="shared" si="0"/>
        <v>-44542465075</v>
      </c>
    </row>
    <row r="33" spans="1:14" ht="17.45" customHeight="1">
      <c r="A33" s="96" t="s">
        <v>1156</v>
      </c>
      <c r="B33" s="89" t="s">
        <v>1159</v>
      </c>
      <c r="C33" s="89"/>
      <c r="D33" s="89"/>
      <c r="E33" s="89"/>
      <c r="F33" s="89"/>
      <c r="G33" s="89"/>
      <c r="H33" s="89"/>
      <c r="I33" s="89"/>
      <c r="J33" s="97"/>
      <c r="K33" s="89"/>
      <c r="L33" s="89"/>
      <c r="M33" s="89">
        <f>'15A'!Q44</f>
        <v>133432002385</v>
      </c>
      <c r="N33" s="89">
        <f t="shared" si="0"/>
        <v>133432002385</v>
      </c>
    </row>
    <row r="34" spans="1:14" ht="17.45" customHeight="1">
      <c r="A34" s="96">
        <v>16</v>
      </c>
      <c r="B34" s="89" t="s">
        <v>939</v>
      </c>
      <c r="C34" s="89" t="e">
        <f>'16'!D39</f>
        <v>#REF!</v>
      </c>
      <c r="D34" s="89" t="e">
        <f>'16'!E39</f>
        <v>#REF!</v>
      </c>
      <c r="E34" s="89" t="e">
        <f>'16'!F39</f>
        <v>#REF!</v>
      </c>
      <c r="F34" s="89">
        <v>869997600</v>
      </c>
      <c r="G34" s="89" t="e">
        <f>'16'!H39</f>
        <v>#REF!</v>
      </c>
      <c r="H34" s="89" t="e">
        <f>'16'!I39</f>
        <v>#REF!</v>
      </c>
      <c r="I34" s="89" t="e">
        <f>'16'!J39</f>
        <v>#REF!</v>
      </c>
      <c r="J34" s="97">
        <f>1688550948+791945160+660502400</f>
        <v>3140998508</v>
      </c>
      <c r="K34" s="89">
        <f>'16'!M49</f>
        <v>4211323474.7714286</v>
      </c>
      <c r="L34" s="89">
        <f>'16'!N49</f>
        <v>4008757590.7714286</v>
      </c>
      <c r="M34" s="89">
        <f>'16'!O49</f>
        <v>3160429640.5</v>
      </c>
      <c r="N34" s="89">
        <f t="shared" si="0"/>
        <v>-848327950.27142859</v>
      </c>
    </row>
    <row r="35" spans="1:14" ht="17.45" customHeight="1">
      <c r="A35" s="96">
        <v>17</v>
      </c>
      <c r="B35" s="89" t="s">
        <v>405</v>
      </c>
      <c r="C35" s="89" t="e">
        <f>'17'!#REF!</f>
        <v>#REF!</v>
      </c>
      <c r="D35" s="89" t="e">
        <f>'17'!#REF!</f>
        <v>#REF!</v>
      </c>
      <c r="E35" s="89" t="e">
        <f>'17'!#REF!</f>
        <v>#REF!</v>
      </c>
      <c r="F35" s="89">
        <v>522060400</v>
      </c>
      <c r="G35" s="89" t="e">
        <f>'17'!#REF!</f>
        <v>#REF!</v>
      </c>
      <c r="H35" s="89" t="e">
        <f>'17'!#REF!</f>
        <v>#REF!</v>
      </c>
      <c r="I35" s="89" t="e">
        <f>'17'!#REF!</f>
        <v>#REF!</v>
      </c>
      <c r="J35" s="97">
        <v>1512814108</v>
      </c>
      <c r="K35" s="89">
        <f>'17'!N47</f>
        <v>1767482415.5999999</v>
      </c>
      <c r="L35" s="89">
        <f>'17'!O47</f>
        <v>2506523015.5999999</v>
      </c>
      <c r="M35" s="89">
        <f>'17'!P47</f>
        <v>2907432615.5999999</v>
      </c>
      <c r="N35" s="89">
        <f t="shared" si="0"/>
        <v>400909600</v>
      </c>
    </row>
    <row r="36" spans="1:14" ht="17.45" customHeight="1">
      <c r="A36" s="96">
        <v>18</v>
      </c>
      <c r="B36" s="89" t="s">
        <v>408</v>
      </c>
      <c r="C36" s="89" t="e">
        <f>#REF!</f>
        <v>#REF!</v>
      </c>
      <c r="D36" s="89" t="e">
        <f>#REF!</f>
        <v>#REF!</v>
      </c>
      <c r="E36" s="89" t="e">
        <f>#REF!</f>
        <v>#REF!</v>
      </c>
      <c r="F36" s="89">
        <v>887002400</v>
      </c>
      <c r="G36" s="89" t="e">
        <f>#REF!</f>
        <v>#REF!</v>
      </c>
      <c r="H36" s="89" t="e">
        <f>#REF!</f>
        <v>#REF!</v>
      </c>
      <c r="I36" s="89" t="e">
        <f>#REF!</f>
        <v>#REF!</v>
      </c>
      <c r="J36" s="97">
        <v>1464065118</v>
      </c>
      <c r="K36" s="89">
        <f>'18'!M45</f>
        <v>2903721822</v>
      </c>
      <c r="L36" s="89">
        <f>'18'!N45</f>
        <v>2644657302</v>
      </c>
      <c r="M36" s="89">
        <f>'18'!O45</f>
        <v>2199128102</v>
      </c>
      <c r="N36" s="89">
        <f t="shared" si="0"/>
        <v>-445529200</v>
      </c>
    </row>
    <row r="37" spans="1:14" ht="17.45" customHeight="1">
      <c r="A37" s="96">
        <v>19</v>
      </c>
      <c r="B37" s="89" t="s">
        <v>124</v>
      </c>
      <c r="C37" s="89" t="e">
        <f>'19'!D27</f>
        <v>#REF!</v>
      </c>
      <c r="D37" s="89" t="e">
        <f>'19'!E27</f>
        <v>#REF!</v>
      </c>
      <c r="E37" s="89" t="e">
        <f>'19'!F27</f>
        <v>#REF!</v>
      </c>
      <c r="F37" s="89">
        <v>563710400</v>
      </c>
      <c r="G37" s="89" t="e">
        <f>'19'!H27</f>
        <v>#REF!</v>
      </c>
      <c r="H37" s="89" t="e">
        <f>'19'!I27</f>
        <v>#REF!</v>
      </c>
      <c r="I37" s="89" t="e">
        <f>'19'!J27</f>
        <v>#REF!</v>
      </c>
      <c r="J37" s="97">
        <v>1637448296</v>
      </c>
      <c r="K37" s="89">
        <f>'19'!M47</f>
        <v>2374602813</v>
      </c>
      <c r="L37" s="89">
        <f>'19'!N47</f>
        <v>2067964813</v>
      </c>
      <c r="M37" s="89">
        <f>'19'!O47</f>
        <v>2612324013</v>
      </c>
      <c r="N37" s="89">
        <f t="shared" si="0"/>
        <v>544359200</v>
      </c>
    </row>
    <row r="38" spans="1:14" ht="17.45" customHeight="1">
      <c r="A38" s="96">
        <v>20</v>
      </c>
      <c r="B38" s="89" t="s">
        <v>662</v>
      </c>
      <c r="C38" s="89">
        <f>'20'!D41</f>
        <v>0</v>
      </c>
      <c r="D38" s="89">
        <f>'20'!E41</f>
        <v>0</v>
      </c>
      <c r="E38" s="89">
        <f>'20'!F41</f>
        <v>0</v>
      </c>
      <c r="F38" s="89">
        <v>644624000</v>
      </c>
      <c r="G38" s="89">
        <f>'20'!H41</f>
        <v>0</v>
      </c>
      <c r="H38" s="89">
        <f>'20'!I41</f>
        <v>0</v>
      </c>
      <c r="I38" s="89">
        <f>'20'!J41</f>
        <v>0</v>
      </c>
      <c r="J38" s="97">
        <f>'[1]20'!L51</f>
        <v>3203181540</v>
      </c>
      <c r="K38" s="90">
        <f>'20'!M53</f>
        <v>2386681021</v>
      </c>
      <c r="L38" s="89">
        <f>'20'!N53</f>
        <v>4605232901</v>
      </c>
      <c r="M38" s="89">
        <f>'20'!O53</f>
        <v>5764496101</v>
      </c>
      <c r="N38" s="89">
        <f t="shared" si="0"/>
        <v>1159263200</v>
      </c>
    </row>
    <row r="39" spans="1:14" ht="17.45" customHeight="1">
      <c r="A39" s="96">
        <v>21</v>
      </c>
      <c r="B39" s="89" t="s">
        <v>113</v>
      </c>
      <c r="C39" s="89" t="e">
        <f>#REF!</f>
        <v>#REF!</v>
      </c>
      <c r="D39" s="89" t="e">
        <f>#REF!</f>
        <v>#REF!</v>
      </c>
      <c r="E39" s="89" t="e">
        <f>#REF!</f>
        <v>#REF!</v>
      </c>
      <c r="F39" s="89">
        <v>536919360</v>
      </c>
      <c r="G39" s="89" t="e">
        <f>#REF!</f>
        <v>#REF!</v>
      </c>
      <c r="H39" s="89" t="e">
        <f>#REF!</f>
        <v>#REF!</v>
      </c>
      <c r="I39" s="89" t="e">
        <f>#REF!</f>
        <v>#REF!</v>
      </c>
      <c r="J39" s="97">
        <v>3336099200</v>
      </c>
      <c r="K39" s="89">
        <f>'21'!M45</f>
        <v>4230964600</v>
      </c>
      <c r="L39" s="89">
        <f>'21'!N45</f>
        <v>4304777080</v>
      </c>
      <c r="M39" s="89">
        <f>'21'!O45</f>
        <v>4401810280</v>
      </c>
      <c r="N39" s="89">
        <f t="shared" si="0"/>
        <v>97033200</v>
      </c>
    </row>
    <row r="40" spans="1:14" ht="17.45" customHeight="1">
      <c r="A40" s="96">
        <v>22</v>
      </c>
      <c r="B40" s="89" t="s">
        <v>411</v>
      </c>
      <c r="C40" s="89" t="e">
        <f>#REF!</f>
        <v>#REF!</v>
      </c>
      <c r="D40" s="89" t="e">
        <f>#REF!</f>
        <v>#REF!</v>
      </c>
      <c r="E40" s="89" t="e">
        <f>#REF!</f>
        <v>#REF!</v>
      </c>
      <c r="F40" s="89">
        <v>7163075000</v>
      </c>
      <c r="G40" s="89" t="e">
        <f>#REF!</f>
        <v>#REF!</v>
      </c>
      <c r="H40" s="89" t="e">
        <f>#REF!</f>
        <v>#REF!</v>
      </c>
      <c r="I40" s="89" t="e">
        <f>#REF!</f>
        <v>#REF!</v>
      </c>
      <c r="J40" s="97">
        <f>'[1]22'!K47</f>
        <v>14633732140</v>
      </c>
      <c r="K40" s="89">
        <f>'22'!L53</f>
        <v>33023977738</v>
      </c>
      <c r="L40" s="89">
        <f>'22'!M53</f>
        <v>44523310423.714287</v>
      </c>
      <c r="M40" s="89">
        <f>'22'!N53</f>
        <v>50413533338</v>
      </c>
      <c r="N40" s="89">
        <f t="shared" si="0"/>
        <v>5890222914.2857132</v>
      </c>
    </row>
    <row r="41" spans="1:14" ht="17.45" customHeight="1">
      <c r="A41" s="96" t="s">
        <v>685</v>
      </c>
      <c r="B41" s="89" t="s">
        <v>689</v>
      </c>
      <c r="C41" s="89"/>
      <c r="D41" s="89"/>
      <c r="E41" s="89"/>
      <c r="F41" s="89"/>
      <c r="G41" s="89"/>
      <c r="H41" s="89"/>
      <c r="I41" s="89"/>
      <c r="J41" s="97"/>
      <c r="K41" s="89" t="e">
        <f>'22A'!C47</f>
        <v>#REF!</v>
      </c>
      <c r="L41" s="89">
        <f>'22A'!D47</f>
        <v>1616813600</v>
      </c>
      <c r="M41" s="89">
        <f>'22A'!E47</f>
        <v>2367527885.7142859</v>
      </c>
      <c r="N41" s="89">
        <f t="shared" si="0"/>
        <v>750714285.71428585</v>
      </c>
    </row>
    <row r="42" spans="1:14" ht="17.45" customHeight="1">
      <c r="A42" s="96" t="s">
        <v>851</v>
      </c>
      <c r="B42" s="89" t="s">
        <v>787</v>
      </c>
      <c r="C42" s="89"/>
      <c r="D42" s="89"/>
      <c r="E42" s="89"/>
      <c r="F42" s="89"/>
      <c r="G42" s="89"/>
      <c r="H42" s="89"/>
      <c r="I42" s="89"/>
      <c r="J42" s="97"/>
      <c r="K42" s="89"/>
      <c r="L42" s="89">
        <f>'22B'!D44</f>
        <v>798810400</v>
      </c>
      <c r="M42" s="89">
        <f>'22B'!E44</f>
        <v>590810400</v>
      </c>
      <c r="N42" s="89">
        <f t="shared" si="0"/>
        <v>-208000000</v>
      </c>
    </row>
    <row r="43" spans="1:14" ht="17.45" customHeight="1">
      <c r="A43" s="96">
        <v>23</v>
      </c>
      <c r="B43" s="89" t="s">
        <v>412</v>
      </c>
      <c r="C43" s="89" t="e">
        <f>'23'!#REF!</f>
        <v>#REF!</v>
      </c>
      <c r="D43" s="89" t="e">
        <f>'23'!#REF!</f>
        <v>#REF!</v>
      </c>
      <c r="E43" s="89" t="e">
        <f>'23'!#REF!</f>
        <v>#REF!</v>
      </c>
      <c r="F43" s="89">
        <v>4386348000</v>
      </c>
      <c r="G43" s="89" t="e">
        <f>'23'!#REF!</f>
        <v>#REF!</v>
      </c>
      <c r="H43" s="89" t="e">
        <f>'23'!#REF!</f>
        <v>#REF!</v>
      </c>
      <c r="I43" s="89" t="e">
        <f>'23'!#REF!</f>
        <v>#REF!</v>
      </c>
      <c r="J43" s="97">
        <v>8783810960</v>
      </c>
      <c r="K43" s="89">
        <f>'23'!K54</f>
        <v>16344798557.714287</v>
      </c>
      <c r="L43" s="89">
        <f>'23'!L54</f>
        <v>26462450637.714287</v>
      </c>
      <c r="M43" s="89">
        <f>'23'!M54</f>
        <v>25594452237.714287</v>
      </c>
      <c r="N43" s="89">
        <f t="shared" si="0"/>
        <v>-867998400</v>
      </c>
    </row>
    <row r="44" spans="1:14" ht="17.45" customHeight="1">
      <c r="A44" s="96">
        <v>24</v>
      </c>
      <c r="B44" s="89" t="s">
        <v>229</v>
      </c>
      <c r="C44" s="89" t="e">
        <f>#REF!</f>
        <v>#REF!</v>
      </c>
      <c r="D44" s="89" t="e">
        <f>#REF!</f>
        <v>#REF!</v>
      </c>
      <c r="E44" s="89" t="e">
        <f>#REF!</f>
        <v>#REF!</v>
      </c>
      <c r="F44" s="89">
        <v>414108000</v>
      </c>
      <c r="G44" s="89" t="e">
        <f>#REF!</f>
        <v>#REF!</v>
      </c>
      <c r="H44" s="89" t="e">
        <f>#REF!</f>
        <v>#REF!</v>
      </c>
      <c r="I44" s="89" t="e">
        <f>#REF!</f>
        <v>#REF!</v>
      </c>
      <c r="J44" s="97">
        <f>'[1]24'!K53</f>
        <v>893742585</v>
      </c>
      <c r="K44" s="89">
        <f>'24'!L47</f>
        <v>2592776800</v>
      </c>
      <c r="L44" s="89">
        <f>'24'!M47</f>
        <v>1725410400</v>
      </c>
      <c r="M44" s="89">
        <f>'24'!N47</f>
        <v>2217810400</v>
      </c>
      <c r="N44" s="89">
        <f t="shared" si="0"/>
        <v>492400000</v>
      </c>
    </row>
    <row r="45" spans="1:14" ht="17.45" customHeight="1">
      <c r="A45" s="96">
        <v>25</v>
      </c>
      <c r="B45" s="89" t="s">
        <v>410</v>
      </c>
      <c r="C45" s="89" t="e">
        <f>#REF!</f>
        <v>#REF!</v>
      </c>
      <c r="D45" s="89" t="e">
        <f>#REF!</f>
        <v>#REF!</v>
      </c>
      <c r="E45" s="89" t="e">
        <f>#REF!</f>
        <v>#REF!</v>
      </c>
      <c r="F45" s="89">
        <v>3229372800</v>
      </c>
      <c r="G45" s="89" t="e">
        <f>#REF!</f>
        <v>#REF!</v>
      </c>
      <c r="H45" s="89" t="e">
        <f>#REF!</f>
        <v>#REF!</v>
      </c>
      <c r="I45" s="89" t="e">
        <f>#REF!</f>
        <v>#REF!</v>
      </c>
      <c r="J45" s="97">
        <f>'[1]25'!L43</f>
        <v>2423412800</v>
      </c>
      <c r="K45" s="89">
        <f>'25'!M45</f>
        <v>1971384180</v>
      </c>
      <c r="L45" s="89">
        <f>'25'!N45</f>
        <v>6430889904</v>
      </c>
      <c r="M45" s="89">
        <f>'25'!O45</f>
        <v>2718938904</v>
      </c>
      <c r="N45" s="89">
        <f t="shared" si="0"/>
        <v>-3711951000</v>
      </c>
    </row>
    <row r="46" spans="1:14" ht="17.45" customHeight="1">
      <c r="A46" s="96">
        <v>26</v>
      </c>
      <c r="B46" s="89" t="s">
        <v>416</v>
      </c>
      <c r="C46" s="89" t="e">
        <f>#REF!</f>
        <v>#REF!</v>
      </c>
      <c r="D46" s="89" t="e">
        <f>#REF!</f>
        <v>#REF!</v>
      </c>
      <c r="E46" s="89" t="e">
        <f>#REF!</f>
        <v>#REF!</v>
      </c>
      <c r="F46" s="89">
        <v>1473875200</v>
      </c>
      <c r="G46" s="89" t="e">
        <f>#REF!</f>
        <v>#REF!</v>
      </c>
      <c r="H46" s="89" t="e">
        <f>#REF!</f>
        <v>#REF!</v>
      </c>
      <c r="I46" s="89" t="e">
        <f>#REF!</f>
        <v>#REF!</v>
      </c>
      <c r="J46" s="97">
        <v>2213083152</v>
      </c>
      <c r="K46" s="89">
        <f>'26'!M52</f>
        <v>2917731880.8000002</v>
      </c>
      <c r="L46" s="89">
        <f>'26'!N52</f>
        <v>8638011360.7999992</v>
      </c>
      <c r="M46" s="89">
        <f>'26'!O52</f>
        <v>5942058560.8000002</v>
      </c>
      <c r="N46" s="89">
        <f t="shared" si="0"/>
        <v>-2695952799.999999</v>
      </c>
    </row>
    <row r="47" spans="1:14" ht="17.45" customHeight="1">
      <c r="A47" s="96">
        <v>27</v>
      </c>
      <c r="B47" s="89" t="s">
        <v>112</v>
      </c>
      <c r="C47" s="89" t="e">
        <f>'27'!#REF!</f>
        <v>#REF!</v>
      </c>
      <c r="D47" s="89" t="e">
        <f>'27'!#REF!</f>
        <v>#REF!</v>
      </c>
      <c r="E47" s="89" t="e">
        <f>'27'!#REF!</f>
        <v>#REF!</v>
      </c>
      <c r="F47" s="89">
        <v>248302600</v>
      </c>
      <c r="G47" s="89" t="e">
        <f>'27'!#REF!</f>
        <v>#REF!</v>
      </c>
      <c r="H47" s="89" t="e">
        <f>'27'!#REF!</f>
        <v>#REF!</v>
      </c>
      <c r="I47" s="89" t="e">
        <f>'27'!#REF!</f>
        <v>#REF!</v>
      </c>
      <c r="J47" s="97">
        <v>590046650</v>
      </c>
      <c r="K47" s="89">
        <f>'27'!M49</f>
        <v>635864751</v>
      </c>
      <c r="L47" s="89">
        <f>'27'!N49</f>
        <v>25199998516</v>
      </c>
      <c r="M47" s="89">
        <f>'27'!O49</f>
        <v>34243194356</v>
      </c>
      <c r="N47" s="89">
        <f t="shared" si="0"/>
        <v>9043195840</v>
      </c>
    </row>
    <row r="48" spans="1:14" ht="17.45" customHeight="1">
      <c r="A48" s="96">
        <v>28</v>
      </c>
      <c r="B48" s="89" t="s">
        <v>91</v>
      </c>
      <c r="C48" s="89" t="e">
        <f>'28'!#REF!</f>
        <v>#REF!</v>
      </c>
      <c r="D48" s="89" t="e">
        <f>'28'!#REF!</f>
        <v>#REF!</v>
      </c>
      <c r="E48" s="89" t="e">
        <f>'28'!#REF!</f>
        <v>#REF!</v>
      </c>
      <c r="F48" s="89">
        <v>208425600</v>
      </c>
      <c r="G48" s="89" t="e">
        <f>'28'!#REF!</f>
        <v>#REF!</v>
      </c>
      <c r="H48" s="89" t="e">
        <f>'28'!#REF!</f>
        <v>#REF!</v>
      </c>
      <c r="I48" s="89" t="e">
        <f>'28'!#REF!</f>
        <v>#REF!</v>
      </c>
      <c r="J48" s="97">
        <v>480119672</v>
      </c>
      <c r="K48" s="89">
        <f>'28'!M43</f>
        <v>479133730.39999998</v>
      </c>
      <c r="L48" s="89">
        <f>'28'!N43</f>
        <v>476094930.39999998</v>
      </c>
      <c r="M48" s="89">
        <f>'28'!O43</f>
        <v>456055930</v>
      </c>
      <c r="N48" s="89">
        <f t="shared" si="0"/>
        <v>-20039000.399999976</v>
      </c>
    </row>
    <row r="49" spans="1:25" ht="17.45" customHeight="1">
      <c r="A49" s="96">
        <v>29</v>
      </c>
      <c r="B49" s="89" t="s">
        <v>551</v>
      </c>
      <c r="C49" s="89" t="e">
        <f>#REF!</f>
        <v>#REF!</v>
      </c>
      <c r="D49" s="89" t="e">
        <f>#REF!</f>
        <v>#REF!</v>
      </c>
      <c r="E49" s="89" t="e">
        <f>#REF!</f>
        <v>#REF!</v>
      </c>
      <c r="F49" s="89">
        <v>172588000</v>
      </c>
      <c r="G49" s="89" t="e">
        <f>#REF!</f>
        <v>#REF!</v>
      </c>
      <c r="H49" s="89" t="e">
        <f>#REF!</f>
        <v>#REF!</v>
      </c>
      <c r="I49" s="89" t="e">
        <f>#REF!</f>
        <v>#REF!</v>
      </c>
      <c r="J49" s="97">
        <v>314327966</v>
      </c>
      <c r="K49" s="89">
        <f>'29'!M45</f>
        <v>633258024</v>
      </c>
      <c r="L49" s="89">
        <f>'29'!N45</f>
        <v>580163824</v>
      </c>
      <c r="M49" s="89">
        <f>'29'!O45</f>
        <v>672387424</v>
      </c>
      <c r="N49" s="89">
        <f t="shared" si="0"/>
        <v>92223600</v>
      </c>
    </row>
    <row r="50" spans="1:25" ht="17.45" customHeight="1">
      <c r="A50" s="100">
        <v>30</v>
      </c>
      <c r="B50" s="89" t="s">
        <v>402</v>
      </c>
      <c r="C50" s="101" t="e">
        <f>SUM(#REF!)</f>
        <v>#REF!</v>
      </c>
      <c r="D50" s="101" t="e">
        <f>SUM(#REF!)</f>
        <v>#REF!</v>
      </c>
      <c r="E50" s="101" t="e">
        <f>SUM(#REF!)</f>
        <v>#REF!</v>
      </c>
      <c r="F50" s="102">
        <v>249368000</v>
      </c>
      <c r="G50" s="102" t="e">
        <f>#REF!</f>
        <v>#REF!</v>
      </c>
      <c r="H50" s="102" t="e">
        <f>#REF!</f>
        <v>#REF!</v>
      </c>
      <c r="I50" s="102" t="e">
        <f>#REF!</f>
        <v>#REF!</v>
      </c>
      <c r="J50" s="97">
        <f>651231992+460991291</f>
        <v>1112223283</v>
      </c>
      <c r="K50" s="102">
        <f>'30'!K38</f>
        <v>1863023298.0999999</v>
      </c>
      <c r="L50" s="89">
        <f>'30'!L38</f>
        <v>2095912418.0999999</v>
      </c>
      <c r="M50" s="89">
        <f>'30'!M38</f>
        <v>2271533218.0999999</v>
      </c>
      <c r="N50" s="89">
        <f t="shared" si="0"/>
        <v>175620800</v>
      </c>
    </row>
    <row r="51" spans="1:25" ht="17.45" customHeight="1">
      <c r="A51" s="96">
        <v>31</v>
      </c>
      <c r="B51" s="89" t="s">
        <v>1269</v>
      </c>
      <c r="C51" s="89" t="e">
        <f>#REF!</f>
        <v>#REF!</v>
      </c>
      <c r="D51" s="89" t="e">
        <f>#REF!</f>
        <v>#REF!</v>
      </c>
      <c r="E51" s="89" t="e">
        <f>#REF!</f>
        <v>#REF!</v>
      </c>
      <c r="F51" s="89">
        <v>395652000</v>
      </c>
      <c r="G51" s="89" t="e">
        <f>#REF!</f>
        <v>#REF!</v>
      </c>
      <c r="H51" s="89" t="e">
        <f>#REF!</f>
        <v>#REF!</v>
      </c>
      <c r="I51" s="89" t="e">
        <f>#REF!</f>
        <v>#REF!</v>
      </c>
      <c r="J51" s="97">
        <f>'[1]31'!L43</f>
        <v>1641919631</v>
      </c>
      <c r="K51" s="102">
        <f>'31'!M41</f>
        <v>2286586192</v>
      </c>
      <c r="L51" s="89">
        <f>'31'!N41</f>
        <v>2605665120</v>
      </c>
      <c r="M51" s="89">
        <f>'31'!O41</f>
        <v>2723481570</v>
      </c>
      <c r="N51" s="89">
        <f t="shared" si="0"/>
        <v>117816450</v>
      </c>
    </row>
    <row r="52" spans="1:25" ht="17.45" customHeight="1">
      <c r="A52" s="96">
        <v>32</v>
      </c>
      <c r="B52" s="89" t="s">
        <v>84</v>
      </c>
      <c r="C52" s="89">
        <v>0</v>
      </c>
      <c r="D52" s="89" t="e">
        <f>'32'!E39</f>
        <v>#REF!</v>
      </c>
      <c r="E52" s="89" t="e">
        <f>'32'!F39</f>
        <v>#REF!</v>
      </c>
      <c r="F52" s="89">
        <v>4752469000</v>
      </c>
      <c r="G52" s="89" t="e">
        <f>'32'!I39</f>
        <v>#REF!</v>
      </c>
      <c r="H52" s="89" t="e">
        <f>'32'!J39</f>
        <v>#REF!</v>
      </c>
      <c r="I52" s="89" t="e">
        <f>'32'!K39</f>
        <v>#REF!</v>
      </c>
      <c r="J52" s="97">
        <v>16224441793</v>
      </c>
      <c r="K52" s="89">
        <f>'32'!N43</f>
        <v>1542833005.0999999</v>
      </c>
      <c r="L52" s="89">
        <f>'32'!O43</f>
        <v>15050303208.139999</v>
      </c>
      <c r="M52" s="89">
        <f>'32'!P43</f>
        <v>1606628158.1399999</v>
      </c>
      <c r="N52" s="89">
        <f t="shared" si="0"/>
        <v>-13443675050</v>
      </c>
    </row>
    <row r="53" spans="1:25" ht="17.45" customHeight="1">
      <c r="A53" s="103">
        <v>33</v>
      </c>
      <c r="B53" s="89" t="s">
        <v>87</v>
      </c>
      <c r="C53" s="89">
        <f>'33'!D73</f>
        <v>0</v>
      </c>
      <c r="D53" s="89">
        <f>'33'!E73</f>
        <v>0</v>
      </c>
      <c r="E53" s="89">
        <f>'33'!F73</f>
        <v>0</v>
      </c>
      <c r="F53" s="89">
        <v>116932000</v>
      </c>
      <c r="G53" s="97">
        <f>'33'!H73</f>
        <v>0</v>
      </c>
      <c r="H53" s="97">
        <f>'33'!I73</f>
        <v>0</v>
      </c>
      <c r="I53" s="97">
        <f>'33'!J73</f>
        <v>0</v>
      </c>
      <c r="J53" s="97">
        <v>426660816</v>
      </c>
      <c r="K53" s="97">
        <f>'33'!M39</f>
        <v>732938431.20000005</v>
      </c>
      <c r="L53" s="89">
        <f>'33'!N39</f>
        <v>557047391.20000005</v>
      </c>
      <c r="M53" s="89">
        <f>'33'!O39</f>
        <v>940271791.20000005</v>
      </c>
      <c r="N53" s="89">
        <f t="shared" si="0"/>
        <v>383224400</v>
      </c>
    </row>
    <row r="54" spans="1:25" ht="17.45" customHeight="1">
      <c r="A54" s="103">
        <v>34</v>
      </c>
      <c r="B54" s="89" t="s">
        <v>121</v>
      </c>
      <c r="C54" s="89"/>
      <c r="D54" s="89"/>
      <c r="E54" s="89">
        <v>0</v>
      </c>
      <c r="F54" s="89">
        <v>186780000</v>
      </c>
      <c r="G54" s="97" t="e">
        <f>'34'!#REF!</f>
        <v>#REF!</v>
      </c>
      <c r="H54" s="97" t="e">
        <f>'34'!#REF!</f>
        <v>#REF!</v>
      </c>
      <c r="I54" s="97" t="e">
        <f>'34'!#REF!</f>
        <v>#REF!</v>
      </c>
      <c r="J54" s="97">
        <v>501603272</v>
      </c>
      <c r="K54" s="97">
        <f>'34'!N35</f>
        <v>521894072</v>
      </c>
      <c r="L54" s="89">
        <f>'34'!O35</f>
        <v>503918072</v>
      </c>
      <c r="M54" s="89">
        <f>'34'!P35</f>
        <v>576715032</v>
      </c>
      <c r="N54" s="89">
        <f t="shared" si="0"/>
        <v>72796960</v>
      </c>
    </row>
    <row r="55" spans="1:25" ht="17.45" customHeight="1">
      <c r="A55" s="104">
        <v>35</v>
      </c>
      <c r="B55" s="105" t="s">
        <v>400</v>
      </c>
      <c r="C55" s="105"/>
      <c r="D55" s="105"/>
      <c r="E55" s="105"/>
      <c r="F55" s="105"/>
      <c r="G55" s="105"/>
      <c r="H55" s="105"/>
      <c r="I55" s="105"/>
      <c r="J55" s="105">
        <v>0</v>
      </c>
      <c r="K55" s="105">
        <f>'35'!D43</f>
        <v>404164800</v>
      </c>
      <c r="L55" s="89">
        <f>'35'!E43</f>
        <v>329136000</v>
      </c>
      <c r="M55" s="89">
        <f>'35'!F43</f>
        <v>362546400</v>
      </c>
      <c r="N55" s="89">
        <f t="shared" si="0"/>
        <v>33410400</v>
      </c>
    </row>
    <row r="56" spans="1:25" ht="17.45" customHeight="1">
      <c r="A56" s="106">
        <v>36</v>
      </c>
      <c r="B56" s="88" t="s">
        <v>639</v>
      </c>
      <c r="C56" s="88"/>
      <c r="D56" s="88"/>
      <c r="E56" s="88"/>
      <c r="F56" s="88"/>
      <c r="G56" s="88"/>
      <c r="H56" s="88"/>
      <c r="I56" s="88"/>
      <c r="J56" s="105">
        <v>0</v>
      </c>
      <c r="K56" s="107">
        <f>'36'!K38</f>
        <v>331925600</v>
      </c>
      <c r="L56" s="89">
        <f>'36'!L38</f>
        <v>288225600</v>
      </c>
      <c r="M56" s="89">
        <f>'36'!M38</f>
        <v>278656800</v>
      </c>
      <c r="N56" s="89">
        <f t="shared" si="0"/>
        <v>-9568800</v>
      </c>
    </row>
    <row r="57" spans="1:25" ht="17.45" customHeight="1">
      <c r="A57" s="108">
        <v>37</v>
      </c>
      <c r="B57" s="109" t="s">
        <v>415</v>
      </c>
      <c r="C57" s="109"/>
      <c r="D57" s="109"/>
      <c r="E57" s="109"/>
      <c r="F57" s="109"/>
      <c r="G57" s="109"/>
      <c r="H57" s="109"/>
      <c r="I57" s="109"/>
      <c r="J57" s="105">
        <v>0</v>
      </c>
      <c r="K57" s="110">
        <f>'37'!D44</f>
        <v>509876600</v>
      </c>
      <c r="L57" s="89">
        <f>'37'!E44</f>
        <v>294766600</v>
      </c>
      <c r="M57" s="89">
        <f>'37'!F44</f>
        <v>364280600</v>
      </c>
      <c r="N57" s="89">
        <f t="shared" si="0"/>
        <v>69514000</v>
      </c>
    </row>
    <row r="58" spans="1:25" ht="17.45" customHeight="1">
      <c r="A58" s="108">
        <v>38</v>
      </c>
      <c r="B58" s="109" t="s">
        <v>548</v>
      </c>
      <c r="C58" s="109"/>
      <c r="D58" s="109"/>
      <c r="E58" s="109"/>
      <c r="F58" s="109"/>
      <c r="G58" s="109"/>
      <c r="H58" s="109"/>
      <c r="I58" s="109"/>
      <c r="J58" s="105">
        <v>0</v>
      </c>
      <c r="K58" s="111">
        <f>'38'!D46</f>
        <v>1523912000</v>
      </c>
      <c r="L58" s="89">
        <f>'38'!E46</f>
        <v>1014668000</v>
      </c>
      <c r="M58" s="89">
        <f>'38'!F46</f>
        <v>1075903200</v>
      </c>
      <c r="N58" s="89">
        <f t="shared" si="0"/>
        <v>61235200</v>
      </c>
    </row>
    <row r="59" spans="1:25" ht="17.45" customHeight="1">
      <c r="A59" s="108">
        <v>39</v>
      </c>
      <c r="B59" s="109" t="s">
        <v>633</v>
      </c>
      <c r="C59" s="109"/>
      <c r="D59" s="109"/>
      <c r="E59" s="109"/>
      <c r="F59" s="109"/>
      <c r="G59" s="109"/>
      <c r="H59" s="109"/>
      <c r="I59" s="109"/>
      <c r="J59" s="105">
        <v>0</v>
      </c>
      <c r="K59" s="111">
        <f>'39'!K43</f>
        <v>1026428400</v>
      </c>
      <c r="L59" s="89">
        <f>'39'!L43</f>
        <v>1350086400</v>
      </c>
      <c r="M59" s="89">
        <f>'39'!M43</f>
        <v>1315334400</v>
      </c>
      <c r="N59" s="89">
        <f t="shared" si="0"/>
        <v>-34752000</v>
      </c>
    </row>
    <row r="60" spans="1:25" ht="17.45" customHeight="1">
      <c r="A60" s="108">
        <v>40</v>
      </c>
      <c r="B60" s="109" t="s">
        <v>657</v>
      </c>
      <c r="C60" s="109"/>
      <c r="D60" s="109"/>
      <c r="E60" s="109"/>
      <c r="F60" s="109"/>
      <c r="G60" s="109"/>
      <c r="H60" s="109"/>
      <c r="I60" s="109"/>
      <c r="J60" s="105"/>
      <c r="K60" s="112">
        <f>'40'!M51</f>
        <v>928625656</v>
      </c>
      <c r="L60" s="113">
        <f>'40'!N51</f>
        <v>1057424598.1</v>
      </c>
      <c r="M60" s="113">
        <f>'40'!O51</f>
        <v>1890403914</v>
      </c>
      <c r="N60" s="89">
        <f t="shared" si="0"/>
        <v>832979315.89999998</v>
      </c>
    </row>
    <row r="61" spans="1:25" ht="17.45" customHeight="1">
      <c r="A61" s="108">
        <v>41</v>
      </c>
      <c r="B61" s="109" t="s">
        <v>1099</v>
      </c>
      <c r="C61" s="109"/>
      <c r="D61" s="109"/>
      <c r="E61" s="109"/>
      <c r="F61" s="109"/>
      <c r="G61" s="109"/>
      <c r="H61" s="109"/>
      <c r="I61" s="109"/>
      <c r="J61" s="105"/>
      <c r="K61" s="112">
        <f>'41'!C49</f>
        <v>2168529407</v>
      </c>
      <c r="L61" s="113">
        <f>'41'!D49</f>
        <v>2902062212</v>
      </c>
      <c r="M61" s="113">
        <f>'41'!E49</f>
        <v>2810371380</v>
      </c>
      <c r="N61" s="89">
        <f t="shared" si="0"/>
        <v>-91690832</v>
      </c>
    </row>
    <row r="62" spans="1:25" ht="17.45" customHeight="1">
      <c r="A62" s="108">
        <v>42</v>
      </c>
      <c r="B62" s="109" t="s">
        <v>769</v>
      </c>
      <c r="C62" s="109"/>
      <c r="D62" s="109"/>
      <c r="E62" s="109"/>
      <c r="F62" s="109"/>
      <c r="G62" s="109"/>
      <c r="H62" s="109"/>
      <c r="I62" s="109"/>
      <c r="J62" s="105"/>
      <c r="K62" s="112">
        <f>'42'!C46</f>
        <v>0</v>
      </c>
      <c r="L62" s="113">
        <f>'42'!D46</f>
        <v>2850620000</v>
      </c>
      <c r="M62" s="113">
        <f>'42'!E46</f>
        <v>2310125000</v>
      </c>
      <c r="N62" s="89">
        <f t="shared" si="0"/>
        <v>-540495000</v>
      </c>
    </row>
    <row r="63" spans="1:25" ht="17.45" customHeight="1">
      <c r="A63" s="108">
        <v>43</v>
      </c>
      <c r="B63" s="109" t="s">
        <v>1148</v>
      </c>
      <c r="C63" s="109"/>
      <c r="D63" s="109"/>
      <c r="E63" s="109"/>
      <c r="F63" s="109"/>
      <c r="G63" s="109"/>
      <c r="H63" s="109"/>
      <c r="I63" s="109"/>
      <c r="J63" s="105"/>
      <c r="K63" s="112"/>
      <c r="L63" s="113">
        <v>0</v>
      </c>
      <c r="M63" s="113">
        <f>'43'!P41</f>
        <v>1419670400</v>
      </c>
      <c r="N63" s="89">
        <f t="shared" si="0"/>
        <v>1419670400</v>
      </c>
    </row>
    <row r="64" spans="1:25" ht="17.45" customHeight="1" thickBot="1">
      <c r="A64" s="114"/>
      <c r="B64" s="115" t="s">
        <v>401</v>
      </c>
      <c r="C64" s="115"/>
      <c r="D64" s="115"/>
      <c r="E64" s="115"/>
      <c r="F64" s="115"/>
      <c r="G64" s="115"/>
      <c r="H64" s="115"/>
      <c r="I64" s="115"/>
      <c r="J64" s="116">
        <f>SUM(J2:J59)</f>
        <v>310259111704</v>
      </c>
      <c r="K64" s="116" t="e">
        <f>SUM(K2:K61)</f>
        <v>#REF!</v>
      </c>
      <c r="L64" s="367">
        <f>SUM(L2:L63)</f>
        <v>639369240469.6499</v>
      </c>
      <c r="M64" s="365">
        <f>SUM(M2:M63)</f>
        <v>750000000000.17847</v>
      </c>
      <c r="N64" s="365">
        <v>110630759530</v>
      </c>
      <c r="Y64" s="175" t="s">
        <v>700</v>
      </c>
    </row>
    <row r="65" spans="14:14" ht="17.45" customHeight="1">
      <c r="N65" s="368" t="s">
        <v>699</v>
      </c>
    </row>
  </sheetData>
  <pageMargins left="0.7" right="0.7" top="0.75" bottom="0.75" header="0.3" footer="0.3"/>
  <pageSetup scale="60" orientation="portrait" r:id="rId1"/>
  <headerFooter>
    <oddHeader>&amp;C&amp;28Soo koobida Guud ee Miisaaniyadda 2013.</oddHeader>
    <oddFooter>&amp;R&amp;"Times New Roman,Bold"&amp;12 57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46"/>
  <sheetViews>
    <sheetView view="pageBreakPreview" zoomScale="60" workbookViewId="0">
      <selection sqref="A1:XFD1048576"/>
    </sheetView>
  </sheetViews>
  <sheetFormatPr defaultRowHeight="21" customHeight="1"/>
  <cols>
    <col min="1" max="1" width="18.1640625" style="386" bestFit="1" customWidth="1"/>
    <col min="2" max="2" width="87.5" style="386" customWidth="1"/>
    <col min="3" max="10" width="9.33203125" style="386" hidden="1" customWidth="1"/>
    <col min="11" max="11" width="27.6640625" style="386" hidden="1" customWidth="1"/>
    <col min="12" max="12" width="25" style="386" hidden="1" customWidth="1"/>
    <col min="13" max="14" width="33" style="462" bestFit="1" customWidth="1"/>
    <col min="15" max="15" width="27.6640625" style="462" bestFit="1" customWidth="1"/>
    <col min="16" max="16384" width="9.33203125" style="386"/>
  </cols>
  <sheetData>
    <row r="1" spans="1:15" ht="26.1" customHeight="1">
      <c r="A1" s="443" t="s">
        <v>45</v>
      </c>
      <c r="B1" s="443" t="s">
        <v>235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284"/>
      <c r="N1" s="284"/>
      <c r="O1" s="284"/>
    </row>
    <row r="2" spans="1:15" ht="26.1" customHeight="1">
      <c r="A2" s="371" t="s">
        <v>248</v>
      </c>
      <c r="B2" s="292" t="s">
        <v>165</v>
      </c>
      <c r="C2" s="378" t="s">
        <v>362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363</v>
      </c>
      <c r="I2" s="378" t="s">
        <v>128</v>
      </c>
      <c r="J2" s="378" t="s">
        <v>135</v>
      </c>
      <c r="K2" s="378" t="s">
        <v>180</v>
      </c>
      <c r="L2" s="378" t="s">
        <v>297</v>
      </c>
      <c r="M2" s="271" t="s">
        <v>641</v>
      </c>
      <c r="N2" s="271" t="s">
        <v>1103</v>
      </c>
      <c r="O2" s="271" t="s">
        <v>63</v>
      </c>
    </row>
    <row r="3" spans="1:15" ht="26.1" customHeight="1">
      <c r="A3" s="371" t="s">
        <v>249</v>
      </c>
      <c r="B3" s="292" t="s">
        <v>250</v>
      </c>
      <c r="C3" s="284"/>
      <c r="D3" s="284">
        <v>511176000</v>
      </c>
      <c r="E3" s="284">
        <v>511176000</v>
      </c>
      <c r="F3" s="284">
        <v>530736000</v>
      </c>
      <c r="G3" s="284">
        <f>543900000+6384000+3192000</f>
        <v>553476000</v>
      </c>
      <c r="H3" s="284">
        <f>553476000+149316000</f>
        <v>702792000</v>
      </c>
      <c r="I3" s="284">
        <v>926078400</v>
      </c>
      <c r="J3" s="284">
        <v>1046385600</v>
      </c>
      <c r="K3" s="284"/>
      <c r="L3" s="284"/>
      <c r="M3" s="284"/>
      <c r="N3" s="284"/>
      <c r="O3" s="284"/>
    </row>
    <row r="4" spans="1:15" ht="26.1" customHeight="1">
      <c r="A4" s="283" t="s">
        <v>247</v>
      </c>
      <c r="B4" s="284" t="s">
        <v>1155</v>
      </c>
      <c r="C4" s="284">
        <v>1270401400</v>
      </c>
      <c r="D4" s="284"/>
      <c r="E4" s="284"/>
      <c r="F4" s="284"/>
      <c r="G4" s="284">
        <v>113400000</v>
      </c>
      <c r="H4" s="284">
        <v>0</v>
      </c>
      <c r="I4" s="284">
        <v>0</v>
      </c>
      <c r="J4" s="284">
        <v>0</v>
      </c>
      <c r="K4" s="284">
        <v>1270401400</v>
      </c>
      <c r="L4" s="284">
        <f>'shaq,3'!H16</f>
        <v>2367362400</v>
      </c>
      <c r="M4" s="284">
        <v>2781386400</v>
      </c>
      <c r="N4" s="284">
        <v>3130452000</v>
      </c>
      <c r="O4" s="284">
        <f>N4-M4</f>
        <v>349065600</v>
      </c>
    </row>
    <row r="5" spans="1:15" ht="26.1" customHeight="1">
      <c r="A5" s="283" t="s">
        <v>251</v>
      </c>
      <c r="B5" s="284" t="s">
        <v>33</v>
      </c>
      <c r="C5" s="284"/>
      <c r="D5" s="284">
        <v>0</v>
      </c>
      <c r="E5" s="284">
        <v>0</v>
      </c>
      <c r="F5" s="284">
        <v>0</v>
      </c>
      <c r="G5" s="284">
        <v>0</v>
      </c>
      <c r="H5" s="284">
        <v>450500000</v>
      </c>
      <c r="I5" s="284">
        <v>0</v>
      </c>
      <c r="J5" s="284">
        <v>0</v>
      </c>
      <c r="K5" s="284">
        <v>0</v>
      </c>
      <c r="L5" s="284">
        <v>0</v>
      </c>
      <c r="M5" s="284">
        <v>0</v>
      </c>
      <c r="N5" s="284">
        <v>0</v>
      </c>
      <c r="O5" s="284">
        <f t="shared" ref="O5:O46" si="0">N5-M5</f>
        <v>0</v>
      </c>
    </row>
    <row r="6" spans="1:15" ht="26.1" customHeight="1">
      <c r="A6" s="283" t="s">
        <v>252</v>
      </c>
      <c r="B6" s="284" t="s">
        <v>1105</v>
      </c>
      <c r="C6" s="284">
        <v>2082348600</v>
      </c>
      <c r="D6" s="284">
        <v>365064000</v>
      </c>
      <c r="E6" s="284">
        <v>365064000</v>
      </c>
      <c r="F6" s="284">
        <v>1065504000</v>
      </c>
      <c r="G6" s="284">
        <f>F6</f>
        <v>1065504000</v>
      </c>
      <c r="H6" s="284">
        <f>G6+478464000</f>
        <v>1543968000</v>
      </c>
      <c r="I6" s="284">
        <v>1555668000</v>
      </c>
      <c r="J6" s="284">
        <v>1773036600</v>
      </c>
      <c r="K6" s="284">
        <v>2082348600</v>
      </c>
      <c r="L6" s="284">
        <v>2082348600</v>
      </c>
      <c r="M6" s="284">
        <v>3424068000</v>
      </c>
      <c r="N6" s="284">
        <v>3934452000</v>
      </c>
      <c r="O6" s="284">
        <f t="shared" si="0"/>
        <v>510384000</v>
      </c>
    </row>
    <row r="7" spans="1:15" ht="26.1" customHeight="1">
      <c r="A7" s="283" t="s">
        <v>253</v>
      </c>
      <c r="B7" s="284" t="s">
        <v>715</v>
      </c>
      <c r="C7" s="284"/>
      <c r="D7" s="284"/>
      <c r="E7" s="284"/>
      <c r="F7" s="284"/>
      <c r="G7" s="284"/>
      <c r="H7" s="284">
        <v>0</v>
      </c>
      <c r="I7" s="284">
        <v>288000000</v>
      </c>
      <c r="J7" s="284">
        <v>288000000</v>
      </c>
      <c r="K7" s="284">
        <v>0</v>
      </c>
      <c r="L7" s="284">
        <v>0</v>
      </c>
      <c r="M7" s="284">
        <v>288000000</v>
      </c>
      <c r="N7" s="284">
        <v>288000000</v>
      </c>
      <c r="O7" s="284">
        <f t="shared" si="0"/>
        <v>0</v>
      </c>
    </row>
    <row r="8" spans="1:15" ht="26.1" customHeight="1">
      <c r="A8" s="283" t="s">
        <v>254</v>
      </c>
      <c r="B8" s="284" t="s">
        <v>668</v>
      </c>
      <c r="C8" s="284">
        <v>366300000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84">
        <v>366300000</v>
      </c>
      <c r="L8" s="284">
        <v>366300000</v>
      </c>
      <c r="M8" s="284">
        <v>435600000</v>
      </c>
      <c r="N8" s="284">
        <v>550800000</v>
      </c>
      <c r="O8" s="284">
        <f t="shared" si="0"/>
        <v>115200000</v>
      </c>
    </row>
    <row r="9" spans="1:15" ht="26.1" customHeight="1">
      <c r="A9" s="371" t="s">
        <v>255</v>
      </c>
      <c r="B9" s="292" t="s">
        <v>256</v>
      </c>
      <c r="C9" s="284"/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4">
        <v>0</v>
      </c>
      <c r="O9" s="284">
        <f t="shared" si="0"/>
        <v>0</v>
      </c>
    </row>
    <row r="10" spans="1:15" ht="26.1" customHeight="1">
      <c r="A10" s="283" t="s">
        <v>257</v>
      </c>
      <c r="B10" s="284" t="s">
        <v>260</v>
      </c>
      <c r="C10" s="284"/>
      <c r="D10" s="284">
        <f t="shared" ref="D10:J10" si="1">SUM(D3:D9)</f>
        <v>876240000</v>
      </c>
      <c r="E10" s="284">
        <f t="shared" si="1"/>
        <v>876240000</v>
      </c>
      <c r="F10" s="284">
        <f t="shared" si="1"/>
        <v>1596240000</v>
      </c>
      <c r="G10" s="284">
        <f t="shared" si="1"/>
        <v>1732380000</v>
      </c>
      <c r="H10" s="292">
        <f t="shared" si="1"/>
        <v>2697260000</v>
      </c>
      <c r="I10" s="292">
        <f t="shared" si="1"/>
        <v>2769746400</v>
      </c>
      <c r="J10" s="292">
        <f t="shared" si="1"/>
        <v>3107422200</v>
      </c>
      <c r="K10" s="284">
        <v>0</v>
      </c>
      <c r="L10" s="284">
        <v>0</v>
      </c>
      <c r="M10" s="284">
        <v>0</v>
      </c>
      <c r="N10" s="284">
        <v>0</v>
      </c>
      <c r="O10" s="284">
        <f t="shared" si="0"/>
        <v>0</v>
      </c>
    </row>
    <row r="11" spans="1:15" ht="26.1" customHeight="1">
      <c r="A11" s="283" t="s">
        <v>259</v>
      </c>
      <c r="B11" s="284" t="s">
        <v>242</v>
      </c>
      <c r="C11" s="284"/>
      <c r="D11" s="284"/>
      <c r="E11" s="284"/>
      <c r="F11" s="335"/>
      <c r="G11" s="284"/>
      <c r="H11" s="284"/>
      <c r="I11" s="284"/>
      <c r="J11" s="284"/>
      <c r="K11" s="284">
        <v>0</v>
      </c>
      <c r="L11" s="284">
        <v>0</v>
      </c>
      <c r="M11" s="284">
        <v>0</v>
      </c>
      <c r="N11" s="284">
        <v>0</v>
      </c>
      <c r="O11" s="284">
        <f t="shared" si="0"/>
        <v>0</v>
      </c>
    </row>
    <row r="12" spans="1:15" ht="26.1" customHeight="1">
      <c r="A12" s="283" t="s">
        <v>258</v>
      </c>
      <c r="B12" s="284" t="s">
        <v>261</v>
      </c>
      <c r="C12" s="284"/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f t="shared" si="0"/>
        <v>0</v>
      </c>
    </row>
    <row r="13" spans="1:15" ht="26.1" customHeight="1">
      <c r="A13" s="283"/>
      <c r="B13" s="292" t="s">
        <v>119</v>
      </c>
      <c r="C13" s="292">
        <f>SUM(C4:C12)</f>
        <v>3719050000</v>
      </c>
      <c r="D13" s="284">
        <v>35000000</v>
      </c>
      <c r="E13" s="284">
        <v>35000000</v>
      </c>
      <c r="F13" s="284">
        <v>35000000</v>
      </c>
      <c r="G13" s="284">
        <v>66528000</v>
      </c>
      <c r="H13" s="284">
        <v>110000000</v>
      </c>
      <c r="I13" s="284">
        <v>110000000</v>
      </c>
      <c r="J13" s="284">
        <v>130000000</v>
      </c>
      <c r="K13" s="292">
        <f>SUM(K4:K12)</f>
        <v>3719050000</v>
      </c>
      <c r="L13" s="292">
        <f>SUM(L4:L12)</f>
        <v>4816011000</v>
      </c>
      <c r="M13" s="292">
        <f>SUM(M4:M12)</f>
        <v>6929054400</v>
      </c>
      <c r="N13" s="292">
        <f>SUM(N4:N12)</f>
        <v>7903704000</v>
      </c>
      <c r="O13" s="284">
        <f t="shared" si="0"/>
        <v>974649600</v>
      </c>
    </row>
    <row r="14" spans="1:15" ht="26.1" customHeight="1">
      <c r="A14" s="371" t="s">
        <v>262</v>
      </c>
      <c r="B14" s="292" t="s">
        <v>263</v>
      </c>
      <c r="C14" s="284"/>
      <c r="D14" s="284">
        <v>46068000</v>
      </c>
      <c r="E14" s="284">
        <v>46068000</v>
      </c>
      <c r="F14" s="284">
        <v>50000000</v>
      </c>
      <c r="G14" s="284">
        <v>48000000</v>
      </c>
      <c r="H14" s="284">
        <v>70000000</v>
      </c>
      <c r="I14" s="284">
        <v>70000000</v>
      </c>
      <c r="J14" s="284">
        <v>90000000</v>
      </c>
      <c r="K14" s="284"/>
      <c r="L14" s="284"/>
      <c r="M14" s="284"/>
      <c r="N14" s="284"/>
      <c r="O14" s="284">
        <f t="shared" si="0"/>
        <v>0</v>
      </c>
    </row>
    <row r="15" spans="1:15" ht="26.1" customHeight="1">
      <c r="A15" s="371" t="s">
        <v>265</v>
      </c>
      <c r="B15" s="292" t="s">
        <v>264</v>
      </c>
      <c r="C15" s="284"/>
      <c r="D15" s="284">
        <v>4000000</v>
      </c>
      <c r="E15" s="284">
        <v>4000000</v>
      </c>
      <c r="F15" s="284">
        <v>10000000</v>
      </c>
      <c r="G15" s="284">
        <v>8000000</v>
      </c>
      <c r="H15" s="284">
        <v>10000000</v>
      </c>
      <c r="I15" s="284">
        <v>11172000</v>
      </c>
      <c r="J15" s="284">
        <v>11172000</v>
      </c>
      <c r="K15" s="284"/>
      <c r="L15" s="284"/>
      <c r="M15" s="284"/>
      <c r="N15" s="284"/>
      <c r="O15" s="284">
        <f t="shared" si="0"/>
        <v>0</v>
      </c>
    </row>
    <row r="16" spans="1:15" ht="26.1" customHeight="1">
      <c r="A16" s="283" t="s">
        <v>266</v>
      </c>
      <c r="B16" s="284" t="s">
        <v>38</v>
      </c>
      <c r="C16" s="284">
        <v>20000000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20000000</v>
      </c>
      <c r="L16" s="284">
        <f>20000000*70%</f>
        <v>14000000</v>
      </c>
      <c r="M16" s="284">
        <f>20000000*70%</f>
        <v>14000000</v>
      </c>
      <c r="N16" s="284">
        <f>20000000*70%</f>
        <v>14000000</v>
      </c>
      <c r="O16" s="284">
        <f t="shared" si="0"/>
        <v>0</v>
      </c>
    </row>
    <row r="17" spans="1:21" ht="26.1" customHeight="1">
      <c r="A17" s="283" t="s">
        <v>267</v>
      </c>
      <c r="B17" s="284" t="s">
        <v>152</v>
      </c>
      <c r="C17" s="284"/>
      <c r="D17" s="284">
        <f t="shared" ref="D17:J17" si="2">SUM(D12:D16)</f>
        <v>85068000</v>
      </c>
      <c r="E17" s="284">
        <f t="shared" si="2"/>
        <v>85068000</v>
      </c>
      <c r="F17" s="284">
        <f t="shared" si="2"/>
        <v>95000000</v>
      </c>
      <c r="G17" s="284">
        <f t="shared" si="2"/>
        <v>122528000</v>
      </c>
      <c r="H17" s="292">
        <f t="shared" si="2"/>
        <v>190000000</v>
      </c>
      <c r="I17" s="292">
        <f t="shared" si="2"/>
        <v>191172000</v>
      </c>
      <c r="J17" s="292">
        <f t="shared" si="2"/>
        <v>231172000</v>
      </c>
      <c r="K17" s="284">
        <v>0</v>
      </c>
      <c r="L17" s="284">
        <v>0</v>
      </c>
      <c r="M17" s="284">
        <v>0</v>
      </c>
      <c r="N17" s="284">
        <v>0</v>
      </c>
      <c r="O17" s="284">
        <f t="shared" si="0"/>
        <v>0</v>
      </c>
    </row>
    <row r="18" spans="1:21" ht="26.1" customHeight="1">
      <c r="A18" s="283" t="s">
        <v>268</v>
      </c>
      <c r="B18" s="284" t="s">
        <v>153</v>
      </c>
      <c r="C18" s="284"/>
      <c r="D18" s="284"/>
      <c r="E18" s="284"/>
      <c r="F18" s="284"/>
      <c r="G18" s="284"/>
      <c r="H18" s="284"/>
      <c r="I18" s="284"/>
      <c r="J18" s="284"/>
      <c r="K18" s="284">
        <v>0</v>
      </c>
      <c r="L18" s="284">
        <v>0</v>
      </c>
      <c r="M18" s="284">
        <v>0</v>
      </c>
      <c r="N18" s="284">
        <v>0</v>
      </c>
      <c r="O18" s="284">
        <f t="shared" si="0"/>
        <v>0</v>
      </c>
      <c r="U18" s="437"/>
    </row>
    <row r="19" spans="1:21" ht="26.1" customHeight="1">
      <c r="A19" s="283" t="s">
        <v>269</v>
      </c>
      <c r="B19" s="284" t="s">
        <v>186</v>
      </c>
      <c r="C19" s="284">
        <v>37240000</v>
      </c>
      <c r="D19" s="284">
        <v>40331000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37240000</v>
      </c>
      <c r="L19" s="284">
        <f>37240000*70%</f>
        <v>26068000</v>
      </c>
      <c r="M19" s="284">
        <f>37240000*70%</f>
        <v>26068000</v>
      </c>
      <c r="N19" s="284">
        <f>37240000*70%</f>
        <v>26068000</v>
      </c>
      <c r="O19" s="284">
        <f t="shared" si="0"/>
        <v>0</v>
      </c>
    </row>
    <row r="20" spans="1:21" ht="26.1" customHeight="1">
      <c r="A20" s="283" t="s">
        <v>488</v>
      </c>
      <c r="B20" s="284" t="s">
        <v>716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>
        <v>0</v>
      </c>
      <c r="M20" s="284">
        <v>28800000</v>
      </c>
      <c r="N20" s="284">
        <v>28800000</v>
      </c>
      <c r="O20" s="284">
        <f t="shared" si="0"/>
        <v>0</v>
      </c>
    </row>
    <row r="21" spans="1:21" ht="26.1" customHeight="1">
      <c r="A21" s="283" t="s">
        <v>803</v>
      </c>
      <c r="B21" s="284" t="s">
        <v>804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>
        <v>52200000</v>
      </c>
      <c r="N21" s="284">
        <v>52200000</v>
      </c>
      <c r="O21" s="284">
        <f t="shared" si="0"/>
        <v>0</v>
      </c>
    </row>
    <row r="22" spans="1:21" ht="26.1" customHeight="1">
      <c r="A22" s="283" t="s">
        <v>274</v>
      </c>
      <c r="B22" s="284" t="s">
        <v>164</v>
      </c>
      <c r="C22" s="284">
        <v>15000000</v>
      </c>
      <c r="D22" s="284">
        <v>6000000</v>
      </c>
      <c r="E22" s="284">
        <v>6000000</v>
      </c>
      <c r="F22" s="284">
        <v>6000000</v>
      </c>
      <c r="G22" s="284">
        <v>4800000</v>
      </c>
      <c r="H22" s="284">
        <v>6000000</v>
      </c>
      <c r="I22" s="284">
        <v>4468800</v>
      </c>
      <c r="J22" s="284">
        <v>6668800</v>
      </c>
      <c r="K22" s="284">
        <v>15000000</v>
      </c>
      <c r="L22" s="284">
        <f>15000000*70%</f>
        <v>10500000</v>
      </c>
      <c r="M22" s="284">
        <f>15000000*70%</f>
        <v>10500000</v>
      </c>
      <c r="N22" s="284">
        <f>15000000*70%</f>
        <v>10500000</v>
      </c>
      <c r="O22" s="284">
        <f t="shared" si="0"/>
        <v>0</v>
      </c>
    </row>
    <row r="23" spans="1:21" ht="26.1" customHeight="1">
      <c r="A23" s="283" t="s">
        <v>275</v>
      </c>
      <c r="B23" s="284" t="s">
        <v>40</v>
      </c>
      <c r="C23" s="284">
        <v>30000000</v>
      </c>
      <c r="D23" s="284">
        <v>7340350</v>
      </c>
      <c r="E23" s="284">
        <v>7340350</v>
      </c>
      <c r="F23" s="284">
        <v>7340350</v>
      </c>
      <c r="G23" s="284">
        <v>5872000</v>
      </c>
      <c r="H23" s="284">
        <v>6000000</v>
      </c>
      <c r="I23" s="284">
        <v>4486800</v>
      </c>
      <c r="J23" s="284">
        <v>4486800</v>
      </c>
      <c r="K23" s="284">
        <v>30000000</v>
      </c>
      <c r="L23" s="284">
        <f>30000000*70%</f>
        <v>21000000</v>
      </c>
      <c r="M23" s="284">
        <v>79673000</v>
      </c>
      <c r="N23" s="284">
        <v>79673000</v>
      </c>
      <c r="O23" s="284">
        <f t="shared" si="0"/>
        <v>0</v>
      </c>
    </row>
    <row r="24" spans="1:21" ht="26.1" customHeight="1">
      <c r="A24" s="283" t="s">
        <v>304</v>
      </c>
      <c r="B24" s="284" t="s">
        <v>364</v>
      </c>
      <c r="C24" s="284">
        <v>14896000</v>
      </c>
      <c r="D24" s="284"/>
      <c r="E24" s="284"/>
      <c r="F24" s="284">
        <v>0</v>
      </c>
      <c r="G24" s="284"/>
      <c r="H24" s="284"/>
      <c r="I24" s="284"/>
      <c r="J24" s="284"/>
      <c r="K24" s="284">
        <v>14896000</v>
      </c>
      <c r="L24" s="284">
        <f>14896000*70%</f>
        <v>10427200</v>
      </c>
      <c r="M24" s="284">
        <f>14896000*70%</f>
        <v>10427200</v>
      </c>
      <c r="N24" s="284">
        <f>14896000*70%</f>
        <v>10427200</v>
      </c>
      <c r="O24" s="284">
        <f t="shared" si="0"/>
        <v>0</v>
      </c>
    </row>
    <row r="25" spans="1:21" ht="26.1" customHeight="1">
      <c r="A25" s="283" t="s">
        <v>311</v>
      </c>
      <c r="B25" s="284" t="s">
        <v>365</v>
      </c>
      <c r="C25" s="284">
        <v>30688000</v>
      </c>
      <c r="D25" s="284">
        <v>3000000</v>
      </c>
      <c r="E25" s="284">
        <v>3000000</v>
      </c>
      <c r="F25" s="284">
        <v>3000000</v>
      </c>
      <c r="G25" s="284">
        <v>2400000</v>
      </c>
      <c r="H25" s="284">
        <v>3000000</v>
      </c>
      <c r="I25" s="284">
        <v>2234400</v>
      </c>
      <c r="J25" s="284">
        <v>2234400</v>
      </c>
      <c r="K25" s="284">
        <v>30688000</v>
      </c>
      <c r="L25" s="284">
        <f>30688000*70%</f>
        <v>21481600</v>
      </c>
      <c r="M25" s="284">
        <f>30688000*70%</f>
        <v>21481600</v>
      </c>
      <c r="N25" s="284">
        <f>30688000*70%</f>
        <v>21481600</v>
      </c>
      <c r="O25" s="284">
        <f t="shared" si="0"/>
        <v>0</v>
      </c>
    </row>
    <row r="26" spans="1:21" ht="26.1" customHeight="1">
      <c r="A26" s="283" t="s">
        <v>277</v>
      </c>
      <c r="B26" s="284" t="s">
        <v>218</v>
      </c>
      <c r="C26" s="284">
        <v>36000000</v>
      </c>
      <c r="D26" s="284">
        <v>162000000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36000000</v>
      </c>
      <c r="L26" s="284">
        <f>36000000*70%</f>
        <v>25200000</v>
      </c>
      <c r="M26" s="284">
        <v>0</v>
      </c>
      <c r="N26" s="284">
        <v>0</v>
      </c>
      <c r="O26" s="284">
        <f t="shared" si="0"/>
        <v>0</v>
      </c>
    </row>
    <row r="27" spans="1:21" ht="26.1" customHeight="1">
      <c r="A27" s="283" t="s">
        <v>733</v>
      </c>
      <c r="B27" s="284" t="s">
        <v>751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>
        <v>28726680</v>
      </c>
      <c r="N27" s="284"/>
      <c r="O27" s="284">
        <f t="shared" si="0"/>
        <v>-28726680</v>
      </c>
    </row>
    <row r="28" spans="1:21" ht="26.1" customHeight="1">
      <c r="A28" s="283"/>
      <c r="B28" s="292" t="s">
        <v>119</v>
      </c>
      <c r="C28" s="292">
        <f>SUM(C16:C26)</f>
        <v>183824000</v>
      </c>
      <c r="D28" s="284">
        <v>18000000</v>
      </c>
      <c r="E28" s="284">
        <v>18000000</v>
      </c>
      <c r="F28" s="284">
        <v>14000000</v>
      </c>
      <c r="G28" s="284">
        <v>9600000</v>
      </c>
      <c r="H28" s="284">
        <v>12000000</v>
      </c>
      <c r="I28" s="284">
        <v>8937600</v>
      </c>
      <c r="J28" s="284">
        <v>8937600</v>
      </c>
      <c r="K28" s="292">
        <f>SUM(K16:K26)</f>
        <v>183824000</v>
      </c>
      <c r="L28" s="292">
        <f>SUM(L16:L26)</f>
        <v>128676800</v>
      </c>
      <c r="M28" s="292">
        <f>SUM(M16:M27)</f>
        <v>271876480</v>
      </c>
      <c r="N28" s="292">
        <f>SUM(N16:N27)</f>
        <v>243149800</v>
      </c>
      <c r="O28" s="284">
        <f t="shared" si="0"/>
        <v>-28726680</v>
      </c>
    </row>
    <row r="29" spans="1:21" ht="26.1" customHeight="1">
      <c r="A29" s="371" t="s">
        <v>279</v>
      </c>
      <c r="B29" s="292" t="s">
        <v>278</v>
      </c>
      <c r="C29" s="284"/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/>
      <c r="L29" s="284"/>
      <c r="M29" s="284"/>
      <c r="N29" s="284"/>
      <c r="O29" s="284">
        <f t="shared" si="0"/>
        <v>0</v>
      </c>
    </row>
    <row r="30" spans="1:21" ht="26.1" customHeight="1">
      <c r="A30" s="283" t="s">
        <v>280</v>
      </c>
      <c r="B30" s="284" t="s">
        <v>160</v>
      </c>
      <c r="C30" s="284"/>
      <c r="D30" s="284">
        <v>10000000</v>
      </c>
      <c r="E30" s="284">
        <v>10000000</v>
      </c>
      <c r="F30" s="284">
        <v>10000000</v>
      </c>
      <c r="G30" s="284">
        <v>12000000</v>
      </c>
      <c r="H30" s="284">
        <v>15000000</v>
      </c>
      <c r="I30" s="284">
        <v>22344000</v>
      </c>
      <c r="J30" s="284">
        <v>22344000</v>
      </c>
      <c r="K30" s="284"/>
      <c r="L30" s="284"/>
      <c r="M30" s="284"/>
      <c r="N30" s="284"/>
      <c r="O30" s="284">
        <f t="shared" si="0"/>
        <v>0</v>
      </c>
    </row>
    <row r="31" spans="1:21" ht="26.1" customHeight="1">
      <c r="A31" s="283" t="s">
        <v>281</v>
      </c>
      <c r="B31" s="284" t="s">
        <v>161</v>
      </c>
      <c r="C31" s="284">
        <v>200000000</v>
      </c>
      <c r="D31" s="284">
        <v>0</v>
      </c>
      <c r="E31" s="284">
        <v>0</v>
      </c>
      <c r="F31" s="284">
        <v>0</v>
      </c>
      <c r="G31" s="284">
        <v>0</v>
      </c>
      <c r="H31" s="284">
        <v>0</v>
      </c>
      <c r="I31" s="284">
        <v>0</v>
      </c>
      <c r="J31" s="284">
        <v>30000000</v>
      </c>
      <c r="K31" s="284">
        <v>200000000</v>
      </c>
      <c r="L31" s="284">
        <f>200000000*70%</f>
        <v>140000000</v>
      </c>
      <c r="M31" s="284">
        <f>L31</f>
        <v>140000000</v>
      </c>
      <c r="N31" s="284">
        <v>190000000</v>
      </c>
      <c r="O31" s="284">
        <f t="shared" si="0"/>
        <v>50000000</v>
      </c>
    </row>
    <row r="32" spans="1:21" ht="26.1" customHeight="1" thickBot="1">
      <c r="A32" s="283" t="s">
        <v>282</v>
      </c>
      <c r="B32" s="284" t="s">
        <v>155</v>
      </c>
      <c r="C32" s="284">
        <v>90000000</v>
      </c>
      <c r="D32" s="404">
        <v>0</v>
      </c>
      <c r="E32" s="404">
        <v>0</v>
      </c>
      <c r="F32" s="404">
        <v>0</v>
      </c>
      <c r="G32" s="404">
        <v>0</v>
      </c>
      <c r="H32" s="389">
        <v>0</v>
      </c>
      <c r="I32" s="389">
        <v>0</v>
      </c>
      <c r="J32" s="389">
        <v>0</v>
      </c>
      <c r="K32" s="284">
        <v>90000000</v>
      </c>
      <c r="L32" s="284">
        <f>90000000*70%</f>
        <v>62999999.999999993</v>
      </c>
      <c r="M32" s="284">
        <f>90000000*70%</f>
        <v>62999999.999999993</v>
      </c>
      <c r="N32" s="284">
        <v>126000000</v>
      </c>
      <c r="O32" s="284">
        <f t="shared" si="0"/>
        <v>63000000.000000007</v>
      </c>
    </row>
    <row r="33" spans="1:15" ht="26.1" customHeight="1">
      <c r="A33" s="283" t="s">
        <v>283</v>
      </c>
      <c r="B33" s="284" t="s">
        <v>156</v>
      </c>
      <c r="C33" s="389">
        <v>15000000</v>
      </c>
      <c r="D33" s="379"/>
      <c r="E33" s="379"/>
      <c r="F33" s="379"/>
      <c r="G33" s="379"/>
      <c r="H33" s="335"/>
      <c r="I33" s="335"/>
      <c r="J33" s="335"/>
      <c r="K33" s="389">
        <v>15000000</v>
      </c>
      <c r="L33" s="389">
        <f>15000000*70%</f>
        <v>10500000</v>
      </c>
      <c r="M33" s="389">
        <f>15000000*70%</f>
        <v>10500000</v>
      </c>
      <c r="N33" s="389">
        <f>15000000*70%</f>
        <v>10500000</v>
      </c>
      <c r="O33" s="284">
        <f t="shared" si="0"/>
        <v>0</v>
      </c>
    </row>
    <row r="34" spans="1:15" ht="26.1" customHeight="1">
      <c r="A34" s="283"/>
      <c r="B34" s="292" t="s">
        <v>119</v>
      </c>
      <c r="C34" s="361">
        <f>SUM(C31:C33)</f>
        <v>305000000</v>
      </c>
      <c r="D34" s="379"/>
      <c r="E34" s="379"/>
      <c r="F34" s="379"/>
      <c r="G34" s="379"/>
      <c r="H34" s="335"/>
      <c r="I34" s="335"/>
      <c r="J34" s="335"/>
      <c r="K34" s="361">
        <f>SUM(K31:K33)</f>
        <v>305000000</v>
      </c>
      <c r="L34" s="361">
        <f>SUM(L31:L33)</f>
        <v>213500000</v>
      </c>
      <c r="M34" s="292">
        <f>SUM(M31:M33)</f>
        <v>213500000</v>
      </c>
      <c r="N34" s="292">
        <f>SUM(N31:N33)</f>
        <v>326500000</v>
      </c>
      <c r="O34" s="284">
        <f t="shared" si="0"/>
        <v>113000000</v>
      </c>
    </row>
    <row r="35" spans="1:15" ht="26.1" customHeight="1">
      <c r="A35" s="371" t="s">
        <v>285</v>
      </c>
      <c r="B35" s="292" t="s">
        <v>158</v>
      </c>
      <c r="C35" s="335"/>
      <c r="D35" s="379"/>
      <c r="E35" s="379"/>
      <c r="F35" s="379"/>
      <c r="G35" s="379"/>
      <c r="H35" s="335"/>
      <c r="I35" s="335"/>
      <c r="J35" s="335"/>
      <c r="K35" s="335"/>
      <c r="L35" s="335"/>
      <c r="M35" s="284"/>
      <c r="N35" s="284"/>
      <c r="O35" s="284">
        <f t="shared" si="0"/>
        <v>0</v>
      </c>
    </row>
    <row r="36" spans="1:15" ht="26.1" customHeight="1">
      <c r="A36" s="283" t="s">
        <v>286</v>
      </c>
      <c r="B36" s="284" t="s">
        <v>55</v>
      </c>
      <c r="C36" s="360">
        <v>20000000</v>
      </c>
      <c r="D36" s="379"/>
      <c r="E36" s="379"/>
      <c r="F36" s="379"/>
      <c r="G36" s="379"/>
      <c r="H36" s="335"/>
      <c r="I36" s="335"/>
      <c r="J36" s="335"/>
      <c r="K36" s="360">
        <v>20000000</v>
      </c>
      <c r="L36" s="360">
        <f>20000000*70%</f>
        <v>14000000</v>
      </c>
      <c r="M36" s="284">
        <f>20000000*70%</f>
        <v>14000000</v>
      </c>
      <c r="N36" s="284">
        <f>20000000*70%</f>
        <v>14000000</v>
      </c>
      <c r="O36" s="284">
        <f t="shared" si="0"/>
        <v>0</v>
      </c>
    </row>
    <row r="37" spans="1:15" ht="26.1" customHeight="1">
      <c r="A37" s="283" t="s">
        <v>288</v>
      </c>
      <c r="B37" s="284" t="s">
        <v>287</v>
      </c>
      <c r="C37" s="360">
        <v>5000000</v>
      </c>
      <c r="D37" s="379"/>
      <c r="E37" s="379"/>
      <c r="F37" s="379"/>
      <c r="G37" s="379"/>
      <c r="H37" s="335"/>
      <c r="I37" s="335"/>
      <c r="J37" s="335"/>
      <c r="K37" s="360">
        <v>5000000</v>
      </c>
      <c r="L37" s="360">
        <f>5000000*70%</f>
        <v>3500000</v>
      </c>
      <c r="M37" s="284">
        <f>5000000*70%</f>
        <v>3500000</v>
      </c>
      <c r="N37" s="284">
        <f>5000000*70%</f>
        <v>3500000</v>
      </c>
      <c r="O37" s="284">
        <f t="shared" si="0"/>
        <v>0</v>
      </c>
    </row>
    <row r="38" spans="1:15" ht="26.1" customHeight="1">
      <c r="A38" s="283" t="s">
        <v>289</v>
      </c>
      <c r="B38" s="284" t="s">
        <v>290</v>
      </c>
      <c r="C38" s="335"/>
      <c r="D38" s="379"/>
      <c r="E38" s="379"/>
      <c r="F38" s="379"/>
      <c r="G38" s="379"/>
      <c r="H38" s="335"/>
      <c r="I38" s="335"/>
      <c r="J38" s="335"/>
      <c r="K38" s="335">
        <v>0</v>
      </c>
      <c r="L38" s="335">
        <v>0</v>
      </c>
      <c r="M38" s="284">
        <v>0</v>
      </c>
      <c r="N38" s="284">
        <v>0</v>
      </c>
      <c r="O38" s="284">
        <f t="shared" si="0"/>
        <v>0</v>
      </c>
    </row>
    <row r="39" spans="1:15" ht="26.1" customHeight="1">
      <c r="A39" s="283"/>
      <c r="B39" s="292" t="s">
        <v>119</v>
      </c>
      <c r="C39" s="383">
        <f>SUM(C36:C38)</f>
        <v>25000000</v>
      </c>
      <c r="D39" s="379"/>
      <c r="E39" s="379"/>
      <c r="F39" s="379"/>
      <c r="G39" s="379"/>
      <c r="H39" s="335"/>
      <c r="I39" s="335"/>
      <c r="J39" s="335"/>
      <c r="K39" s="383">
        <f>SUM(K36:K38)</f>
        <v>25000000</v>
      </c>
      <c r="L39" s="383">
        <f>SUM(L36:L38)</f>
        <v>17500000</v>
      </c>
      <c r="M39" s="292">
        <f>SUM(M36:M38)</f>
        <v>17500000</v>
      </c>
      <c r="N39" s="292">
        <f>SUM(N36:N38)</f>
        <v>17500000</v>
      </c>
      <c r="O39" s="284">
        <f t="shared" si="0"/>
        <v>0</v>
      </c>
    </row>
    <row r="40" spans="1:15" ht="26.1" customHeight="1">
      <c r="A40" s="371" t="s">
        <v>293</v>
      </c>
      <c r="B40" s="292" t="s">
        <v>292</v>
      </c>
      <c r="C40" s="335"/>
      <c r="D40" s="379"/>
      <c r="E40" s="379"/>
      <c r="F40" s="379"/>
      <c r="G40" s="379"/>
      <c r="H40" s="335"/>
      <c r="I40" s="335"/>
      <c r="J40" s="335"/>
      <c r="K40" s="335"/>
      <c r="L40" s="335"/>
      <c r="M40" s="284"/>
      <c r="N40" s="284"/>
      <c r="O40" s="284">
        <f t="shared" si="0"/>
        <v>0</v>
      </c>
    </row>
    <row r="41" spans="1:15" ht="26.1" customHeight="1">
      <c r="A41" s="371" t="s">
        <v>294</v>
      </c>
      <c r="B41" s="292" t="s">
        <v>291</v>
      </c>
      <c r="C41" s="335"/>
      <c r="D41" s="379"/>
      <c r="E41" s="379"/>
      <c r="F41" s="379"/>
      <c r="G41" s="379"/>
      <c r="H41" s="335"/>
      <c r="I41" s="335"/>
      <c r="J41" s="335"/>
      <c r="K41" s="335"/>
      <c r="L41" s="335"/>
      <c r="M41" s="284"/>
      <c r="N41" s="284"/>
      <c r="O41" s="284">
        <f t="shared" si="0"/>
        <v>0</v>
      </c>
    </row>
    <row r="42" spans="1:15" ht="26.1" customHeight="1">
      <c r="A42" s="283" t="s">
        <v>388</v>
      </c>
      <c r="B42" s="284" t="s">
        <v>622</v>
      </c>
      <c r="C42" s="335"/>
      <c r="D42" s="379"/>
      <c r="E42" s="379"/>
      <c r="F42" s="379"/>
      <c r="G42" s="379"/>
      <c r="H42" s="335"/>
      <c r="I42" s="335"/>
      <c r="J42" s="335"/>
      <c r="K42" s="335">
        <v>0</v>
      </c>
      <c r="L42" s="360">
        <f>96000000*70%</f>
        <v>67200000</v>
      </c>
      <c r="M42" s="284">
        <v>0</v>
      </c>
      <c r="N42" s="284">
        <v>0</v>
      </c>
      <c r="O42" s="284">
        <f t="shared" si="0"/>
        <v>0</v>
      </c>
    </row>
    <row r="43" spans="1:15" ht="26.1" customHeight="1">
      <c r="A43" s="283" t="s">
        <v>295</v>
      </c>
      <c r="B43" s="284" t="s">
        <v>176</v>
      </c>
      <c r="C43" s="360">
        <v>6000000</v>
      </c>
      <c r="D43" s="379"/>
      <c r="E43" s="379"/>
      <c r="F43" s="379"/>
      <c r="G43" s="379"/>
      <c r="H43" s="335"/>
      <c r="I43" s="335"/>
      <c r="J43" s="335"/>
      <c r="K43" s="360">
        <v>6000000</v>
      </c>
      <c r="L43" s="360">
        <f>6000000*70%</f>
        <v>4200000</v>
      </c>
      <c r="M43" s="284">
        <v>0</v>
      </c>
      <c r="N43" s="284">
        <v>0</v>
      </c>
      <c r="O43" s="284">
        <f t="shared" si="0"/>
        <v>0</v>
      </c>
    </row>
    <row r="44" spans="1:15" ht="26.1" customHeight="1">
      <c r="A44" s="283" t="s">
        <v>296</v>
      </c>
      <c r="B44" s="284" t="s">
        <v>177</v>
      </c>
      <c r="C44" s="360">
        <v>4486800</v>
      </c>
      <c r="D44" s="379"/>
      <c r="E44" s="379"/>
      <c r="F44" s="379"/>
      <c r="G44" s="379"/>
      <c r="H44" s="335"/>
      <c r="I44" s="335"/>
      <c r="J44" s="335"/>
      <c r="K44" s="360">
        <v>4486800</v>
      </c>
      <c r="L44" s="360">
        <f>4486800*70%</f>
        <v>3140760</v>
      </c>
      <c r="M44" s="284">
        <v>0</v>
      </c>
      <c r="N44" s="284">
        <v>0</v>
      </c>
      <c r="O44" s="284">
        <f t="shared" si="0"/>
        <v>0</v>
      </c>
    </row>
    <row r="45" spans="1:15" ht="26.1" customHeight="1">
      <c r="A45" s="283"/>
      <c r="B45" s="292" t="s">
        <v>119</v>
      </c>
      <c r="C45" s="383">
        <f>SUM(C43:C44)</f>
        <v>10486800</v>
      </c>
      <c r="D45" s="379"/>
      <c r="E45" s="379"/>
      <c r="F45" s="379"/>
      <c r="G45" s="379"/>
      <c r="H45" s="335"/>
      <c r="I45" s="335"/>
      <c r="J45" s="335"/>
      <c r="K45" s="383">
        <f>SUM(K43:K44)</f>
        <v>10486800</v>
      </c>
      <c r="L45" s="383">
        <f>SUM(L42:L44)</f>
        <v>74540760</v>
      </c>
      <c r="M45" s="292">
        <f>SUM(M42:M44)</f>
        <v>0</v>
      </c>
      <c r="N45" s="292">
        <f>SUM(N42:N44)</f>
        <v>0</v>
      </c>
      <c r="O45" s="284">
        <f t="shared" si="0"/>
        <v>0</v>
      </c>
    </row>
    <row r="46" spans="1:15" ht="26.1" customHeight="1">
      <c r="A46" s="283"/>
      <c r="B46" s="292" t="s">
        <v>42</v>
      </c>
      <c r="C46" s="361">
        <f>C45+C39+C34+C28+C13</f>
        <v>4243360800</v>
      </c>
      <c r="D46" s="379"/>
      <c r="E46" s="379"/>
      <c r="F46" s="379"/>
      <c r="G46" s="379"/>
      <c r="H46" s="335"/>
      <c r="I46" s="335"/>
      <c r="J46" s="335"/>
      <c r="K46" s="361">
        <f>K45+K39+K34+K28+K13</f>
        <v>4243360800</v>
      </c>
      <c r="L46" s="361">
        <f>L45+L39+L34+L28+L13</f>
        <v>5250228560</v>
      </c>
      <c r="M46" s="292">
        <f>M45+M39+M34+M28+M13</f>
        <v>7431930880</v>
      </c>
      <c r="N46" s="292">
        <f>N45+N39+N34+N28+N13</f>
        <v>8490853800</v>
      </c>
      <c r="O46" s="292">
        <f t="shared" si="0"/>
        <v>1058922920</v>
      </c>
    </row>
  </sheetData>
  <pageMargins left="0.52" right="0.3" top="0.94" bottom="0.69" header="0.35" footer="0.3"/>
  <pageSetup scale="50" orientation="portrait" r:id="rId1"/>
  <headerFooter>
    <oddHeader>&amp;C&amp;"Times New Roman,Bold"&amp;24Maxkamadda Hoose.</oddHeader>
    <oddFooter>&amp;R
&amp;"Times New Roman,Bold"&amp;18 
&amp;14 15</oddFooter>
  </headerFooter>
  <ignoredErrors>
    <ignoredError sqref="K4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zoomScaleNormal="75" zoomScalePageLayoutView="70" workbookViewId="0">
      <selection sqref="A1:XFD1048576"/>
    </sheetView>
  </sheetViews>
  <sheetFormatPr defaultRowHeight="24" customHeight="1"/>
  <cols>
    <col min="1" max="1" width="18.1640625" style="386" bestFit="1" customWidth="1"/>
    <col min="2" max="2" width="79" style="386" customWidth="1"/>
    <col min="3" max="10" width="9.33203125" style="386" hidden="1" customWidth="1"/>
    <col min="11" max="11" width="18.33203125" style="386" hidden="1" customWidth="1"/>
    <col min="12" max="12" width="17.1640625" style="386" hidden="1" customWidth="1"/>
    <col min="13" max="13" width="24.5" style="386" hidden="1" customWidth="1"/>
    <col min="14" max="15" width="27.6640625" style="386" bestFit="1" customWidth="1"/>
    <col min="16" max="16" width="23.6640625" style="386" bestFit="1" customWidth="1"/>
    <col min="17" max="17" width="0.1640625" style="386" customWidth="1"/>
    <col min="18" max="16384" width="9.33203125" style="386"/>
  </cols>
  <sheetData>
    <row r="1" spans="1:16" ht="29.1" customHeight="1">
      <c r="A1" s="373" t="s">
        <v>73</v>
      </c>
      <c r="B1" s="443" t="s">
        <v>217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35"/>
      <c r="O1" s="335"/>
      <c r="P1" s="335"/>
    </row>
    <row r="2" spans="1:16" ht="29.1" customHeight="1">
      <c r="A2" s="373" t="s">
        <v>28</v>
      </c>
      <c r="B2" s="373" t="s">
        <v>29</v>
      </c>
      <c r="C2" s="373" t="s">
        <v>43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128</v>
      </c>
      <c r="J2" s="378" t="s">
        <v>135</v>
      </c>
      <c r="K2" s="378" t="s">
        <v>146</v>
      </c>
      <c r="L2" s="378" t="s">
        <v>180</v>
      </c>
      <c r="M2" s="378" t="s">
        <v>297</v>
      </c>
      <c r="N2" s="378" t="s">
        <v>641</v>
      </c>
      <c r="O2" s="378" t="s">
        <v>1103</v>
      </c>
      <c r="P2" s="271" t="s">
        <v>63</v>
      </c>
    </row>
    <row r="3" spans="1:16" ht="29.1" customHeight="1">
      <c r="A3" s="292" t="s">
        <v>248</v>
      </c>
      <c r="B3" s="292" t="s">
        <v>165</v>
      </c>
      <c r="C3" s="373" t="s">
        <v>43</v>
      </c>
      <c r="D3" s="378" t="s">
        <v>2</v>
      </c>
      <c r="E3" s="378" t="s">
        <v>48</v>
      </c>
      <c r="F3" s="378" t="s">
        <v>52</v>
      </c>
      <c r="G3" s="378" t="s">
        <v>62</v>
      </c>
      <c r="H3" s="378" t="s">
        <v>354</v>
      </c>
      <c r="I3" s="378"/>
      <c r="J3" s="378"/>
      <c r="K3" s="378"/>
      <c r="L3" s="378"/>
      <c r="M3" s="335"/>
      <c r="N3" s="335"/>
      <c r="O3" s="335"/>
      <c r="P3" s="335"/>
    </row>
    <row r="4" spans="1:16" ht="29.1" customHeight="1">
      <c r="A4" s="292" t="s">
        <v>249</v>
      </c>
      <c r="B4" s="292" t="s">
        <v>250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284"/>
      <c r="N4" s="284"/>
      <c r="O4" s="284"/>
      <c r="P4" s="335"/>
    </row>
    <row r="5" spans="1:16" ht="29.1" customHeight="1">
      <c r="A5" s="284" t="s">
        <v>247</v>
      </c>
      <c r="B5" s="284" t="s">
        <v>32</v>
      </c>
      <c r="C5" s="284">
        <v>52881000</v>
      </c>
      <c r="D5" s="284">
        <v>78528000</v>
      </c>
      <c r="E5" s="284">
        <v>97212000</v>
      </c>
      <c r="F5" s="284">
        <v>76320000</v>
      </c>
      <c r="G5" s="284">
        <f>85872000-3192000</f>
        <v>82680000</v>
      </c>
      <c r="H5" s="284"/>
      <c r="I5" s="284"/>
      <c r="J5" s="284"/>
      <c r="K5" s="284"/>
      <c r="L5" s="284">
        <v>0</v>
      </c>
      <c r="M5" s="284">
        <f>'shaq,3'!H17</f>
        <v>109948800</v>
      </c>
      <c r="N5" s="284">
        <v>109948800</v>
      </c>
      <c r="O5" s="284">
        <v>280550400</v>
      </c>
      <c r="P5" s="336">
        <f>O5-N5</f>
        <v>170601600</v>
      </c>
    </row>
    <row r="6" spans="1:16" ht="29.1" customHeight="1">
      <c r="A6" s="284" t="s">
        <v>251</v>
      </c>
      <c r="B6" s="284" t="s">
        <v>853</v>
      </c>
      <c r="C6" s="284">
        <v>980000</v>
      </c>
      <c r="D6" s="284">
        <v>0</v>
      </c>
      <c r="E6" s="284">
        <v>0</v>
      </c>
      <c r="F6" s="284">
        <v>0</v>
      </c>
      <c r="G6" s="284">
        <v>0</v>
      </c>
      <c r="H6" s="284">
        <v>121039200</v>
      </c>
      <c r="I6" s="284"/>
      <c r="J6" s="284"/>
      <c r="K6" s="284"/>
      <c r="L6" s="284">
        <v>121039200</v>
      </c>
      <c r="M6" s="284">
        <v>0</v>
      </c>
      <c r="N6" s="284">
        <v>819000000</v>
      </c>
      <c r="O6" s="284">
        <v>819000000</v>
      </c>
      <c r="P6" s="336">
        <f t="shared" ref="P6:P39" si="0">O6-N6</f>
        <v>0</v>
      </c>
    </row>
    <row r="7" spans="1:16" ht="29.1" customHeight="1">
      <c r="A7" s="284" t="s">
        <v>252</v>
      </c>
      <c r="B7" s="284" t="s">
        <v>1105</v>
      </c>
      <c r="C7" s="284">
        <v>10800000</v>
      </c>
      <c r="D7" s="284">
        <v>13944000</v>
      </c>
      <c r="E7" s="284">
        <v>17688000</v>
      </c>
      <c r="F7" s="284">
        <v>17688000</v>
      </c>
      <c r="G7" s="284">
        <v>21288000</v>
      </c>
      <c r="H7" s="284"/>
      <c r="I7" s="284"/>
      <c r="J7" s="284"/>
      <c r="K7" s="284"/>
      <c r="L7" s="284">
        <v>0</v>
      </c>
      <c r="M7" s="284">
        <v>10800000</v>
      </c>
      <c r="N7" s="284">
        <v>32400000</v>
      </c>
      <c r="O7" s="284">
        <v>32400000</v>
      </c>
      <c r="P7" s="336">
        <f t="shared" si="0"/>
        <v>0</v>
      </c>
    </row>
    <row r="8" spans="1:16" ht="29.1" customHeight="1">
      <c r="A8" s="284" t="s">
        <v>254</v>
      </c>
      <c r="B8" s="284" t="s">
        <v>190</v>
      </c>
      <c r="C8" s="284"/>
      <c r="D8" s="284"/>
      <c r="E8" s="284"/>
      <c r="F8" s="284"/>
      <c r="G8" s="284"/>
      <c r="H8" s="284"/>
      <c r="I8" s="284"/>
      <c r="J8" s="284"/>
      <c r="K8" s="284"/>
      <c r="L8" s="284">
        <v>0</v>
      </c>
      <c r="M8" s="284">
        <v>37440000</v>
      </c>
      <c r="N8" s="284"/>
      <c r="O8" s="284"/>
      <c r="P8" s="336">
        <f t="shared" si="0"/>
        <v>0</v>
      </c>
    </row>
    <row r="9" spans="1:16" ht="29.1" customHeight="1">
      <c r="A9" s="292" t="s">
        <v>255</v>
      </c>
      <c r="B9" s="292" t="s">
        <v>256</v>
      </c>
      <c r="C9" s="284"/>
      <c r="D9" s="284"/>
      <c r="E9" s="284"/>
      <c r="F9" s="284"/>
      <c r="G9" s="284"/>
      <c r="H9" s="284"/>
      <c r="I9" s="284"/>
      <c r="J9" s="284"/>
      <c r="K9" s="284"/>
      <c r="L9" s="284">
        <v>0</v>
      </c>
      <c r="M9" s="284">
        <v>0</v>
      </c>
      <c r="N9" s="284">
        <v>0</v>
      </c>
      <c r="O9" s="284">
        <v>0</v>
      </c>
      <c r="P9" s="336">
        <f t="shared" si="0"/>
        <v>0</v>
      </c>
    </row>
    <row r="10" spans="1:16" ht="29.1" customHeight="1">
      <c r="A10" s="284" t="s">
        <v>258</v>
      </c>
      <c r="B10" s="284" t="s">
        <v>261</v>
      </c>
      <c r="C10" s="284">
        <v>11700000</v>
      </c>
      <c r="D10" s="284">
        <v>15000000</v>
      </c>
      <c r="E10" s="284">
        <v>15000000</v>
      </c>
      <c r="F10" s="284">
        <v>15000000</v>
      </c>
      <c r="G10" s="284">
        <v>14400000</v>
      </c>
      <c r="H10" s="284"/>
      <c r="I10" s="284"/>
      <c r="J10" s="284"/>
      <c r="K10" s="284"/>
      <c r="L10" s="284">
        <v>0</v>
      </c>
      <c r="M10" s="284">
        <v>0</v>
      </c>
      <c r="N10" s="284">
        <v>0</v>
      </c>
      <c r="O10" s="284">
        <v>0</v>
      </c>
      <c r="P10" s="336">
        <f t="shared" si="0"/>
        <v>0</v>
      </c>
    </row>
    <row r="11" spans="1:16" ht="29.1" customHeight="1">
      <c r="A11" s="284"/>
      <c r="B11" s="292" t="s">
        <v>119</v>
      </c>
      <c r="C11" s="284">
        <v>5000000</v>
      </c>
      <c r="D11" s="284">
        <v>2000000</v>
      </c>
      <c r="E11" s="284">
        <v>2000000</v>
      </c>
      <c r="F11" s="284">
        <v>6000000</v>
      </c>
      <c r="G11" s="284">
        <v>4800000</v>
      </c>
      <c r="H11" s="292">
        <f>SUM(H6:H10)</f>
        <v>121039200</v>
      </c>
      <c r="I11" s="284"/>
      <c r="J11" s="284"/>
      <c r="K11" s="284"/>
      <c r="L11" s="292">
        <f>SUM(L6:L10)</f>
        <v>121039200</v>
      </c>
      <c r="M11" s="292">
        <f>SUM(M5:M10)</f>
        <v>158188800</v>
      </c>
      <c r="N11" s="292">
        <f>SUM(N5:N10)</f>
        <v>961348800</v>
      </c>
      <c r="O11" s="292">
        <f>SUM(O5:O10)</f>
        <v>1131950400</v>
      </c>
      <c r="P11" s="361">
        <f t="shared" si="0"/>
        <v>170601600</v>
      </c>
    </row>
    <row r="12" spans="1:16" ht="29.1" customHeight="1">
      <c r="A12" s="292" t="s">
        <v>262</v>
      </c>
      <c r="B12" s="292" t="s">
        <v>263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/>
      <c r="I12" s="292"/>
      <c r="J12" s="292"/>
      <c r="K12" s="292"/>
      <c r="L12" s="284"/>
      <c r="M12" s="284"/>
      <c r="N12" s="284"/>
      <c r="O12" s="284"/>
      <c r="P12" s="336">
        <f t="shared" si="0"/>
        <v>0</v>
      </c>
    </row>
    <row r="13" spans="1:16" ht="29.1" customHeight="1">
      <c r="A13" s="292" t="s">
        <v>265</v>
      </c>
      <c r="B13" s="292" t="s">
        <v>264</v>
      </c>
      <c r="C13" s="292">
        <f>SUM(C10:C12)</f>
        <v>16700000</v>
      </c>
      <c r="D13" s="292">
        <f>SUM(D10:D12)</f>
        <v>17000000</v>
      </c>
      <c r="E13" s="292">
        <f>SUM(E10:E12)</f>
        <v>17000000</v>
      </c>
      <c r="F13" s="292">
        <f>SUM(F10:F12)</f>
        <v>21000000</v>
      </c>
      <c r="G13" s="292">
        <f>SUM(G10:G12)</f>
        <v>19200000</v>
      </c>
      <c r="H13" s="292"/>
      <c r="I13" s="284"/>
      <c r="J13" s="284"/>
      <c r="K13" s="284"/>
      <c r="L13" s="292"/>
      <c r="M13" s="292"/>
      <c r="N13" s="292"/>
      <c r="O13" s="292"/>
      <c r="P13" s="336">
        <f t="shared" si="0"/>
        <v>0</v>
      </c>
    </row>
    <row r="14" spans="1:16" ht="29.1" customHeight="1">
      <c r="A14" s="284" t="s">
        <v>266</v>
      </c>
      <c r="B14" s="284" t="s">
        <v>38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>
        <v>0</v>
      </c>
      <c r="M14" s="284">
        <v>0</v>
      </c>
      <c r="N14" s="284">
        <v>20000000</v>
      </c>
      <c r="O14" s="284">
        <v>20000000</v>
      </c>
      <c r="P14" s="336">
        <f t="shared" si="0"/>
        <v>0</v>
      </c>
    </row>
    <row r="15" spans="1:16" ht="29.1" customHeight="1">
      <c r="A15" s="284" t="s">
        <v>267</v>
      </c>
      <c r="B15" s="284" t="s">
        <v>152</v>
      </c>
      <c r="C15" s="284">
        <v>24200000</v>
      </c>
      <c r="D15" s="284">
        <v>5065120</v>
      </c>
      <c r="E15" s="284">
        <v>0</v>
      </c>
      <c r="F15" s="284">
        <v>0</v>
      </c>
      <c r="G15" s="284">
        <v>0</v>
      </c>
      <c r="H15" s="284"/>
      <c r="I15" s="292"/>
      <c r="J15" s="292"/>
      <c r="K15" s="292"/>
      <c r="L15" s="284">
        <v>0</v>
      </c>
      <c r="M15" s="284">
        <v>0</v>
      </c>
      <c r="N15" s="284">
        <v>0</v>
      </c>
      <c r="O15" s="284">
        <v>0</v>
      </c>
      <c r="P15" s="336">
        <f t="shared" si="0"/>
        <v>0</v>
      </c>
    </row>
    <row r="16" spans="1:16" ht="29.1" customHeight="1">
      <c r="A16" s="284" t="s">
        <v>268</v>
      </c>
      <c r="B16" s="284" t="s">
        <v>153</v>
      </c>
      <c r="C16" s="284">
        <v>0</v>
      </c>
      <c r="D16" s="284">
        <v>0</v>
      </c>
      <c r="E16" s="284">
        <v>0</v>
      </c>
      <c r="F16" s="284">
        <v>0</v>
      </c>
      <c r="G16" s="284">
        <v>0</v>
      </c>
      <c r="H16" s="284"/>
      <c r="I16" s="284"/>
      <c r="J16" s="284"/>
      <c r="K16" s="284"/>
      <c r="L16" s="284">
        <v>0</v>
      </c>
      <c r="M16" s="284">
        <v>0</v>
      </c>
      <c r="N16" s="284">
        <v>0</v>
      </c>
      <c r="O16" s="284">
        <v>0</v>
      </c>
      <c r="P16" s="336">
        <f t="shared" si="0"/>
        <v>0</v>
      </c>
    </row>
    <row r="17" spans="1:16" ht="29.1" customHeight="1">
      <c r="A17" s="284" t="s">
        <v>269</v>
      </c>
      <c r="B17" s="284" t="s">
        <v>186</v>
      </c>
      <c r="C17" s="284"/>
      <c r="D17" s="284"/>
      <c r="E17" s="284"/>
      <c r="F17" s="284"/>
      <c r="G17" s="284"/>
      <c r="H17" s="284">
        <v>20000000</v>
      </c>
      <c r="I17" s="284"/>
      <c r="J17" s="284"/>
      <c r="K17" s="284"/>
      <c r="L17" s="284">
        <v>20000000</v>
      </c>
      <c r="M17" s="284">
        <f>20000000*70%</f>
        <v>14000000</v>
      </c>
      <c r="N17" s="284">
        <f>20000000*70%</f>
        <v>14000000</v>
      </c>
      <c r="O17" s="284">
        <v>20000000</v>
      </c>
      <c r="P17" s="336">
        <f t="shared" si="0"/>
        <v>6000000</v>
      </c>
    </row>
    <row r="18" spans="1:16" ht="29.1" customHeight="1">
      <c r="A18" s="284" t="s">
        <v>270</v>
      </c>
      <c r="B18" s="284" t="s">
        <v>701</v>
      </c>
      <c r="C18" s="284">
        <v>3000000</v>
      </c>
      <c r="D18" s="284">
        <v>2000000</v>
      </c>
      <c r="E18" s="284">
        <v>2000000</v>
      </c>
      <c r="F18" s="284">
        <v>2000000</v>
      </c>
      <c r="G18" s="284">
        <v>3200000</v>
      </c>
      <c r="H18" s="284"/>
      <c r="I18" s="284"/>
      <c r="J18" s="284"/>
      <c r="K18" s="284"/>
      <c r="L18" s="284">
        <v>0</v>
      </c>
      <c r="M18" s="284">
        <v>0</v>
      </c>
      <c r="N18" s="284">
        <v>64800000</v>
      </c>
      <c r="O18" s="284">
        <v>64800000</v>
      </c>
      <c r="P18" s="336">
        <f t="shared" si="0"/>
        <v>0</v>
      </c>
    </row>
    <row r="19" spans="1:16" ht="29.1" customHeight="1">
      <c r="A19" s="284" t="s">
        <v>438</v>
      </c>
      <c r="B19" s="284" t="s">
        <v>1244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>
        <v>0</v>
      </c>
      <c r="O19" s="284">
        <v>20000000</v>
      </c>
      <c r="P19" s="336">
        <f t="shared" si="0"/>
        <v>20000000</v>
      </c>
    </row>
    <row r="20" spans="1:16" ht="29.1" customHeight="1">
      <c r="A20" s="284" t="s">
        <v>803</v>
      </c>
      <c r="B20" s="284" t="s">
        <v>1116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>
        <v>3600000</v>
      </c>
      <c r="P20" s="336">
        <f t="shared" si="0"/>
        <v>3600000</v>
      </c>
    </row>
    <row r="21" spans="1:16" ht="29.1" customHeight="1">
      <c r="A21" s="284" t="s">
        <v>275</v>
      </c>
      <c r="B21" s="284" t="s">
        <v>183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>
        <v>5000000</v>
      </c>
      <c r="M21" s="284">
        <f>5000000*70%</f>
        <v>3500000</v>
      </c>
      <c r="N21" s="284">
        <v>7000000</v>
      </c>
      <c r="O21" s="284">
        <v>7000000</v>
      </c>
      <c r="P21" s="336">
        <f t="shared" si="0"/>
        <v>0</v>
      </c>
    </row>
    <row r="22" spans="1:16" ht="29.1" customHeight="1">
      <c r="A22" s="284"/>
      <c r="B22" s="292" t="s">
        <v>119</v>
      </c>
      <c r="C22" s="284">
        <v>10000000</v>
      </c>
      <c r="D22" s="284">
        <v>0</v>
      </c>
      <c r="E22" s="284">
        <v>0</v>
      </c>
      <c r="F22" s="284">
        <v>0</v>
      </c>
      <c r="G22" s="284">
        <v>0</v>
      </c>
      <c r="H22" s="292">
        <f>SUM(H17:H18)</f>
        <v>20000000</v>
      </c>
      <c r="I22" s="335"/>
      <c r="J22" s="335"/>
      <c r="K22" s="335"/>
      <c r="L22" s="292">
        <f>SUM(L14:L21)</f>
        <v>25000000</v>
      </c>
      <c r="M22" s="292">
        <f>SUM(M14:M21)</f>
        <v>17500000</v>
      </c>
      <c r="N22" s="292">
        <f>SUM(N14:N21)</f>
        <v>105800000</v>
      </c>
      <c r="O22" s="292">
        <f>SUM(O14:O21)</f>
        <v>135400000</v>
      </c>
      <c r="P22" s="361">
        <f t="shared" si="0"/>
        <v>29600000</v>
      </c>
    </row>
    <row r="23" spans="1:16" ht="29.1" customHeight="1">
      <c r="A23" s="292" t="s">
        <v>279</v>
      </c>
      <c r="B23" s="292" t="s">
        <v>278</v>
      </c>
      <c r="C23" s="284">
        <v>0</v>
      </c>
      <c r="D23" s="284">
        <v>0</v>
      </c>
      <c r="E23" s="284">
        <v>3418500</v>
      </c>
      <c r="F23" s="284">
        <v>27430292</v>
      </c>
      <c r="G23" s="284">
        <v>0</v>
      </c>
      <c r="H23" s="284"/>
      <c r="I23" s="335"/>
      <c r="J23" s="335"/>
      <c r="K23" s="335"/>
      <c r="L23" s="284"/>
      <c r="M23" s="284"/>
      <c r="N23" s="284"/>
      <c r="O23" s="284"/>
      <c r="P23" s="336">
        <f t="shared" si="0"/>
        <v>0</v>
      </c>
    </row>
    <row r="24" spans="1:16" ht="29.1" customHeight="1">
      <c r="A24" s="284" t="s">
        <v>280</v>
      </c>
      <c r="B24" s="284" t="s">
        <v>160</v>
      </c>
      <c r="C24" s="284"/>
      <c r="D24" s="284"/>
      <c r="E24" s="284"/>
      <c r="F24" s="284"/>
      <c r="G24" s="284"/>
      <c r="H24" s="284"/>
      <c r="I24" s="335"/>
      <c r="J24" s="335"/>
      <c r="K24" s="335"/>
      <c r="L24" s="284">
        <v>0</v>
      </c>
      <c r="M24" s="284">
        <v>0</v>
      </c>
      <c r="N24" s="284">
        <v>0</v>
      </c>
      <c r="O24" s="284">
        <v>0</v>
      </c>
      <c r="P24" s="336">
        <f t="shared" si="0"/>
        <v>0</v>
      </c>
    </row>
    <row r="25" spans="1:16" ht="29.1" customHeight="1">
      <c r="A25" s="284" t="s">
        <v>281</v>
      </c>
      <c r="B25" s="284" t="s">
        <v>161</v>
      </c>
      <c r="C25" s="292" t="e">
        <f>#REF!+#REF!+#REF!+C13+#REF!</f>
        <v>#REF!</v>
      </c>
      <c r="D25" s="292" t="e">
        <f>#REF!+#REF!+#REF!+D13+#REF!</f>
        <v>#REF!</v>
      </c>
      <c r="E25" s="292" t="e">
        <f>#REF!+#REF!+#REF!+E13+#REF!</f>
        <v>#REF!</v>
      </c>
      <c r="F25" s="292" t="e">
        <f>#REF!+#REF!+#REF!+F13+#REF!</f>
        <v>#REF!</v>
      </c>
      <c r="G25" s="292" t="e">
        <f>#REF!+#REF!+#REF!+G13+#REF!</f>
        <v>#REF!</v>
      </c>
      <c r="H25" s="284">
        <v>60000000</v>
      </c>
      <c r="I25" s="379"/>
      <c r="J25" s="379"/>
      <c r="K25" s="379"/>
      <c r="L25" s="284">
        <v>60000000</v>
      </c>
      <c r="M25" s="284">
        <f>60000000*70%</f>
        <v>42000000</v>
      </c>
      <c r="N25" s="284">
        <v>59600000</v>
      </c>
      <c r="O25" s="284">
        <v>79600000</v>
      </c>
      <c r="P25" s="336">
        <f t="shared" si="0"/>
        <v>20000000</v>
      </c>
    </row>
    <row r="26" spans="1:16" ht="29.1" customHeight="1">
      <c r="A26" s="284" t="s">
        <v>282</v>
      </c>
      <c r="B26" s="284" t="s">
        <v>155</v>
      </c>
      <c r="C26" s="335"/>
      <c r="D26" s="335"/>
      <c r="E26" s="335"/>
      <c r="F26" s="336" t="e">
        <f>SUM(F22:F25)</f>
        <v>#REF!</v>
      </c>
      <c r="G26" s="336"/>
      <c r="H26" s="336">
        <v>18000000</v>
      </c>
      <c r="I26" s="379"/>
      <c r="J26" s="379"/>
      <c r="K26" s="379"/>
      <c r="L26" s="336">
        <v>18000000</v>
      </c>
      <c r="M26" s="336">
        <f>18000000*70%</f>
        <v>12600000</v>
      </c>
      <c r="N26" s="336">
        <v>15000000</v>
      </c>
      <c r="O26" s="336">
        <v>15000000</v>
      </c>
      <c r="P26" s="336">
        <f t="shared" si="0"/>
        <v>0</v>
      </c>
    </row>
    <row r="27" spans="1:16" ht="29.1" customHeight="1">
      <c r="A27" s="284" t="s">
        <v>283</v>
      </c>
      <c r="B27" s="284" t="s">
        <v>156</v>
      </c>
      <c r="C27" s="335"/>
      <c r="D27" s="335"/>
      <c r="E27" s="335"/>
      <c r="F27" s="336" t="e">
        <f>F25-F26</f>
        <v>#REF!</v>
      </c>
      <c r="G27" s="336"/>
      <c r="H27" s="336">
        <v>5000000</v>
      </c>
      <c r="I27" s="379"/>
      <c r="J27" s="379"/>
      <c r="K27" s="379"/>
      <c r="L27" s="336">
        <v>5000000</v>
      </c>
      <c r="M27" s="336">
        <f>5000000*70%</f>
        <v>3500000</v>
      </c>
      <c r="N27" s="336">
        <f>5000000*70%</f>
        <v>3500000</v>
      </c>
      <c r="O27" s="336">
        <f>5000000*70%</f>
        <v>3500000</v>
      </c>
      <c r="P27" s="336">
        <f t="shared" si="0"/>
        <v>0</v>
      </c>
    </row>
    <row r="28" spans="1:16" ht="29.1" customHeight="1">
      <c r="A28" s="284" t="s">
        <v>603</v>
      </c>
      <c r="B28" s="284" t="s">
        <v>1116</v>
      </c>
      <c r="C28" s="390"/>
      <c r="D28" s="390"/>
      <c r="E28" s="390"/>
      <c r="F28" s="391"/>
      <c r="G28" s="391"/>
      <c r="H28" s="336"/>
      <c r="I28" s="379"/>
      <c r="J28" s="379"/>
      <c r="K28" s="379"/>
      <c r="L28" s="336"/>
      <c r="M28" s="336"/>
      <c r="N28" s="336"/>
      <c r="O28" s="336"/>
      <c r="P28" s="336">
        <f t="shared" si="0"/>
        <v>0</v>
      </c>
    </row>
    <row r="29" spans="1:16" ht="29.1" customHeight="1">
      <c r="A29" s="284"/>
      <c r="B29" s="292" t="s">
        <v>119</v>
      </c>
      <c r="C29" s="379"/>
      <c r="D29" s="379"/>
      <c r="E29" s="379"/>
      <c r="F29" s="379"/>
      <c r="G29" s="379"/>
      <c r="H29" s="361">
        <f>SUM(H25:H27)</f>
        <v>83000000</v>
      </c>
      <c r="I29" s="379"/>
      <c r="J29" s="379"/>
      <c r="K29" s="379"/>
      <c r="L29" s="361">
        <f>SUM(L25:L27)</f>
        <v>83000000</v>
      </c>
      <c r="M29" s="361">
        <f>SUM(M25:M27)</f>
        <v>58100000</v>
      </c>
      <c r="N29" s="361">
        <f>SUM(N25:N27)</f>
        <v>78100000</v>
      </c>
      <c r="O29" s="361">
        <f>SUM(O24:O27)</f>
        <v>98100000</v>
      </c>
      <c r="P29" s="361">
        <f t="shared" si="0"/>
        <v>20000000</v>
      </c>
    </row>
    <row r="30" spans="1:16" ht="29.1" customHeight="1">
      <c r="A30" s="292" t="s">
        <v>285</v>
      </c>
      <c r="B30" s="292" t="s">
        <v>158</v>
      </c>
      <c r="C30" s="379"/>
      <c r="D30" s="379"/>
      <c r="E30" s="379"/>
      <c r="F30" s="379"/>
      <c r="G30" s="379"/>
      <c r="H30" s="335"/>
      <c r="I30" s="379"/>
      <c r="J30" s="379"/>
      <c r="K30" s="379"/>
      <c r="L30" s="335"/>
      <c r="M30" s="335"/>
      <c r="N30" s="335"/>
      <c r="O30" s="335"/>
      <c r="P30" s="336">
        <f t="shared" si="0"/>
        <v>0</v>
      </c>
    </row>
    <row r="31" spans="1:16" ht="29.1" customHeight="1">
      <c r="A31" s="284" t="s">
        <v>286</v>
      </c>
      <c r="B31" s="284" t="s">
        <v>55</v>
      </c>
      <c r="C31" s="379"/>
      <c r="D31" s="379"/>
      <c r="E31" s="379"/>
      <c r="F31" s="379"/>
      <c r="G31" s="379"/>
      <c r="H31" s="360">
        <v>6200800</v>
      </c>
      <c r="I31" s="379"/>
      <c r="J31" s="379"/>
      <c r="K31" s="379"/>
      <c r="L31" s="360">
        <v>6200800</v>
      </c>
      <c r="M31" s="360">
        <f>6200800*70%</f>
        <v>4340560</v>
      </c>
      <c r="N31" s="360">
        <v>15000000</v>
      </c>
      <c r="O31" s="360">
        <v>25000000</v>
      </c>
      <c r="P31" s="336">
        <f t="shared" si="0"/>
        <v>10000000</v>
      </c>
    </row>
    <row r="32" spans="1:16" ht="29.1" customHeight="1">
      <c r="A32" s="284" t="s">
        <v>288</v>
      </c>
      <c r="B32" s="284" t="s">
        <v>287</v>
      </c>
      <c r="C32" s="379"/>
      <c r="D32" s="379"/>
      <c r="E32" s="379"/>
      <c r="F32" s="379"/>
      <c r="G32" s="379"/>
      <c r="H32" s="335"/>
      <c r="I32" s="379"/>
      <c r="J32" s="379"/>
      <c r="K32" s="379"/>
      <c r="L32" s="335">
        <v>0</v>
      </c>
      <c r="M32" s="335">
        <v>0</v>
      </c>
      <c r="N32" s="384">
        <v>0</v>
      </c>
      <c r="O32" s="384">
        <v>0</v>
      </c>
      <c r="P32" s="336">
        <f t="shared" si="0"/>
        <v>0</v>
      </c>
    </row>
    <row r="33" spans="1:16" ht="29.1" customHeight="1">
      <c r="A33" s="284" t="s">
        <v>289</v>
      </c>
      <c r="B33" s="284" t="s">
        <v>290</v>
      </c>
      <c r="C33" s="379"/>
      <c r="D33" s="379"/>
      <c r="E33" s="379"/>
      <c r="F33" s="379"/>
      <c r="G33" s="379"/>
      <c r="H33" s="335"/>
      <c r="I33" s="379"/>
      <c r="J33" s="379"/>
      <c r="K33" s="379"/>
      <c r="L33" s="335">
        <v>0</v>
      </c>
      <c r="M33" s="335">
        <v>0</v>
      </c>
      <c r="N33" s="384">
        <v>0</v>
      </c>
      <c r="O33" s="384">
        <v>0</v>
      </c>
      <c r="P33" s="336">
        <f t="shared" si="0"/>
        <v>0</v>
      </c>
    </row>
    <row r="34" spans="1:16" ht="29.1" customHeight="1">
      <c r="A34" s="284"/>
      <c r="B34" s="292" t="s">
        <v>119</v>
      </c>
      <c r="C34" s="379"/>
      <c r="D34" s="379"/>
      <c r="E34" s="379"/>
      <c r="F34" s="379"/>
      <c r="G34" s="379"/>
      <c r="H34" s="335"/>
      <c r="I34" s="379"/>
      <c r="J34" s="379"/>
      <c r="K34" s="379"/>
      <c r="L34" s="383">
        <f>SUM(L31:L33)</f>
        <v>6200800</v>
      </c>
      <c r="M34" s="383">
        <f>SUM(M31:M33)</f>
        <v>4340560</v>
      </c>
      <c r="N34" s="383">
        <f>SUM(N31:N33)</f>
        <v>15000000</v>
      </c>
      <c r="O34" s="383">
        <f>SUM(O31:O33)</f>
        <v>25000000</v>
      </c>
      <c r="P34" s="361">
        <f t="shared" si="0"/>
        <v>10000000</v>
      </c>
    </row>
    <row r="35" spans="1:16" ht="29.1" customHeight="1">
      <c r="A35" s="292" t="s">
        <v>495</v>
      </c>
      <c r="B35" s="292" t="s">
        <v>697</v>
      </c>
      <c r="C35" s="379"/>
      <c r="D35" s="379"/>
      <c r="E35" s="379"/>
      <c r="F35" s="379"/>
      <c r="G35" s="379"/>
      <c r="H35" s="335"/>
      <c r="I35" s="379"/>
      <c r="J35" s="379"/>
      <c r="K35" s="379"/>
      <c r="L35" s="383"/>
      <c r="M35" s="383"/>
      <c r="N35" s="383"/>
      <c r="O35" s="383"/>
      <c r="P35" s="336">
        <f t="shared" si="0"/>
        <v>0</v>
      </c>
    </row>
    <row r="36" spans="1:16" ht="29.1" customHeight="1">
      <c r="A36" s="292" t="s">
        <v>389</v>
      </c>
      <c r="B36" s="284" t="s">
        <v>698</v>
      </c>
      <c r="C36" s="379"/>
      <c r="D36" s="379"/>
      <c r="E36" s="379"/>
      <c r="F36" s="379"/>
      <c r="G36" s="379"/>
      <c r="H36" s="335"/>
      <c r="I36" s="379"/>
      <c r="J36" s="379"/>
      <c r="K36" s="379"/>
      <c r="L36" s="383"/>
      <c r="M36" s="383"/>
      <c r="N36" s="360">
        <v>18000000</v>
      </c>
      <c r="O36" s="384">
        <v>0</v>
      </c>
      <c r="P36" s="336">
        <f t="shared" si="0"/>
        <v>-18000000</v>
      </c>
    </row>
    <row r="37" spans="1:16" ht="29.1" customHeight="1">
      <c r="A37" s="292" t="s">
        <v>388</v>
      </c>
      <c r="B37" s="284" t="s">
        <v>850</v>
      </c>
      <c r="C37" s="379"/>
      <c r="D37" s="379"/>
      <c r="E37" s="379"/>
      <c r="F37" s="379"/>
      <c r="G37" s="379"/>
      <c r="H37" s="335"/>
      <c r="I37" s="379"/>
      <c r="J37" s="379"/>
      <c r="K37" s="379"/>
      <c r="L37" s="383"/>
      <c r="M37" s="383">
        <v>0</v>
      </c>
      <c r="N37" s="360">
        <v>39000000</v>
      </c>
      <c r="O37" s="284">
        <v>150000000</v>
      </c>
      <c r="P37" s="336">
        <f t="shared" si="0"/>
        <v>111000000</v>
      </c>
    </row>
    <row r="38" spans="1:16" ht="29.1" customHeight="1">
      <c r="A38" s="292"/>
      <c r="B38" s="284" t="s">
        <v>119</v>
      </c>
      <c r="C38" s="379"/>
      <c r="D38" s="379"/>
      <c r="E38" s="379"/>
      <c r="F38" s="379"/>
      <c r="G38" s="379"/>
      <c r="H38" s="335"/>
      <c r="I38" s="379"/>
      <c r="J38" s="379"/>
      <c r="K38" s="379"/>
      <c r="L38" s="383"/>
      <c r="M38" s="383"/>
      <c r="N38" s="383">
        <f>SUM(N36:N37)</f>
        <v>57000000</v>
      </c>
      <c r="O38" s="292">
        <f>SUM(O36:O37)</f>
        <v>150000000</v>
      </c>
      <c r="P38" s="336">
        <f t="shared" si="0"/>
        <v>93000000</v>
      </c>
    </row>
    <row r="39" spans="1:16" ht="29.1" customHeight="1">
      <c r="A39" s="284"/>
      <c r="B39" s="292" t="s">
        <v>42</v>
      </c>
      <c r="C39" s="379"/>
      <c r="D39" s="379"/>
      <c r="E39" s="379"/>
      <c r="F39" s="379"/>
      <c r="G39" s="379"/>
      <c r="H39" s="361" t="e">
        <f>#REF!+H29+H22+H11</f>
        <v>#REF!</v>
      </c>
      <c r="I39" s="379"/>
      <c r="J39" s="379"/>
      <c r="K39" s="379"/>
      <c r="L39" s="361">
        <f>L34+L29+L22+L11+L8</f>
        <v>235240000</v>
      </c>
      <c r="M39" s="361">
        <f>M34+M29+M22+M11</f>
        <v>238129360</v>
      </c>
      <c r="N39" s="361">
        <f>N38+N34+N29+N22+N11</f>
        <v>1217248800</v>
      </c>
      <c r="O39" s="361">
        <f>O38+O34+O29+O22+O11</f>
        <v>1540450400</v>
      </c>
      <c r="P39" s="361">
        <f t="shared" si="0"/>
        <v>323201600</v>
      </c>
    </row>
  </sheetData>
  <phoneticPr fontId="42" type="noConversion"/>
  <pageMargins left="0.45" right="0.26" top="0.98" bottom="0.81" header="0.31" footer="0.31"/>
  <pageSetup scale="58" orientation="portrait" r:id="rId1"/>
  <headerFooter alignWithMargins="0">
    <oddHeader>&amp;C&amp;"Times New Roman,Bold"&amp;26Guddiga Xaquuqal Insaanka Qaranka.</oddHeader>
    <oddFooter>&amp;R
&amp;"Times New Roman,Bold"&amp;14 16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>
      <selection sqref="A1:XFD1048576"/>
    </sheetView>
  </sheetViews>
  <sheetFormatPr defaultRowHeight="24.95" customHeight="1"/>
  <cols>
    <col min="1" max="1" width="18.1640625" style="386" bestFit="1" customWidth="1"/>
    <col min="2" max="2" width="74" style="386" bestFit="1" customWidth="1"/>
    <col min="3" max="7" width="9.33203125" style="386" hidden="1" customWidth="1"/>
    <col min="8" max="8" width="0.1640625" style="386" hidden="1" customWidth="1"/>
    <col min="9" max="9" width="9.33203125" style="386" hidden="1" customWidth="1"/>
    <col min="10" max="10" width="4.1640625" style="386" hidden="1" customWidth="1"/>
    <col min="11" max="11" width="19.1640625" style="386" hidden="1" customWidth="1"/>
    <col min="12" max="12" width="19.83203125" style="386" hidden="1" customWidth="1"/>
    <col min="13" max="13" width="22" style="386" hidden="1" customWidth="1"/>
    <col min="14" max="14" width="22.33203125" style="386" hidden="1" customWidth="1"/>
    <col min="15" max="16" width="24.33203125" style="386" bestFit="1" customWidth="1"/>
    <col min="17" max="17" width="23.6640625" style="386" bestFit="1" customWidth="1"/>
    <col min="18" max="16384" width="9.33203125" style="386"/>
  </cols>
  <sheetData>
    <row r="1" spans="1:18" ht="29.1" customHeight="1">
      <c r="A1" s="378" t="s">
        <v>45</v>
      </c>
      <c r="B1" s="443" t="s">
        <v>216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35"/>
      <c r="P1" s="335"/>
      <c r="Q1" s="335"/>
    </row>
    <row r="2" spans="1:18" ht="29.1" customHeight="1">
      <c r="A2" s="378" t="s">
        <v>28</v>
      </c>
      <c r="B2" s="443" t="s">
        <v>29</v>
      </c>
      <c r="C2" s="378" t="s">
        <v>43</v>
      </c>
      <c r="D2" s="378" t="s">
        <v>2</v>
      </c>
      <c r="E2" s="378" t="s">
        <v>48</v>
      </c>
      <c r="F2" s="378" t="s">
        <v>52</v>
      </c>
      <c r="G2" s="378" t="s">
        <v>52</v>
      </c>
      <c r="H2" s="378" t="s">
        <v>62</v>
      </c>
      <c r="I2" s="378" t="s">
        <v>69</v>
      </c>
      <c r="J2" s="378" t="s">
        <v>130</v>
      </c>
      <c r="K2" s="378" t="s">
        <v>135</v>
      </c>
      <c r="L2" s="378" t="s">
        <v>144</v>
      </c>
      <c r="M2" s="463" t="s">
        <v>180</v>
      </c>
      <c r="N2" s="463" t="s">
        <v>297</v>
      </c>
      <c r="O2" s="463" t="s">
        <v>641</v>
      </c>
      <c r="P2" s="463" t="s">
        <v>1103</v>
      </c>
      <c r="Q2" s="271" t="s">
        <v>63</v>
      </c>
    </row>
    <row r="3" spans="1:18" ht="29.1" customHeight="1">
      <c r="A3" s="292" t="s">
        <v>248</v>
      </c>
      <c r="B3" s="292" t="s">
        <v>165</v>
      </c>
      <c r="C3" s="335"/>
      <c r="D3" s="335"/>
      <c r="E3" s="335"/>
      <c r="F3" s="335"/>
      <c r="G3" s="335" t="s">
        <v>4</v>
      </c>
      <c r="H3" s="335"/>
      <c r="I3" s="335"/>
      <c r="J3" s="335"/>
      <c r="K3" s="335"/>
      <c r="L3" s="375"/>
      <c r="M3" s="335"/>
      <c r="N3" s="335"/>
      <c r="O3" s="335"/>
      <c r="P3" s="335"/>
      <c r="Q3" s="335"/>
      <c r="R3" s="464"/>
    </row>
    <row r="4" spans="1:18" ht="29.1" customHeight="1">
      <c r="A4" s="292" t="s">
        <v>249</v>
      </c>
      <c r="B4" s="292" t="s">
        <v>250</v>
      </c>
      <c r="C4" s="284">
        <v>14053000</v>
      </c>
      <c r="D4" s="284">
        <v>18828000</v>
      </c>
      <c r="E4" s="284">
        <v>23040000</v>
      </c>
      <c r="F4" s="284">
        <v>22740000</v>
      </c>
      <c r="G4" s="284">
        <v>0</v>
      </c>
      <c r="H4" s="284">
        <f>36948000+3192000</f>
        <v>40140000</v>
      </c>
      <c r="I4" s="284">
        <v>489600000</v>
      </c>
      <c r="J4" s="284">
        <v>636480000</v>
      </c>
      <c r="K4" s="284">
        <v>0</v>
      </c>
      <c r="L4" s="334">
        <f>9235200+1872000+4149600</f>
        <v>15256800</v>
      </c>
      <c r="M4" s="284"/>
      <c r="N4" s="336"/>
      <c r="O4" s="336"/>
      <c r="P4" s="336"/>
      <c r="Q4" s="335"/>
      <c r="R4" s="464"/>
    </row>
    <row r="5" spans="1:18" ht="29.1" customHeight="1">
      <c r="A5" s="284" t="s">
        <v>247</v>
      </c>
      <c r="B5" s="284" t="s">
        <v>32</v>
      </c>
      <c r="C5" s="284">
        <v>363600</v>
      </c>
      <c r="D5" s="284">
        <v>0</v>
      </c>
      <c r="E5" s="284">
        <v>0</v>
      </c>
      <c r="F5" s="284">
        <v>0</v>
      </c>
      <c r="G5" s="284">
        <v>0</v>
      </c>
      <c r="H5" s="284">
        <v>6780000</v>
      </c>
      <c r="I5" s="284">
        <v>0</v>
      </c>
      <c r="J5" s="284">
        <v>0</v>
      </c>
      <c r="K5" s="284">
        <v>0</v>
      </c>
      <c r="L5" s="334">
        <v>0</v>
      </c>
      <c r="M5" s="284">
        <v>15256800</v>
      </c>
      <c r="N5" s="284">
        <f>'shaq,3'!H18</f>
        <v>93100800</v>
      </c>
      <c r="O5" s="284">
        <v>90448800</v>
      </c>
      <c r="P5" s="284">
        <v>38781600</v>
      </c>
      <c r="Q5" s="336">
        <f>P5-O5</f>
        <v>-51667200</v>
      </c>
      <c r="R5" s="464"/>
    </row>
    <row r="6" spans="1:18" ht="29.1" customHeight="1">
      <c r="A6" s="284" t="s">
        <v>251</v>
      </c>
      <c r="B6" s="284" t="s">
        <v>33</v>
      </c>
      <c r="C6" s="284">
        <v>6120000</v>
      </c>
      <c r="D6" s="284">
        <v>39600000</v>
      </c>
      <c r="E6" s="284">
        <v>39600000</v>
      </c>
      <c r="F6" s="284">
        <v>48000000</v>
      </c>
      <c r="G6" s="284">
        <v>0</v>
      </c>
      <c r="H6" s="284">
        <v>28800000</v>
      </c>
      <c r="I6" s="284">
        <v>122556000</v>
      </c>
      <c r="J6" s="284">
        <v>227072000</v>
      </c>
      <c r="K6" s="284">
        <v>0</v>
      </c>
      <c r="L6" s="334">
        <f>160800000+1128000+3600000</f>
        <v>165528000</v>
      </c>
      <c r="M6" s="284">
        <v>0</v>
      </c>
      <c r="N6" s="284">
        <v>0</v>
      </c>
      <c r="O6" s="284">
        <v>126000000</v>
      </c>
      <c r="P6" s="284">
        <v>126000000</v>
      </c>
      <c r="Q6" s="336">
        <f t="shared" ref="Q6:Q32" si="0">P6-O6</f>
        <v>0</v>
      </c>
      <c r="R6" s="464"/>
    </row>
    <row r="7" spans="1:18" ht="29.1" customHeight="1">
      <c r="A7" s="284" t="s">
        <v>252</v>
      </c>
      <c r="B7" s="284" t="s">
        <v>1105</v>
      </c>
      <c r="C7" s="284">
        <f t="shared" ref="C7:J7" si="1">SUM(C4:C6)</f>
        <v>20536600</v>
      </c>
      <c r="D7" s="284">
        <f t="shared" si="1"/>
        <v>58428000</v>
      </c>
      <c r="E7" s="284">
        <f t="shared" si="1"/>
        <v>62640000</v>
      </c>
      <c r="F7" s="284">
        <f t="shared" si="1"/>
        <v>70740000</v>
      </c>
      <c r="G7" s="284">
        <f t="shared" si="1"/>
        <v>0</v>
      </c>
      <c r="H7" s="284">
        <f t="shared" si="1"/>
        <v>75720000</v>
      </c>
      <c r="I7" s="292">
        <f t="shared" si="1"/>
        <v>612156000</v>
      </c>
      <c r="J7" s="292">
        <f t="shared" si="1"/>
        <v>863552000</v>
      </c>
      <c r="K7" s="292">
        <v>0</v>
      </c>
      <c r="L7" s="334">
        <v>0</v>
      </c>
      <c r="M7" s="284">
        <v>165528000</v>
      </c>
      <c r="N7" s="284">
        <v>165528000</v>
      </c>
      <c r="O7" s="284">
        <v>82800000</v>
      </c>
      <c r="P7" s="284">
        <v>82800000</v>
      </c>
      <c r="Q7" s="336">
        <f t="shared" si="0"/>
        <v>0</v>
      </c>
      <c r="R7" s="464"/>
    </row>
    <row r="8" spans="1:18" ht="29.1" customHeight="1">
      <c r="A8" s="292" t="s">
        <v>255</v>
      </c>
      <c r="B8" s="292" t="s">
        <v>256</v>
      </c>
      <c r="C8" s="284">
        <v>7576740</v>
      </c>
      <c r="D8" s="284">
        <v>6576534</v>
      </c>
      <c r="E8" s="284">
        <v>6576534</v>
      </c>
      <c r="F8" s="284">
        <v>11000000</v>
      </c>
      <c r="G8" s="284">
        <v>0</v>
      </c>
      <c r="H8" s="284">
        <v>45560000</v>
      </c>
      <c r="I8" s="284">
        <v>68336000</v>
      </c>
      <c r="J8" s="284">
        <v>68336000</v>
      </c>
      <c r="K8" s="284">
        <v>0</v>
      </c>
      <c r="L8" s="402">
        <f>SUM(L4:L7)</f>
        <v>180784800</v>
      </c>
      <c r="M8" s="284">
        <v>0</v>
      </c>
      <c r="N8" s="284">
        <v>0</v>
      </c>
      <c r="O8" s="284">
        <v>0</v>
      </c>
      <c r="P8" s="284">
        <v>0</v>
      </c>
      <c r="Q8" s="336">
        <f t="shared" si="0"/>
        <v>0</v>
      </c>
      <c r="R8" s="464"/>
    </row>
    <row r="9" spans="1:18" ht="29.1" customHeight="1">
      <c r="A9" s="284"/>
      <c r="B9" s="292" t="s">
        <v>119</v>
      </c>
      <c r="C9" s="284">
        <f t="shared" ref="C9:J9" si="2">SUM(C8:C8)</f>
        <v>7576740</v>
      </c>
      <c r="D9" s="284">
        <f t="shared" si="2"/>
        <v>6576534</v>
      </c>
      <c r="E9" s="284">
        <f t="shared" si="2"/>
        <v>6576534</v>
      </c>
      <c r="F9" s="284">
        <f t="shared" si="2"/>
        <v>11000000</v>
      </c>
      <c r="G9" s="284">
        <f t="shared" si="2"/>
        <v>0</v>
      </c>
      <c r="H9" s="284">
        <f t="shared" si="2"/>
        <v>45560000</v>
      </c>
      <c r="I9" s="292">
        <f t="shared" si="2"/>
        <v>68336000</v>
      </c>
      <c r="J9" s="292">
        <f t="shared" si="2"/>
        <v>68336000</v>
      </c>
      <c r="K9" s="292">
        <v>0</v>
      </c>
      <c r="L9" s="334">
        <v>20000000</v>
      </c>
      <c r="M9" s="292">
        <f>SUM(M5:M8)</f>
        <v>180784800</v>
      </c>
      <c r="N9" s="292">
        <f>SUM(N5:N8)</f>
        <v>258628800</v>
      </c>
      <c r="O9" s="292">
        <f>SUM(O5:O8)</f>
        <v>299248800</v>
      </c>
      <c r="P9" s="292">
        <f>SUM(P5:P8)</f>
        <v>247581600</v>
      </c>
      <c r="Q9" s="361">
        <f t="shared" si="0"/>
        <v>-51667200</v>
      </c>
      <c r="R9" s="464"/>
    </row>
    <row r="10" spans="1:18" ht="29.1" customHeight="1">
      <c r="A10" s="292" t="s">
        <v>262</v>
      </c>
      <c r="B10" s="292" t="s">
        <v>263</v>
      </c>
      <c r="C10" s="284"/>
      <c r="D10" s="284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334">
        <v>0</v>
      </c>
      <c r="M10" s="284"/>
      <c r="N10" s="284"/>
      <c r="O10" s="284"/>
      <c r="P10" s="284"/>
      <c r="Q10" s="336">
        <f t="shared" si="0"/>
        <v>0</v>
      </c>
      <c r="R10" s="464"/>
    </row>
    <row r="11" spans="1:18" ht="29.1" customHeight="1">
      <c r="A11" s="292" t="s">
        <v>265</v>
      </c>
      <c r="B11" s="292" t="s">
        <v>264</v>
      </c>
      <c r="C11" s="284"/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334">
        <v>6000000</v>
      </c>
      <c r="M11" s="284"/>
      <c r="N11" s="284"/>
      <c r="O11" s="284"/>
      <c r="P11" s="284"/>
      <c r="Q11" s="336">
        <f t="shared" si="0"/>
        <v>0</v>
      </c>
      <c r="R11" s="464"/>
    </row>
    <row r="12" spans="1:18" ht="29.1" customHeight="1">
      <c r="A12" s="284" t="s">
        <v>266</v>
      </c>
      <c r="B12" s="284" t="s">
        <v>38</v>
      </c>
      <c r="C12" s="284" t="e">
        <f>SUM(#REF!)</f>
        <v>#REF!</v>
      </c>
      <c r="D12" s="284">
        <v>0</v>
      </c>
      <c r="E12" s="284">
        <f t="shared" ref="E12:J12" si="3">SUM(E10:E11)</f>
        <v>0</v>
      </c>
      <c r="F12" s="284">
        <f t="shared" si="3"/>
        <v>0</v>
      </c>
      <c r="G12" s="284">
        <f t="shared" si="3"/>
        <v>0</v>
      </c>
      <c r="H12" s="284">
        <f t="shared" si="3"/>
        <v>0</v>
      </c>
      <c r="I12" s="292">
        <f t="shared" si="3"/>
        <v>0</v>
      </c>
      <c r="J12" s="292">
        <f t="shared" si="3"/>
        <v>0</v>
      </c>
      <c r="K12" s="292">
        <v>0</v>
      </c>
      <c r="L12" s="402">
        <v>0</v>
      </c>
      <c r="M12" s="284">
        <v>20000000</v>
      </c>
      <c r="N12" s="284">
        <f>20000000*70%</f>
        <v>14000000</v>
      </c>
      <c r="O12" s="284">
        <v>0</v>
      </c>
      <c r="P12" s="284">
        <v>0</v>
      </c>
      <c r="Q12" s="336">
        <f t="shared" si="0"/>
        <v>0</v>
      </c>
      <c r="R12" s="464"/>
    </row>
    <row r="13" spans="1:18" ht="29.1" customHeight="1">
      <c r="A13" s="284" t="s">
        <v>269</v>
      </c>
      <c r="B13" s="284" t="s">
        <v>186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334"/>
      <c r="M13" s="284">
        <v>20000000</v>
      </c>
      <c r="N13" s="284">
        <f>20000000*70%</f>
        <v>14000000</v>
      </c>
      <c r="O13" s="284">
        <v>7000000</v>
      </c>
      <c r="P13" s="284">
        <v>9000000</v>
      </c>
      <c r="Q13" s="336">
        <f t="shared" si="0"/>
        <v>2000000</v>
      </c>
      <c r="R13" s="464"/>
    </row>
    <row r="14" spans="1:18" ht="29.1" customHeight="1">
      <c r="A14" s="284" t="s">
        <v>270</v>
      </c>
      <c r="B14" s="284" t="s">
        <v>163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2400000</v>
      </c>
      <c r="J14" s="284">
        <v>3000000</v>
      </c>
      <c r="K14" s="284">
        <v>0</v>
      </c>
      <c r="L14" s="334">
        <v>0</v>
      </c>
      <c r="M14" s="284">
        <v>0</v>
      </c>
      <c r="N14" s="284">
        <v>0</v>
      </c>
      <c r="O14" s="284">
        <v>0</v>
      </c>
      <c r="P14" s="284">
        <v>0</v>
      </c>
      <c r="Q14" s="336">
        <f t="shared" si="0"/>
        <v>0</v>
      </c>
      <c r="R14" s="464"/>
    </row>
    <row r="15" spans="1:18" ht="29.1" customHeight="1">
      <c r="A15" s="284" t="s">
        <v>275</v>
      </c>
      <c r="B15" s="284" t="s">
        <v>40</v>
      </c>
      <c r="C15" s="284">
        <v>1746000</v>
      </c>
      <c r="D15" s="284">
        <v>1000000</v>
      </c>
      <c r="E15" s="284">
        <v>1000000</v>
      </c>
      <c r="F15" s="284">
        <v>2000000</v>
      </c>
      <c r="G15" s="284">
        <v>0</v>
      </c>
      <c r="H15" s="284">
        <v>5060000</v>
      </c>
      <c r="I15" s="284">
        <v>5000000</v>
      </c>
      <c r="J15" s="284">
        <v>5000000</v>
      </c>
      <c r="K15" s="284">
        <v>0</v>
      </c>
      <c r="L15" s="402">
        <f>SUM(L14:L14)</f>
        <v>0</v>
      </c>
      <c r="M15" s="284">
        <v>6000000</v>
      </c>
      <c r="N15" s="284">
        <f>6000000*70%</f>
        <v>4200000</v>
      </c>
      <c r="O15" s="284">
        <f>N15</f>
        <v>4200000</v>
      </c>
      <c r="P15" s="284">
        <f>O15</f>
        <v>4200000</v>
      </c>
      <c r="Q15" s="336">
        <f t="shared" si="0"/>
        <v>0</v>
      </c>
      <c r="R15" s="464"/>
    </row>
    <row r="16" spans="1:18" ht="29.1" customHeight="1">
      <c r="A16" s="284"/>
      <c r="B16" s="292" t="s">
        <v>119</v>
      </c>
      <c r="C16" s="335"/>
      <c r="D16" s="335"/>
      <c r="E16" s="335"/>
      <c r="F16" s="335"/>
      <c r="G16" s="335"/>
      <c r="H16" s="335"/>
      <c r="I16" s="335"/>
      <c r="J16" s="335"/>
      <c r="K16" s="335"/>
      <c r="L16" s="465" t="e">
        <f>SUM(#REF!)</f>
        <v>#REF!</v>
      </c>
      <c r="M16" s="292">
        <f>SUM(M12:M15)</f>
        <v>46000000</v>
      </c>
      <c r="N16" s="292">
        <f>SUM(N12:N15)</f>
        <v>32200000</v>
      </c>
      <c r="O16" s="292">
        <f>SUM(O12:O15)</f>
        <v>11200000</v>
      </c>
      <c r="P16" s="292">
        <f>SUM(P12:P15)</f>
        <v>13200000</v>
      </c>
      <c r="Q16" s="361">
        <f t="shared" si="0"/>
        <v>2000000</v>
      </c>
      <c r="R16" s="464"/>
    </row>
    <row r="17" spans="1:18" ht="29.1" customHeight="1">
      <c r="A17" s="292" t="s">
        <v>279</v>
      </c>
      <c r="B17" s="292" t="s">
        <v>278</v>
      </c>
      <c r="C17" s="335"/>
      <c r="D17" s="335"/>
      <c r="E17" s="335"/>
      <c r="F17" s="335"/>
      <c r="G17" s="335"/>
      <c r="H17" s="335"/>
      <c r="I17" s="335"/>
      <c r="J17" s="335"/>
      <c r="K17" s="335"/>
      <c r="L17" s="465" t="e">
        <f>L16+#REF!+L15+#REF!+L8</f>
        <v>#REF!</v>
      </c>
      <c r="M17" s="361"/>
      <c r="N17" s="361"/>
      <c r="O17" s="361"/>
      <c r="P17" s="361"/>
      <c r="Q17" s="336">
        <f t="shared" si="0"/>
        <v>0</v>
      </c>
      <c r="R17" s="464"/>
    </row>
    <row r="18" spans="1:18" ht="29.1" customHeight="1">
      <c r="A18" s="284" t="s">
        <v>280</v>
      </c>
      <c r="B18" s="284" t="s">
        <v>160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61"/>
      <c r="N18" s="361"/>
      <c r="O18" s="361"/>
      <c r="P18" s="361"/>
      <c r="Q18" s="336">
        <f t="shared" si="0"/>
        <v>0</v>
      </c>
      <c r="R18" s="464"/>
    </row>
    <row r="19" spans="1:18" ht="29.1" customHeight="1">
      <c r="A19" s="284" t="s">
        <v>281</v>
      </c>
      <c r="B19" s="284" t="s">
        <v>161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60">
        <v>40000000</v>
      </c>
      <c r="N19" s="360">
        <f>40000000*70%</f>
        <v>28000000</v>
      </c>
      <c r="O19" s="360">
        <f>N19*80%</f>
        <v>22400000</v>
      </c>
      <c r="P19" s="360">
        <v>22400000</v>
      </c>
      <c r="Q19" s="336">
        <f t="shared" si="0"/>
        <v>0</v>
      </c>
      <c r="R19" s="464"/>
    </row>
    <row r="20" spans="1:18" ht="29.1" customHeight="1">
      <c r="A20" s="284" t="s">
        <v>282</v>
      </c>
      <c r="B20" s="284" t="s">
        <v>155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60">
        <v>30000000</v>
      </c>
      <c r="N20" s="360">
        <f>30000000*70%</f>
        <v>21000000</v>
      </c>
      <c r="O20" s="360">
        <f>30000000*70%</f>
        <v>21000000</v>
      </c>
      <c r="P20" s="360">
        <f>30000000*70%</f>
        <v>21000000</v>
      </c>
      <c r="Q20" s="336">
        <f t="shared" si="0"/>
        <v>0</v>
      </c>
      <c r="R20" s="464"/>
    </row>
    <row r="21" spans="1:18" ht="29.1" customHeight="1">
      <c r="A21" s="284"/>
      <c r="B21" s="292" t="s">
        <v>119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83">
        <f>SUM(M19:M20)</f>
        <v>70000000</v>
      </c>
      <c r="N21" s="383">
        <f>SUM(N19:N20)</f>
        <v>49000000</v>
      </c>
      <c r="O21" s="383">
        <f>SUM(O19:O20)</f>
        <v>43400000</v>
      </c>
      <c r="P21" s="383">
        <f>SUM(P19:P20)</f>
        <v>43400000</v>
      </c>
      <c r="Q21" s="336">
        <f t="shared" si="0"/>
        <v>0</v>
      </c>
      <c r="R21" s="464"/>
    </row>
    <row r="22" spans="1:18" ht="29.1" customHeight="1">
      <c r="A22" s="292" t="s">
        <v>285</v>
      </c>
      <c r="B22" s="292" t="s">
        <v>158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35"/>
      <c r="N22" s="335"/>
      <c r="O22" s="335"/>
      <c r="P22" s="335"/>
      <c r="Q22" s="336">
        <f t="shared" si="0"/>
        <v>0</v>
      </c>
      <c r="R22" s="464"/>
    </row>
    <row r="23" spans="1:18" ht="29.1" customHeight="1">
      <c r="A23" s="284" t="s">
        <v>286</v>
      </c>
      <c r="B23" s="284" t="s">
        <v>55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60">
        <v>10000000</v>
      </c>
      <c r="N23" s="360">
        <f>10000000*70%</f>
        <v>7000000</v>
      </c>
      <c r="O23" s="360">
        <f>10000000*70%</f>
        <v>7000000</v>
      </c>
      <c r="P23" s="360">
        <v>12000000</v>
      </c>
      <c r="Q23" s="336">
        <f t="shared" si="0"/>
        <v>5000000</v>
      </c>
      <c r="R23" s="464"/>
    </row>
    <row r="24" spans="1:18" ht="29.1" customHeight="1">
      <c r="A24" s="284" t="s">
        <v>288</v>
      </c>
      <c r="B24" s="284" t="s">
        <v>287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35">
        <v>0</v>
      </c>
      <c r="N24" s="335">
        <v>0</v>
      </c>
      <c r="O24" s="336">
        <v>0</v>
      </c>
      <c r="P24" s="336">
        <v>0</v>
      </c>
      <c r="Q24" s="336">
        <f t="shared" si="0"/>
        <v>0</v>
      </c>
      <c r="R24" s="464"/>
    </row>
    <row r="25" spans="1:18" ht="29.1" customHeight="1">
      <c r="A25" s="284" t="s">
        <v>289</v>
      </c>
      <c r="B25" s="284" t="s">
        <v>290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35">
        <v>0</v>
      </c>
      <c r="N25" s="335">
        <v>0</v>
      </c>
      <c r="O25" s="336">
        <v>0</v>
      </c>
      <c r="P25" s="336">
        <v>0</v>
      </c>
      <c r="Q25" s="336">
        <f t="shared" si="0"/>
        <v>0</v>
      </c>
      <c r="R25" s="464"/>
    </row>
    <row r="26" spans="1:18" ht="29.1" customHeight="1">
      <c r="A26" s="284"/>
      <c r="B26" s="292" t="s">
        <v>119</v>
      </c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83">
        <f>SUM(M23:M25)</f>
        <v>10000000</v>
      </c>
      <c r="N26" s="383">
        <f>SUM(N23:N25)</f>
        <v>7000000</v>
      </c>
      <c r="O26" s="383">
        <f>SUM(O23:O25)</f>
        <v>7000000</v>
      </c>
      <c r="P26" s="383">
        <f>SUM(P23:P25)</f>
        <v>12000000</v>
      </c>
      <c r="Q26" s="361">
        <f t="shared" si="0"/>
        <v>5000000</v>
      </c>
      <c r="R26" s="464"/>
    </row>
    <row r="27" spans="1:18" ht="29.1" customHeight="1">
      <c r="A27" s="292" t="s">
        <v>293</v>
      </c>
      <c r="B27" s="292" t="s">
        <v>292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35"/>
      <c r="N27" s="335"/>
      <c r="O27" s="335"/>
      <c r="P27" s="335"/>
      <c r="Q27" s="336">
        <f t="shared" si="0"/>
        <v>0</v>
      </c>
      <c r="R27" s="464"/>
    </row>
    <row r="28" spans="1:18" ht="29.1" customHeight="1">
      <c r="A28" s="292" t="s">
        <v>294</v>
      </c>
      <c r="B28" s="292" t="s">
        <v>291</v>
      </c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35"/>
      <c r="N28" s="335"/>
      <c r="O28" s="335"/>
      <c r="P28" s="336"/>
      <c r="Q28" s="336">
        <f t="shared" si="0"/>
        <v>0</v>
      </c>
      <c r="R28" s="464"/>
    </row>
    <row r="29" spans="1:18" ht="29.1" customHeight="1">
      <c r="A29" s="284" t="s">
        <v>389</v>
      </c>
      <c r="B29" s="284" t="s">
        <v>307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35">
        <v>0</v>
      </c>
      <c r="N29" s="335">
        <v>0</v>
      </c>
      <c r="O29" s="336">
        <v>0</v>
      </c>
      <c r="P29" s="336">
        <v>0</v>
      </c>
      <c r="Q29" s="336">
        <f t="shared" si="0"/>
        <v>0</v>
      </c>
      <c r="R29" s="464"/>
    </row>
    <row r="30" spans="1:18" ht="29.1" customHeight="1">
      <c r="A30" s="284" t="s">
        <v>388</v>
      </c>
      <c r="B30" s="284" t="s">
        <v>309</v>
      </c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35">
        <v>0</v>
      </c>
      <c r="N30" s="335">
        <v>0</v>
      </c>
      <c r="O30" s="336">
        <v>0</v>
      </c>
      <c r="P30" s="336">
        <v>0</v>
      </c>
      <c r="Q30" s="336">
        <f t="shared" si="0"/>
        <v>0</v>
      </c>
      <c r="R30" s="464"/>
    </row>
    <row r="31" spans="1:18" ht="29.1" customHeight="1">
      <c r="A31" s="284"/>
      <c r="B31" s="292" t="s">
        <v>119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83">
        <v>0</v>
      </c>
      <c r="N31" s="383">
        <f>SUM(N29:N30)</f>
        <v>0</v>
      </c>
      <c r="O31" s="336">
        <f>SUM(O29:O30)</f>
        <v>0</v>
      </c>
      <c r="P31" s="336">
        <f>SUM(P29:P30)</f>
        <v>0</v>
      </c>
      <c r="Q31" s="336">
        <f t="shared" si="0"/>
        <v>0</v>
      </c>
      <c r="R31" s="464"/>
    </row>
    <row r="32" spans="1:18" ht="29.1" customHeight="1">
      <c r="A32" s="284"/>
      <c r="B32" s="292" t="s">
        <v>42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61">
        <f>M31+M26+M21+M16+M9</f>
        <v>306784800</v>
      </c>
      <c r="N32" s="361">
        <f>N31+N26+N21+N16+N9</f>
        <v>346828800</v>
      </c>
      <c r="O32" s="361">
        <f>O31+O26+O21+O16+O9</f>
        <v>360848800</v>
      </c>
      <c r="P32" s="361">
        <f>P31+P26+P21+P16+P9</f>
        <v>316181600</v>
      </c>
      <c r="Q32" s="361">
        <f t="shared" si="0"/>
        <v>-44667200</v>
      </c>
      <c r="R32" s="464"/>
    </row>
    <row r="33" spans="18:18" ht="24.95" customHeight="1">
      <c r="R33" s="464"/>
    </row>
  </sheetData>
  <phoneticPr fontId="42" type="noConversion"/>
  <pageMargins left="0.25" right="0.45" top="1.58" bottom="0.79" header="0.77" footer="0.34"/>
  <pageSetup scale="65" orientation="portrait" r:id="rId1"/>
  <headerFooter alignWithMargins="0">
    <oddHeader xml:space="preserve">&amp;C&amp;"Times New Roman,Bold"&amp;22Guddiga Dib u Habynta Shuruucda.
</oddHeader>
    <oddFooter xml:space="preserve">&amp;R
&amp;"Times New Roman,Bold"&amp;14 17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workbookViewId="0">
      <selection sqref="A1:XFD1048576"/>
    </sheetView>
  </sheetViews>
  <sheetFormatPr defaultColWidth="11.1640625" defaultRowHeight="21.95" customHeight="1"/>
  <cols>
    <col min="1" max="1" width="15.6640625" style="466" bestFit="1" customWidth="1"/>
    <col min="2" max="2" width="86.5" style="466" bestFit="1" customWidth="1"/>
    <col min="3" max="3" width="9.6640625" style="466" hidden="1" customWidth="1"/>
    <col min="4" max="4" width="10.83203125" style="466" hidden="1" customWidth="1"/>
    <col min="5" max="5" width="0.33203125" style="466" hidden="1" customWidth="1"/>
    <col min="6" max="6" width="0.1640625" style="466" hidden="1" customWidth="1"/>
    <col min="7" max="12" width="11.1640625" style="466" hidden="1" customWidth="1"/>
    <col min="13" max="13" width="25.5" style="466" hidden="1" customWidth="1"/>
    <col min="14" max="15" width="29.83203125" style="466" bestFit="1" customWidth="1"/>
    <col min="16" max="16" width="27.6640625" style="466" bestFit="1" customWidth="1"/>
    <col min="17" max="16384" width="11.1640625" style="466"/>
  </cols>
  <sheetData>
    <row r="1" spans="1:16" ht="26.1" customHeight="1">
      <c r="A1" s="373" t="s">
        <v>45</v>
      </c>
      <c r="B1" s="443" t="s">
        <v>648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35"/>
      <c r="O1" s="335"/>
      <c r="P1" s="335"/>
    </row>
    <row r="2" spans="1:16" ht="26.1" customHeight="1">
      <c r="A2" s="373" t="s">
        <v>28</v>
      </c>
      <c r="B2" s="373" t="s">
        <v>29</v>
      </c>
      <c r="C2" s="373" t="s">
        <v>43</v>
      </c>
      <c r="D2" s="378" t="s">
        <v>2</v>
      </c>
      <c r="E2" s="378" t="s">
        <v>48</v>
      </c>
      <c r="F2" s="378" t="s">
        <v>52</v>
      </c>
      <c r="G2" s="378" t="s">
        <v>64</v>
      </c>
      <c r="H2" s="378" t="s">
        <v>71</v>
      </c>
      <c r="I2" s="378" t="s">
        <v>130</v>
      </c>
      <c r="J2" s="378" t="s">
        <v>135</v>
      </c>
      <c r="K2" s="378" t="s">
        <v>143</v>
      </c>
      <c r="L2" s="378" t="s">
        <v>180</v>
      </c>
      <c r="M2" s="378" t="s">
        <v>297</v>
      </c>
      <c r="N2" s="378" t="s">
        <v>641</v>
      </c>
      <c r="O2" s="378" t="s">
        <v>1103</v>
      </c>
      <c r="P2" s="271" t="s">
        <v>63</v>
      </c>
    </row>
    <row r="3" spans="1:16" ht="26.1" customHeight="1">
      <c r="A3" s="292" t="s">
        <v>248</v>
      </c>
      <c r="B3" s="292" t="s">
        <v>165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6" ht="26.1" customHeight="1">
      <c r="A4" s="292" t="s">
        <v>249</v>
      </c>
      <c r="B4" s="292" t="s">
        <v>250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ht="26.1" customHeight="1">
      <c r="A5" s="284" t="s">
        <v>247</v>
      </c>
      <c r="B5" s="284" t="s">
        <v>32</v>
      </c>
      <c r="C5" s="284"/>
      <c r="D5" s="284"/>
      <c r="E5" s="284"/>
      <c r="F5" s="284"/>
      <c r="G5" s="284"/>
      <c r="H5" s="284"/>
      <c r="I5" s="284"/>
      <c r="J5" s="284"/>
      <c r="K5" s="284"/>
      <c r="L5" s="284">
        <f>5452606800+308184000</f>
        <v>5760790800</v>
      </c>
      <c r="M5" s="284">
        <v>5752989600</v>
      </c>
      <c r="N5" s="284">
        <v>1620715200</v>
      </c>
      <c r="O5" s="284">
        <v>1705048800</v>
      </c>
      <c r="P5" s="284">
        <f>O5-N5</f>
        <v>84333600</v>
      </c>
    </row>
    <row r="6" spans="1:16" ht="26.1" customHeight="1">
      <c r="A6" s="284" t="s">
        <v>251</v>
      </c>
      <c r="B6" s="284" t="s">
        <v>822</v>
      </c>
      <c r="C6" s="284"/>
      <c r="D6" s="284"/>
      <c r="E6" s="284"/>
      <c r="F6" s="284"/>
      <c r="G6" s="284"/>
      <c r="H6" s="284"/>
      <c r="I6" s="284"/>
      <c r="J6" s="284"/>
      <c r="K6" s="284"/>
      <c r="L6" s="284">
        <v>0</v>
      </c>
      <c r="M6" s="284">
        <v>413712000</v>
      </c>
      <c r="N6" s="284">
        <v>4865040000</v>
      </c>
      <c r="O6" s="284">
        <v>4962240000</v>
      </c>
      <c r="P6" s="284">
        <f t="shared" ref="P6:P52" si="0">O6-N6</f>
        <v>97200000</v>
      </c>
    </row>
    <row r="7" spans="1:16" ht="26.1" customHeight="1">
      <c r="A7" s="284" t="s">
        <v>252</v>
      </c>
      <c r="B7" s="284" t="s">
        <v>1105</v>
      </c>
      <c r="C7" s="284"/>
      <c r="D7" s="284"/>
      <c r="E7" s="284"/>
      <c r="F7" s="284"/>
      <c r="G7" s="284"/>
      <c r="H7" s="284"/>
      <c r="I7" s="284"/>
      <c r="J7" s="284"/>
      <c r="K7" s="284"/>
      <c r="L7" s="284">
        <f>110800000+61200000</f>
        <v>172000000</v>
      </c>
      <c r="M7" s="284">
        <v>132400000</v>
      </c>
      <c r="N7" s="284">
        <v>161200000</v>
      </c>
      <c r="O7" s="284">
        <v>316800000</v>
      </c>
      <c r="P7" s="284">
        <f t="shared" si="0"/>
        <v>155600000</v>
      </c>
    </row>
    <row r="8" spans="1:16" ht="26.1" customHeight="1">
      <c r="A8" s="284" t="s">
        <v>488</v>
      </c>
      <c r="B8" s="284" t="s">
        <v>1196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>
        <v>0</v>
      </c>
      <c r="O8" s="284">
        <v>24000000</v>
      </c>
      <c r="P8" s="284"/>
    </row>
    <row r="9" spans="1:16" ht="26.1" customHeight="1">
      <c r="A9" s="284"/>
      <c r="B9" s="292" t="s">
        <v>119</v>
      </c>
      <c r="C9" s="284"/>
      <c r="D9" s="284"/>
      <c r="E9" s="284"/>
      <c r="F9" s="284"/>
      <c r="G9" s="284"/>
      <c r="H9" s="284"/>
      <c r="I9" s="284"/>
      <c r="J9" s="284"/>
      <c r="K9" s="284"/>
      <c r="L9" s="292">
        <f>SUM(L5:L7)</f>
        <v>5932790800</v>
      </c>
      <c r="M9" s="292">
        <f>SUM(M5:M7)</f>
        <v>6299101600</v>
      </c>
      <c r="N9" s="292">
        <f>SUM(N5:N8)</f>
        <v>6646955200</v>
      </c>
      <c r="O9" s="292">
        <f>SUM(O5:O8)</f>
        <v>7008088800</v>
      </c>
      <c r="P9" s="292">
        <f t="shared" si="0"/>
        <v>361133600</v>
      </c>
    </row>
    <row r="10" spans="1:16" ht="26.1" customHeight="1">
      <c r="A10" s="292" t="s">
        <v>262</v>
      </c>
      <c r="B10" s="292" t="s">
        <v>263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>
        <f t="shared" si="0"/>
        <v>0</v>
      </c>
    </row>
    <row r="11" spans="1:16" ht="26.1" customHeight="1">
      <c r="A11" s="292" t="s">
        <v>265</v>
      </c>
      <c r="B11" s="292" t="s">
        <v>264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>
        <f t="shared" si="0"/>
        <v>0</v>
      </c>
    </row>
    <row r="12" spans="1:16" ht="26.1" customHeight="1">
      <c r="A12" s="284" t="s">
        <v>266</v>
      </c>
      <c r="B12" s="284" t="s">
        <v>38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>
        <f>22344000+30462320</f>
        <v>52806320</v>
      </c>
      <c r="M12" s="284">
        <v>21439366</v>
      </c>
      <c r="N12" s="284">
        <f>M12</f>
        <v>21439366</v>
      </c>
      <c r="O12" s="284">
        <f>N12</f>
        <v>21439366</v>
      </c>
      <c r="P12" s="284">
        <f t="shared" si="0"/>
        <v>0</v>
      </c>
    </row>
    <row r="13" spans="1:16" ht="26.1" customHeight="1">
      <c r="A13" s="284" t="s">
        <v>267</v>
      </c>
      <c r="B13" s="284" t="s">
        <v>152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>
        <f>8937600</f>
        <v>8937600</v>
      </c>
      <c r="M13" s="284">
        <v>8120000</v>
      </c>
      <c r="N13" s="284">
        <f>M13</f>
        <v>8120000</v>
      </c>
      <c r="O13" s="284">
        <v>30000000</v>
      </c>
      <c r="P13" s="284">
        <f t="shared" si="0"/>
        <v>21880000</v>
      </c>
    </row>
    <row r="14" spans="1:16" ht="26.1" customHeight="1">
      <c r="A14" s="284" t="s">
        <v>269</v>
      </c>
      <c r="B14" s="284" t="s">
        <v>186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>
        <f>67136000+77000000</f>
        <v>144136000</v>
      </c>
      <c r="M14" s="284">
        <v>86939216</v>
      </c>
      <c r="N14" s="284">
        <f>M14</f>
        <v>86939216</v>
      </c>
      <c r="O14" s="284">
        <f>N14</f>
        <v>86939216</v>
      </c>
      <c r="P14" s="284">
        <f t="shared" si="0"/>
        <v>0</v>
      </c>
    </row>
    <row r="15" spans="1:16" ht="26.1" customHeight="1">
      <c r="A15" s="284" t="s">
        <v>270</v>
      </c>
      <c r="B15" s="284" t="s">
        <v>163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>
        <f>3724000</f>
        <v>3724000</v>
      </c>
      <c r="M15" s="284">
        <v>4060000</v>
      </c>
      <c r="N15" s="284">
        <f>M15</f>
        <v>4060000</v>
      </c>
      <c r="O15" s="284">
        <f>N15</f>
        <v>4060000</v>
      </c>
      <c r="P15" s="284">
        <f t="shared" si="0"/>
        <v>0</v>
      </c>
    </row>
    <row r="16" spans="1:16" ht="26.1" customHeight="1">
      <c r="A16" s="284" t="s">
        <v>272</v>
      </c>
      <c r="B16" s="284" t="s">
        <v>54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>
        <f>39792000+5213600</f>
        <v>45005600</v>
      </c>
      <c r="M16" s="284">
        <v>15717040</v>
      </c>
      <c r="N16" s="284">
        <f>M16*70%</f>
        <v>11001928</v>
      </c>
      <c r="O16" s="284">
        <v>11001928</v>
      </c>
      <c r="P16" s="284">
        <f t="shared" si="0"/>
        <v>0</v>
      </c>
    </row>
    <row r="17" spans="1:16" ht="26.1" customHeight="1">
      <c r="A17" s="284" t="s">
        <v>273</v>
      </c>
      <c r="B17" s="284" t="s">
        <v>120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>
        <v>1226626880</v>
      </c>
      <c r="M17" s="284">
        <f>1500000000*70%</f>
        <v>1049999999.9999999</v>
      </c>
      <c r="N17" s="284">
        <v>1600000000</v>
      </c>
      <c r="O17" s="284">
        <v>1900000000</v>
      </c>
      <c r="P17" s="284">
        <f t="shared" si="0"/>
        <v>300000000</v>
      </c>
    </row>
    <row r="18" spans="1:16" ht="26.1" customHeight="1">
      <c r="A18" s="284" t="s">
        <v>274</v>
      </c>
      <c r="B18" s="284" t="s">
        <v>164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84">
        <f>17448000+5213600</f>
        <v>22661600</v>
      </c>
      <c r="M18" s="284">
        <v>14905722</v>
      </c>
      <c r="N18" s="284">
        <v>14905721</v>
      </c>
      <c r="O18" s="284">
        <v>14905721</v>
      </c>
      <c r="P18" s="284">
        <f t="shared" si="0"/>
        <v>0</v>
      </c>
    </row>
    <row r="19" spans="1:16" ht="26.1" customHeight="1">
      <c r="A19" s="284" t="s">
        <v>275</v>
      </c>
      <c r="B19" s="284" t="s">
        <v>40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>
        <f>17448000+49000000</f>
        <v>66448000</v>
      </c>
      <c r="M19" s="284">
        <v>44443034</v>
      </c>
      <c r="N19" s="284">
        <f>M19</f>
        <v>44443034</v>
      </c>
      <c r="O19" s="284">
        <f>N19</f>
        <v>44443034</v>
      </c>
      <c r="P19" s="284">
        <f t="shared" si="0"/>
        <v>0</v>
      </c>
    </row>
    <row r="20" spans="1:16" ht="26.1" customHeight="1">
      <c r="A20" s="284" t="s">
        <v>1161</v>
      </c>
      <c r="B20" s="284" t="s">
        <v>823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>
        <v>3865000000</v>
      </c>
      <c r="M20" s="284">
        <f>4000000000*70%</f>
        <v>2800000000</v>
      </c>
      <c r="N20" s="284">
        <v>3600000000</v>
      </c>
      <c r="O20" s="284">
        <v>4000000000</v>
      </c>
      <c r="P20" s="284">
        <f t="shared" si="0"/>
        <v>400000000</v>
      </c>
    </row>
    <row r="21" spans="1:16" ht="26.1" customHeight="1">
      <c r="A21" s="284" t="s">
        <v>277</v>
      </c>
      <c r="B21" s="284" t="s">
        <v>519</v>
      </c>
      <c r="C21" s="292"/>
      <c r="D21" s="292"/>
      <c r="E21" s="292"/>
      <c r="F21" s="292"/>
      <c r="G21" s="292"/>
      <c r="H21" s="292"/>
      <c r="I21" s="292"/>
      <c r="J21" s="292"/>
      <c r="K21" s="284"/>
      <c r="L21" s="284">
        <v>9594000</v>
      </c>
      <c r="M21" s="284">
        <v>3895164</v>
      </c>
      <c r="N21" s="284">
        <v>0</v>
      </c>
      <c r="O21" s="284">
        <v>0</v>
      </c>
      <c r="P21" s="284">
        <f t="shared" si="0"/>
        <v>0</v>
      </c>
    </row>
    <row r="22" spans="1:16" ht="26.1" customHeight="1">
      <c r="A22" s="284" t="s">
        <v>619</v>
      </c>
      <c r="B22" s="284" t="s">
        <v>669</v>
      </c>
      <c r="C22" s="292"/>
      <c r="D22" s="292"/>
      <c r="E22" s="292"/>
      <c r="F22" s="292"/>
      <c r="G22" s="292"/>
      <c r="H22" s="292"/>
      <c r="I22" s="292"/>
      <c r="J22" s="292"/>
      <c r="K22" s="284"/>
      <c r="L22" s="284">
        <v>1384504728</v>
      </c>
      <c r="M22" s="284">
        <f>4087584931*70%+1</f>
        <v>2861309452.6999998</v>
      </c>
      <c r="N22" s="284">
        <v>450000000</v>
      </c>
      <c r="O22" s="284">
        <v>450000000</v>
      </c>
      <c r="P22" s="284">
        <f t="shared" si="0"/>
        <v>0</v>
      </c>
    </row>
    <row r="23" spans="1:16" ht="26.1" customHeight="1">
      <c r="A23" s="284" t="s">
        <v>384</v>
      </c>
      <c r="B23" s="284" t="s">
        <v>368</v>
      </c>
      <c r="C23" s="284"/>
      <c r="D23" s="284"/>
      <c r="E23" s="284"/>
      <c r="F23" s="284"/>
      <c r="G23" s="284"/>
      <c r="H23" s="284"/>
      <c r="I23" s="284"/>
      <c r="J23" s="284"/>
      <c r="K23" s="292"/>
      <c r="L23" s="284">
        <v>90000000</v>
      </c>
      <c r="M23" s="284">
        <f>90000000*70%</f>
        <v>62999999.999999993</v>
      </c>
      <c r="N23" s="284">
        <v>0</v>
      </c>
      <c r="O23" s="284">
        <v>0</v>
      </c>
      <c r="P23" s="284">
        <f t="shared" si="0"/>
        <v>0</v>
      </c>
    </row>
    <row r="24" spans="1:16" ht="26.1" customHeight="1">
      <c r="A24" s="284" t="s">
        <v>1169</v>
      </c>
      <c r="B24" s="284" t="s">
        <v>681</v>
      </c>
      <c r="C24" s="284"/>
      <c r="D24" s="284"/>
      <c r="E24" s="284"/>
      <c r="F24" s="284"/>
      <c r="G24" s="284"/>
      <c r="H24" s="284"/>
      <c r="I24" s="284"/>
      <c r="J24" s="284"/>
      <c r="K24" s="292"/>
      <c r="L24" s="284"/>
      <c r="M24" s="284"/>
      <c r="N24" s="284">
        <v>500000000</v>
      </c>
      <c r="O24" s="284">
        <v>900000000</v>
      </c>
      <c r="P24" s="284">
        <f t="shared" si="0"/>
        <v>400000000</v>
      </c>
    </row>
    <row r="25" spans="1:16" ht="26.1" customHeight="1">
      <c r="A25" s="284" t="s">
        <v>733</v>
      </c>
      <c r="B25" s="284" t="s">
        <v>1130</v>
      </c>
      <c r="C25" s="284"/>
      <c r="D25" s="284"/>
      <c r="E25" s="284"/>
      <c r="F25" s="284"/>
      <c r="G25" s="284"/>
      <c r="H25" s="284"/>
      <c r="I25" s="284"/>
      <c r="J25" s="284"/>
      <c r="K25" s="292"/>
      <c r="L25" s="284"/>
      <c r="M25" s="284"/>
      <c r="N25" s="284">
        <v>90000000</v>
      </c>
      <c r="O25" s="284">
        <v>64800000</v>
      </c>
      <c r="P25" s="284">
        <f t="shared" si="0"/>
        <v>-25200000</v>
      </c>
    </row>
    <row r="26" spans="1:16" ht="26.1" customHeight="1">
      <c r="A26" s="284"/>
      <c r="B26" s="292" t="s">
        <v>119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92">
        <f>SUM(L12:L23)</f>
        <v>6919444728</v>
      </c>
      <c r="M26" s="292">
        <f>SUM(M12:M23)</f>
        <v>6973828994.6999998</v>
      </c>
      <c r="N26" s="292">
        <f>SUM(N11:N25)</f>
        <v>6430909265</v>
      </c>
      <c r="O26" s="292">
        <f>SUM(O11:O25)</f>
        <v>7527589265</v>
      </c>
      <c r="P26" s="292">
        <f t="shared" si="0"/>
        <v>1096680000</v>
      </c>
    </row>
    <row r="27" spans="1:16" ht="26.1" customHeight="1">
      <c r="A27" s="292" t="s">
        <v>279</v>
      </c>
      <c r="B27" s="292" t="s">
        <v>278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>
        <f t="shared" si="0"/>
        <v>0</v>
      </c>
    </row>
    <row r="28" spans="1:16" ht="26.1" customHeight="1">
      <c r="A28" s="284" t="s">
        <v>281</v>
      </c>
      <c r="B28" s="284" t="s">
        <v>161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>
        <f>412503000+230000000</f>
        <v>642503000</v>
      </c>
      <c r="M28" s="284">
        <v>499752100</v>
      </c>
      <c r="N28" s="284">
        <v>583801680</v>
      </c>
      <c r="O28" s="284">
        <v>583801680</v>
      </c>
      <c r="P28" s="284">
        <f t="shared" si="0"/>
        <v>0</v>
      </c>
    </row>
    <row r="29" spans="1:16" ht="26.1" customHeight="1">
      <c r="A29" s="284" t="s">
        <v>282</v>
      </c>
      <c r="B29" s="284" t="s">
        <v>155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84">
        <f>37240000+32000000</f>
        <v>69240000</v>
      </c>
      <c r="M29" s="284">
        <v>33292000</v>
      </c>
      <c r="N29" s="284">
        <f t="shared" ref="N29:O31" si="1">M29</f>
        <v>33292000</v>
      </c>
      <c r="O29" s="284">
        <f t="shared" si="1"/>
        <v>33292000</v>
      </c>
      <c r="P29" s="284">
        <f t="shared" si="0"/>
        <v>0</v>
      </c>
    </row>
    <row r="30" spans="1:16" ht="26.1" customHeight="1">
      <c r="A30" s="284" t="s">
        <v>283</v>
      </c>
      <c r="B30" s="284" t="s">
        <v>156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84">
        <f>18620000+5958400</f>
        <v>24578400</v>
      </c>
      <c r="M30" s="284">
        <v>10150000</v>
      </c>
      <c r="N30" s="284">
        <f t="shared" si="1"/>
        <v>10150000</v>
      </c>
      <c r="O30" s="284">
        <f t="shared" si="1"/>
        <v>10150000</v>
      </c>
      <c r="P30" s="284">
        <f t="shared" si="0"/>
        <v>0</v>
      </c>
    </row>
    <row r="31" spans="1:16" ht="26.1" customHeight="1">
      <c r="A31" s="284" t="s">
        <v>603</v>
      </c>
      <c r="B31" s="284" t="s">
        <v>631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60">
        <f>601648350</f>
        <v>601648350</v>
      </c>
      <c r="M31" s="360">
        <v>121680000</v>
      </c>
      <c r="N31" s="284">
        <f t="shared" si="1"/>
        <v>121680000</v>
      </c>
      <c r="O31" s="284">
        <f t="shared" si="1"/>
        <v>121680000</v>
      </c>
      <c r="P31" s="284">
        <f t="shared" si="0"/>
        <v>0</v>
      </c>
    </row>
    <row r="32" spans="1:16" ht="26.1" customHeight="1">
      <c r="A32" s="284" t="s">
        <v>298</v>
      </c>
      <c r="B32" s="284" t="s">
        <v>219</v>
      </c>
      <c r="C32" s="284"/>
      <c r="D32" s="284"/>
      <c r="E32" s="284"/>
      <c r="F32" s="284"/>
      <c r="G32" s="284"/>
      <c r="H32" s="284"/>
      <c r="I32" s="284"/>
      <c r="J32" s="284"/>
      <c r="K32" s="284">
        <v>90</v>
      </c>
      <c r="L32" s="284">
        <v>15400000</v>
      </c>
      <c r="M32" s="284">
        <v>27608000</v>
      </c>
      <c r="N32" s="284">
        <v>0</v>
      </c>
      <c r="O32" s="284">
        <v>0</v>
      </c>
      <c r="P32" s="284">
        <f t="shared" si="0"/>
        <v>0</v>
      </c>
    </row>
    <row r="33" spans="1:16" ht="26.1" customHeight="1">
      <c r="A33" s="284"/>
      <c r="B33" s="292" t="s">
        <v>119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61">
        <f>SUM(L28:L32)</f>
        <v>1353369750</v>
      </c>
      <c r="M33" s="361">
        <f>SUM(M28:M32)</f>
        <v>692482100</v>
      </c>
      <c r="N33" s="361">
        <f>SUM(N28:N32)</f>
        <v>748923680</v>
      </c>
      <c r="O33" s="361">
        <f>SUM(O28:O32)</f>
        <v>748923680</v>
      </c>
      <c r="P33" s="292">
        <f t="shared" si="0"/>
        <v>0</v>
      </c>
    </row>
    <row r="34" spans="1:16" ht="26.1" customHeight="1">
      <c r="A34" s="292" t="s">
        <v>285</v>
      </c>
      <c r="B34" s="292" t="s">
        <v>158</v>
      </c>
      <c r="C34" s="379"/>
      <c r="D34" s="379"/>
      <c r="E34" s="379"/>
      <c r="F34" s="379"/>
      <c r="G34" s="379"/>
      <c r="H34" s="379"/>
      <c r="I34" s="379"/>
      <c r="J34" s="379"/>
      <c r="K34" s="379"/>
      <c r="L34" s="335"/>
      <c r="M34" s="335"/>
      <c r="N34" s="335"/>
      <c r="O34" s="335"/>
      <c r="P34" s="284">
        <f t="shared" si="0"/>
        <v>0</v>
      </c>
    </row>
    <row r="35" spans="1:16" ht="26.1" customHeight="1">
      <c r="A35" s="284" t="s">
        <v>286</v>
      </c>
      <c r="B35" s="284" t="s">
        <v>55</v>
      </c>
      <c r="C35" s="379"/>
      <c r="D35" s="379"/>
      <c r="E35" s="379"/>
      <c r="F35" s="379"/>
      <c r="G35" s="379"/>
      <c r="H35" s="379"/>
      <c r="I35" s="379"/>
      <c r="J35" s="379"/>
      <c r="K35" s="379"/>
      <c r="L35" s="360">
        <f>44792401+72850034</f>
        <v>117642435</v>
      </c>
      <c r="M35" s="360">
        <v>47762829</v>
      </c>
      <c r="N35" s="360">
        <f>M35</f>
        <v>47762829</v>
      </c>
      <c r="O35" s="360">
        <f>N35</f>
        <v>47762829</v>
      </c>
      <c r="P35" s="284">
        <f t="shared" si="0"/>
        <v>0</v>
      </c>
    </row>
    <row r="36" spans="1:16" ht="26.1" customHeight="1">
      <c r="A36" s="284" t="s">
        <v>288</v>
      </c>
      <c r="B36" s="284" t="s">
        <v>287</v>
      </c>
      <c r="C36" s="379"/>
      <c r="D36" s="379"/>
      <c r="E36" s="467" t="e">
        <f>#REF!+#REF!</f>
        <v>#REF!</v>
      </c>
      <c r="F36" s="467" t="e">
        <f>#REF!+#REF!</f>
        <v>#REF!</v>
      </c>
      <c r="G36" s="467"/>
      <c r="H36" s="467"/>
      <c r="I36" s="467"/>
      <c r="J36" s="467"/>
      <c r="K36" s="467"/>
      <c r="L36" s="360">
        <v>5586000</v>
      </c>
      <c r="M36" s="360">
        <v>2267916</v>
      </c>
      <c r="N36" s="360">
        <f>M36</f>
        <v>2267916</v>
      </c>
      <c r="O36" s="360">
        <f>N36</f>
        <v>2267916</v>
      </c>
      <c r="P36" s="284">
        <f t="shared" si="0"/>
        <v>0</v>
      </c>
    </row>
    <row r="37" spans="1:16" ht="26.1" customHeight="1">
      <c r="A37" s="284" t="s">
        <v>289</v>
      </c>
      <c r="B37" s="284" t="s">
        <v>290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36">
        <f>K37-J37</f>
        <v>0</v>
      </c>
      <c r="M37" s="336">
        <f>L37-K37</f>
        <v>0</v>
      </c>
      <c r="N37" s="336">
        <f>M37-L37</f>
        <v>0</v>
      </c>
      <c r="O37" s="336">
        <f>N37-M37</f>
        <v>0</v>
      </c>
      <c r="P37" s="284">
        <f t="shared" si="0"/>
        <v>0</v>
      </c>
    </row>
    <row r="38" spans="1:16" ht="26.1" customHeight="1">
      <c r="A38" s="284"/>
      <c r="B38" s="292" t="s">
        <v>119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83">
        <f>SUM(L35:L37)</f>
        <v>123228435</v>
      </c>
      <c r="M38" s="383">
        <f>SUM(M35:M37)</f>
        <v>50030745</v>
      </c>
      <c r="N38" s="383">
        <f>SUM(N35:N37)</f>
        <v>50030745</v>
      </c>
      <c r="O38" s="383">
        <f>SUM(O35:O37)</f>
        <v>50030745</v>
      </c>
      <c r="P38" s="292">
        <f t="shared" si="0"/>
        <v>0</v>
      </c>
    </row>
    <row r="39" spans="1:16" ht="26.1" customHeight="1">
      <c r="A39" s="292" t="s">
        <v>293</v>
      </c>
      <c r="B39" s="292" t="s">
        <v>292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35"/>
      <c r="M39" s="335"/>
      <c r="N39" s="335"/>
      <c r="O39" s="335"/>
      <c r="P39" s="284">
        <f t="shared" si="0"/>
        <v>0</v>
      </c>
    </row>
    <row r="40" spans="1:16" ht="26.1" customHeight="1">
      <c r="A40" s="292" t="s">
        <v>294</v>
      </c>
      <c r="B40" s="292" t="s">
        <v>291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35"/>
      <c r="M40" s="335"/>
      <c r="N40" s="335"/>
      <c r="O40" s="335"/>
      <c r="P40" s="284">
        <f t="shared" si="0"/>
        <v>0</v>
      </c>
    </row>
    <row r="41" spans="1:16" ht="26.1" customHeight="1">
      <c r="A41" s="284" t="s">
        <v>499</v>
      </c>
      <c r="B41" s="284" t="s">
        <v>174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36">
        <f>K41-J41</f>
        <v>0</v>
      </c>
      <c r="M41" s="468">
        <v>40600000</v>
      </c>
      <c r="N41" s="469">
        <v>0</v>
      </c>
      <c r="O41" s="469">
        <v>0</v>
      </c>
      <c r="P41" s="284">
        <f t="shared" si="0"/>
        <v>0</v>
      </c>
    </row>
    <row r="42" spans="1:16" ht="26.1" customHeight="1">
      <c r="A42" s="284" t="s">
        <v>388</v>
      </c>
      <c r="B42" s="284" t="s">
        <v>824</v>
      </c>
      <c r="C42" s="379"/>
      <c r="D42" s="379"/>
      <c r="E42" s="379"/>
      <c r="F42" s="379"/>
      <c r="G42" s="379"/>
      <c r="H42" s="379"/>
      <c r="I42" s="379"/>
      <c r="J42" s="379"/>
      <c r="K42" s="379"/>
      <c r="L42" s="336">
        <f>K42-J42</f>
        <v>0</v>
      </c>
      <c r="M42" s="470">
        <v>183750000</v>
      </c>
      <c r="N42" s="470">
        <v>108000000</v>
      </c>
      <c r="O42" s="469">
        <v>0</v>
      </c>
      <c r="P42" s="284">
        <f t="shared" si="0"/>
        <v>-108000000</v>
      </c>
    </row>
    <row r="43" spans="1:16" ht="26.1" customHeight="1">
      <c r="A43" s="284" t="s">
        <v>295</v>
      </c>
      <c r="B43" s="284" t="s">
        <v>176</v>
      </c>
      <c r="C43" s="379"/>
      <c r="D43" s="379"/>
      <c r="E43" s="379"/>
      <c r="F43" s="379"/>
      <c r="G43" s="379"/>
      <c r="H43" s="379"/>
      <c r="I43" s="379"/>
      <c r="J43" s="379"/>
      <c r="K43" s="379"/>
      <c r="L43" s="360">
        <f>5958400+5724000</f>
        <v>11682400</v>
      </c>
      <c r="M43" s="468">
        <v>4743045</v>
      </c>
      <c r="N43" s="469">
        <v>0</v>
      </c>
      <c r="O43" s="469">
        <v>0</v>
      </c>
      <c r="P43" s="284">
        <f t="shared" si="0"/>
        <v>0</v>
      </c>
    </row>
    <row r="44" spans="1:16" ht="26.1" customHeight="1">
      <c r="A44" s="284" t="s">
        <v>296</v>
      </c>
      <c r="B44" s="284" t="s">
        <v>177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36">
        <v>5234000</v>
      </c>
      <c r="M44" s="470">
        <v>2125004</v>
      </c>
      <c r="N44" s="470">
        <v>0</v>
      </c>
      <c r="O44" s="470">
        <v>0</v>
      </c>
      <c r="P44" s="284">
        <f t="shared" si="0"/>
        <v>0</v>
      </c>
    </row>
    <row r="45" spans="1:16" ht="26.1" customHeight="1">
      <c r="A45" s="284"/>
      <c r="B45" s="292" t="s">
        <v>119</v>
      </c>
      <c r="C45" s="379"/>
      <c r="D45" s="379"/>
      <c r="E45" s="379"/>
      <c r="F45" s="379"/>
      <c r="G45" s="379"/>
      <c r="H45" s="379"/>
      <c r="I45" s="379"/>
      <c r="J45" s="379"/>
      <c r="K45" s="379"/>
      <c r="L45" s="361">
        <f>SUM(L41:L44)</f>
        <v>16916400</v>
      </c>
      <c r="M45" s="361">
        <f>SUM(M41:M44)</f>
        <v>231218049</v>
      </c>
      <c r="N45" s="361">
        <f>SUM(N41:N44)</f>
        <v>108000000</v>
      </c>
      <c r="O45" s="361">
        <f>SUM(O41:O44)</f>
        <v>0</v>
      </c>
      <c r="P45" s="292">
        <f t="shared" si="0"/>
        <v>-108000000</v>
      </c>
    </row>
    <row r="46" spans="1:16" ht="26.1" customHeight="1">
      <c r="A46" s="292" t="s">
        <v>381</v>
      </c>
      <c r="B46" s="284" t="s">
        <v>157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36"/>
      <c r="M46" s="336"/>
      <c r="N46" s="336">
        <v>0</v>
      </c>
      <c r="O46" s="336">
        <v>0</v>
      </c>
      <c r="P46" s="284">
        <f t="shared" si="0"/>
        <v>0</v>
      </c>
    </row>
    <row r="47" spans="1:16" ht="26.1" customHeight="1">
      <c r="A47" s="284" t="s">
        <v>382</v>
      </c>
      <c r="B47" s="284" t="s">
        <v>529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36">
        <v>0</v>
      </c>
      <c r="M47" s="336">
        <f>300000000*70%</f>
        <v>210000000</v>
      </c>
      <c r="N47" s="336">
        <v>700000000</v>
      </c>
      <c r="O47" s="336">
        <v>0</v>
      </c>
      <c r="P47" s="284">
        <f t="shared" si="0"/>
        <v>-700000000</v>
      </c>
    </row>
    <row r="48" spans="1:16" ht="26.1" customHeight="1">
      <c r="A48" s="284"/>
      <c r="B48" s="292" t="s">
        <v>119</v>
      </c>
      <c r="C48" s="379"/>
      <c r="D48" s="379"/>
      <c r="E48" s="379"/>
      <c r="F48" s="379"/>
      <c r="G48" s="379"/>
      <c r="H48" s="379"/>
      <c r="I48" s="379"/>
      <c r="J48" s="379"/>
      <c r="K48" s="379"/>
      <c r="L48" s="361">
        <f>SUM(L47)</f>
        <v>0</v>
      </c>
      <c r="M48" s="361">
        <f>M47</f>
        <v>210000000</v>
      </c>
      <c r="N48" s="361">
        <f>N47</f>
        <v>700000000</v>
      </c>
      <c r="O48" s="361">
        <f>SUM(O46:O47)</f>
        <v>0</v>
      </c>
      <c r="P48" s="292">
        <f t="shared" si="0"/>
        <v>-700000000</v>
      </c>
    </row>
    <row r="49" spans="1:16" ht="26.1" customHeight="1">
      <c r="A49" s="421" t="s">
        <v>611</v>
      </c>
      <c r="B49" s="422" t="s">
        <v>612</v>
      </c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>
        <f t="shared" si="0"/>
        <v>0</v>
      </c>
    </row>
    <row r="50" spans="1:16" ht="26.1" customHeight="1">
      <c r="A50" s="283" t="s">
        <v>433</v>
      </c>
      <c r="B50" s="284" t="s">
        <v>691</v>
      </c>
      <c r="C50" s="292"/>
      <c r="D50" s="292"/>
      <c r="E50" s="292"/>
      <c r="F50" s="292"/>
      <c r="G50" s="292"/>
      <c r="H50" s="292"/>
      <c r="I50" s="292"/>
      <c r="J50" s="292"/>
      <c r="K50" s="284"/>
      <c r="L50" s="284">
        <v>208000000</v>
      </c>
      <c r="M50" s="284">
        <v>260000000</v>
      </c>
      <c r="N50" s="284">
        <v>0</v>
      </c>
      <c r="O50" s="284">
        <v>0</v>
      </c>
      <c r="P50" s="284">
        <f t="shared" si="0"/>
        <v>0</v>
      </c>
    </row>
    <row r="51" spans="1:16" ht="26.1" customHeight="1">
      <c r="A51" s="283"/>
      <c r="B51" s="292" t="s">
        <v>119</v>
      </c>
      <c r="C51" s="284"/>
      <c r="D51" s="284"/>
      <c r="E51" s="284"/>
      <c r="F51" s="284"/>
      <c r="G51" s="284"/>
      <c r="H51" s="284"/>
      <c r="I51" s="284"/>
      <c r="J51" s="292">
        <f>SUM(J50)</f>
        <v>0</v>
      </c>
      <c r="K51" s="292">
        <f>SUM(K50)</f>
        <v>0</v>
      </c>
      <c r="L51" s="292">
        <f>SUM(L50)</f>
        <v>208000000</v>
      </c>
      <c r="M51" s="292">
        <f>M50</f>
        <v>260000000</v>
      </c>
      <c r="N51" s="292">
        <f>N50</f>
        <v>0</v>
      </c>
      <c r="O51" s="292">
        <f>O50</f>
        <v>0</v>
      </c>
      <c r="P51" s="284">
        <f t="shared" si="0"/>
        <v>0</v>
      </c>
    </row>
    <row r="52" spans="1:16" ht="26.1" customHeight="1" thickBot="1">
      <c r="A52" s="404"/>
      <c r="B52" s="405" t="s">
        <v>42</v>
      </c>
      <c r="C52" s="471"/>
      <c r="D52" s="471"/>
      <c r="E52" s="471"/>
      <c r="F52" s="471"/>
      <c r="G52" s="471"/>
      <c r="H52" s="471"/>
      <c r="I52" s="471"/>
      <c r="J52" s="471"/>
      <c r="K52" s="471"/>
      <c r="L52" s="472">
        <f>L51+L45+L38+L33+L26+L9</f>
        <v>14553750113</v>
      </c>
      <c r="M52" s="472">
        <f>M51+M48+M45+M38+M33+M26+M9</f>
        <v>14716661488.700001</v>
      </c>
      <c r="N52" s="472">
        <f>N51+N48+N45+N38+N33+N26+N9</f>
        <v>14684818890</v>
      </c>
      <c r="O52" s="472">
        <f>O51+O48+O45+O38+O33+O26+O9</f>
        <v>15334632490</v>
      </c>
      <c r="P52" s="292">
        <f t="shared" si="0"/>
        <v>649813600</v>
      </c>
    </row>
  </sheetData>
  <pageMargins left="0.7" right="0.7" top="0.75" bottom="0.75" header="0.3" footer="0.3"/>
  <pageSetup scale="50" orientation="portrait" r:id="rId1"/>
  <headerFooter>
    <oddHeader xml:space="preserve">&amp;C&amp;26Wasaaradda Arimaha Guddaha&amp;10 </oddHeader>
    <oddFooter>&amp;R&amp;"Times New Roman,Bold"&amp;12 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5"/>
  <dimension ref="A1:S49"/>
  <sheetViews>
    <sheetView view="pageBreakPreview" zoomScale="60" zoomScaleNormal="75" zoomScalePageLayoutView="70" workbookViewId="0">
      <selection sqref="A1:XFD1048576"/>
    </sheetView>
  </sheetViews>
  <sheetFormatPr defaultRowHeight="26.1" customHeight="1"/>
  <cols>
    <col min="1" max="1" width="15.6640625" style="473" bestFit="1" customWidth="1"/>
    <col min="2" max="2" width="88" style="484" bestFit="1" customWidth="1"/>
    <col min="3" max="3" width="17.1640625" style="473" hidden="1" customWidth="1"/>
    <col min="4" max="4" width="18.33203125" style="473" hidden="1" customWidth="1"/>
    <col min="5" max="5" width="18" style="485" hidden="1" customWidth="1"/>
    <col min="6" max="6" width="20.1640625" style="485" hidden="1" customWidth="1"/>
    <col min="7" max="7" width="24.83203125" style="485" hidden="1" customWidth="1"/>
    <col min="8" max="8" width="2.6640625" style="485" hidden="1" customWidth="1"/>
    <col min="9" max="9" width="22.6640625" style="485" hidden="1" customWidth="1"/>
    <col min="10" max="11" width="0.33203125" style="485" hidden="1" customWidth="1"/>
    <col min="12" max="12" width="0.1640625" style="485" hidden="1" customWidth="1"/>
    <col min="13" max="13" width="34" style="473" hidden="1" customWidth="1"/>
    <col min="14" max="14" width="29.83203125" style="473" bestFit="1" customWidth="1"/>
    <col min="15" max="15" width="9.33203125" style="473" hidden="1" customWidth="1"/>
    <col min="16" max="16" width="4.6640625" style="473" hidden="1" customWidth="1"/>
    <col min="17" max="17" width="29.83203125" style="475" bestFit="1" customWidth="1"/>
    <col min="18" max="18" width="27.6640625" style="475" bestFit="1" customWidth="1"/>
    <col min="19" max="19" width="4.6640625" style="473" customWidth="1"/>
    <col min="20" max="16384" width="9.33203125" style="473"/>
  </cols>
  <sheetData>
    <row r="1" spans="1:19" ht="26.1" customHeight="1">
      <c r="A1" s="373" t="s">
        <v>45</v>
      </c>
      <c r="B1" s="443" t="s">
        <v>898</v>
      </c>
      <c r="C1" s="373"/>
      <c r="D1" s="373"/>
      <c r="E1" s="292"/>
      <c r="F1" s="292"/>
      <c r="G1" s="292"/>
      <c r="H1" s="292"/>
      <c r="I1" s="292"/>
      <c r="J1" s="292"/>
      <c r="K1" s="292"/>
      <c r="L1" s="292"/>
      <c r="M1" s="373"/>
      <c r="N1" s="335"/>
      <c r="O1" s="379"/>
      <c r="P1" s="379"/>
      <c r="Q1" s="375"/>
      <c r="R1" s="375"/>
    </row>
    <row r="2" spans="1:19" ht="26.1" customHeight="1">
      <c r="A2" s="292" t="s">
        <v>248</v>
      </c>
      <c r="B2" s="292" t="s">
        <v>165</v>
      </c>
      <c r="C2" s="373" t="s">
        <v>43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130</v>
      </c>
      <c r="J2" s="378" t="s">
        <v>135</v>
      </c>
      <c r="K2" s="378" t="s">
        <v>144</v>
      </c>
      <c r="L2" s="378" t="s">
        <v>180</v>
      </c>
      <c r="M2" s="378" t="s">
        <v>297</v>
      </c>
      <c r="N2" s="378" t="s">
        <v>643</v>
      </c>
      <c r="O2" s="379"/>
      <c r="P2" s="379"/>
      <c r="Q2" s="474" t="s">
        <v>1102</v>
      </c>
      <c r="R2" s="474" t="s">
        <v>63</v>
      </c>
      <c r="S2" s="475"/>
    </row>
    <row r="3" spans="1:19" ht="26.1" customHeight="1">
      <c r="A3" s="292" t="s">
        <v>249</v>
      </c>
      <c r="B3" s="292" t="s">
        <v>250</v>
      </c>
      <c r="C3" s="373"/>
      <c r="D3" s="373"/>
      <c r="E3" s="292"/>
      <c r="F3" s="292"/>
      <c r="G3" s="292"/>
      <c r="H3" s="292"/>
      <c r="I3" s="292"/>
      <c r="J3" s="292"/>
      <c r="K3" s="292"/>
      <c r="L3" s="292"/>
      <c r="M3" s="373"/>
      <c r="N3" s="373"/>
      <c r="O3" s="379"/>
      <c r="P3" s="379"/>
      <c r="Q3" s="476"/>
      <c r="R3" s="476"/>
    </row>
    <row r="4" spans="1:19" ht="26.1" customHeight="1">
      <c r="A4" s="284" t="s">
        <v>247</v>
      </c>
      <c r="B4" s="284" t="s">
        <v>369</v>
      </c>
      <c r="C4" s="284">
        <v>7630464000</v>
      </c>
      <c r="D4" s="284">
        <v>7646832000</v>
      </c>
      <c r="E4" s="284">
        <v>9059796000</v>
      </c>
      <c r="F4" s="284">
        <v>9479316000</v>
      </c>
      <c r="G4" s="284">
        <v>10692864000</v>
      </c>
      <c r="H4" s="284">
        <f>10739376000+12240000</f>
        <v>10751616000</v>
      </c>
      <c r="I4" s="284">
        <v>13977100800</v>
      </c>
      <c r="J4" s="284">
        <v>18260611200</v>
      </c>
      <c r="K4" s="284">
        <v>18244699200</v>
      </c>
      <c r="L4" s="284">
        <v>20000323200</v>
      </c>
      <c r="M4" s="284">
        <v>40200076800</v>
      </c>
      <c r="N4" s="284">
        <v>40174617600</v>
      </c>
      <c r="O4" s="379"/>
      <c r="P4" s="379"/>
      <c r="Q4" s="334">
        <v>40174617600</v>
      </c>
      <c r="R4" s="334">
        <f>Q4-N4</f>
        <v>0</v>
      </c>
    </row>
    <row r="5" spans="1:19" ht="26.1" customHeight="1">
      <c r="A5" s="284" t="s">
        <v>251</v>
      </c>
      <c r="B5" s="284" t="s">
        <v>630</v>
      </c>
      <c r="C5" s="284">
        <v>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>
        <v>0</v>
      </c>
      <c r="L5" s="284">
        <v>0</v>
      </c>
      <c r="M5" s="284">
        <v>4544467200</v>
      </c>
      <c r="N5" s="284">
        <v>0</v>
      </c>
      <c r="O5" s="379"/>
      <c r="P5" s="379"/>
      <c r="Q5" s="334">
        <v>0</v>
      </c>
      <c r="R5" s="334">
        <f t="shared" ref="R5:R49" si="0">Q5-N5</f>
        <v>0</v>
      </c>
    </row>
    <row r="6" spans="1:19" ht="26.1" customHeight="1">
      <c r="A6" s="284" t="s">
        <v>252</v>
      </c>
      <c r="B6" s="284" t="s">
        <v>1105</v>
      </c>
      <c r="C6" s="284">
        <v>77080000</v>
      </c>
      <c r="D6" s="284">
        <v>77080000</v>
      </c>
      <c r="E6" s="284">
        <v>75640000</v>
      </c>
      <c r="F6" s="284">
        <v>78000000</v>
      </c>
      <c r="G6" s="284">
        <v>374200000</v>
      </c>
      <c r="H6" s="284">
        <v>374200000</v>
      </c>
      <c r="I6" s="284">
        <v>374200000</v>
      </c>
      <c r="J6" s="284">
        <v>374200000</v>
      </c>
      <c r="K6" s="284">
        <v>374200000</v>
      </c>
      <c r="L6" s="284">
        <v>374200000</v>
      </c>
      <c r="M6" s="284">
        <v>374200000</v>
      </c>
      <c r="N6" s="284">
        <v>374200000</v>
      </c>
      <c r="O6" s="379"/>
      <c r="P6" s="379"/>
      <c r="Q6" s="334">
        <v>374200000</v>
      </c>
      <c r="R6" s="334">
        <f t="shared" si="0"/>
        <v>0</v>
      </c>
    </row>
    <row r="7" spans="1:19" ht="26.1" customHeight="1">
      <c r="A7" s="284"/>
      <c r="B7" s="292" t="s">
        <v>119</v>
      </c>
      <c r="C7" s="284">
        <v>38390000</v>
      </c>
      <c r="D7" s="284">
        <v>35756369</v>
      </c>
      <c r="E7" s="284">
        <v>35756369</v>
      </c>
      <c r="F7" s="284">
        <v>35756369</v>
      </c>
      <c r="G7" s="284">
        <v>34400000</v>
      </c>
      <c r="H7" s="284">
        <v>50000000</v>
      </c>
      <c r="I7" s="284">
        <v>111720000</v>
      </c>
      <c r="J7" s="284">
        <v>120000000</v>
      </c>
      <c r="K7" s="284">
        <v>0</v>
      </c>
      <c r="L7" s="292">
        <f>SUM(L4:L6)</f>
        <v>20374523200</v>
      </c>
      <c r="M7" s="292">
        <f>SUM(M4:M6)</f>
        <v>45118744000</v>
      </c>
      <c r="N7" s="292">
        <f>SUM(N4:N6)</f>
        <v>40548817600</v>
      </c>
      <c r="O7" s="379"/>
      <c r="P7" s="379"/>
      <c r="Q7" s="402">
        <f>SUM(Q4:Q6)</f>
        <v>40548817600</v>
      </c>
      <c r="R7" s="334">
        <f t="shared" si="0"/>
        <v>0</v>
      </c>
    </row>
    <row r="8" spans="1:19" ht="26.1" customHeight="1">
      <c r="A8" s="292" t="s">
        <v>262</v>
      </c>
      <c r="B8" s="292" t="s">
        <v>263</v>
      </c>
      <c r="C8" s="284">
        <v>11934000</v>
      </c>
      <c r="D8" s="284">
        <v>11115303</v>
      </c>
      <c r="E8" s="284">
        <v>11115303</v>
      </c>
      <c r="F8" s="284">
        <v>11115303</v>
      </c>
      <c r="G8" s="284">
        <v>12800000</v>
      </c>
      <c r="H8" s="284">
        <v>16000000</v>
      </c>
      <c r="I8" s="284">
        <v>14896000</v>
      </c>
      <c r="J8" s="284">
        <v>30000000</v>
      </c>
      <c r="K8" s="284">
        <v>0</v>
      </c>
      <c r="L8" s="284"/>
      <c r="M8" s="284"/>
      <c r="N8" s="284"/>
      <c r="O8" s="379"/>
      <c r="P8" s="379"/>
      <c r="Q8" s="334"/>
      <c r="R8" s="334">
        <f t="shared" si="0"/>
        <v>0</v>
      </c>
    </row>
    <row r="9" spans="1:19" ht="26.1" customHeight="1">
      <c r="A9" s="292" t="s">
        <v>265</v>
      </c>
      <c r="B9" s="292" t="s">
        <v>264</v>
      </c>
      <c r="C9" s="284">
        <v>2344896000</v>
      </c>
      <c r="D9" s="284">
        <v>2114683200</v>
      </c>
      <c r="E9" s="284">
        <v>2448144000</v>
      </c>
      <c r="F9" s="284">
        <v>2972795000</v>
      </c>
      <c r="G9" s="284">
        <v>2712528000</v>
      </c>
      <c r="H9" s="284">
        <v>2997775872</v>
      </c>
      <c r="I9" s="284">
        <f>2997775872+117478118</f>
        <v>3115253990</v>
      </c>
      <c r="J9" s="284">
        <v>5644604763</v>
      </c>
      <c r="K9" s="284">
        <v>74480000</v>
      </c>
      <c r="L9" s="284"/>
      <c r="M9" s="284"/>
      <c r="N9" s="284"/>
      <c r="O9" s="379"/>
      <c r="P9" s="379"/>
      <c r="Q9" s="334"/>
      <c r="R9" s="334">
        <f t="shared" si="0"/>
        <v>0</v>
      </c>
    </row>
    <row r="10" spans="1:19" ht="26.1" customHeight="1">
      <c r="A10" s="284" t="s">
        <v>266</v>
      </c>
      <c r="B10" s="284" t="s">
        <v>38</v>
      </c>
      <c r="C10" s="284"/>
      <c r="D10" s="284"/>
      <c r="E10" s="284"/>
      <c r="F10" s="284"/>
      <c r="G10" s="284"/>
      <c r="H10" s="284">
        <v>0</v>
      </c>
      <c r="I10" s="284">
        <v>230168250</v>
      </c>
      <c r="J10" s="284">
        <v>335673000</v>
      </c>
      <c r="K10" s="284">
        <v>16288776</v>
      </c>
      <c r="L10" s="284">
        <v>0</v>
      </c>
      <c r="M10" s="284">
        <v>0</v>
      </c>
      <c r="N10" s="284">
        <v>0</v>
      </c>
      <c r="O10" s="379"/>
      <c r="P10" s="379"/>
      <c r="Q10" s="334">
        <v>0</v>
      </c>
      <c r="R10" s="334">
        <f t="shared" si="0"/>
        <v>0</v>
      </c>
    </row>
    <row r="11" spans="1:19" ht="26.1" customHeight="1">
      <c r="A11" s="284" t="s">
        <v>267</v>
      </c>
      <c r="B11" s="284" t="s">
        <v>152</v>
      </c>
      <c r="C11" s="284">
        <v>25000000</v>
      </c>
      <c r="D11" s="284">
        <v>23284949</v>
      </c>
      <c r="E11" s="284">
        <v>33784960</v>
      </c>
      <c r="F11" s="284">
        <v>33784960</v>
      </c>
      <c r="G11" s="284">
        <v>38400000</v>
      </c>
      <c r="H11" s="284">
        <v>48000000</v>
      </c>
      <c r="I11" s="284">
        <v>44688000</v>
      </c>
      <c r="J11" s="284">
        <v>50000000</v>
      </c>
      <c r="K11" s="284">
        <v>6951963</v>
      </c>
      <c r="L11" s="284">
        <v>12000000</v>
      </c>
      <c r="M11" s="284">
        <f>12000000+1474400</f>
        <v>13474400</v>
      </c>
      <c r="N11" s="284">
        <f>12000000+1474400</f>
        <v>13474400</v>
      </c>
      <c r="O11" s="379"/>
      <c r="P11" s="379"/>
      <c r="Q11" s="334">
        <f>12000000+1474400</f>
        <v>13474400</v>
      </c>
      <c r="R11" s="334">
        <f t="shared" si="0"/>
        <v>0</v>
      </c>
    </row>
    <row r="12" spans="1:19" ht="26.1" customHeight="1">
      <c r="A12" s="284" t="s">
        <v>268</v>
      </c>
      <c r="B12" s="284" t="s">
        <v>153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163856000</v>
      </c>
      <c r="L12" s="284">
        <v>30000000</v>
      </c>
      <c r="M12" s="284">
        <f>30000000*70%+9000000</f>
        <v>30000000</v>
      </c>
      <c r="N12" s="335"/>
      <c r="O12" s="379"/>
      <c r="P12" s="379"/>
      <c r="Q12" s="379"/>
      <c r="R12" s="334">
        <f t="shared" si="0"/>
        <v>0</v>
      </c>
    </row>
    <row r="13" spans="1:19" ht="26.1" customHeight="1">
      <c r="A13" s="284" t="s">
        <v>269</v>
      </c>
      <c r="B13" s="284" t="s">
        <v>186</v>
      </c>
      <c r="C13" s="292">
        <f t="shared" ref="C13:J13" si="1">SUM(C7:C12)</f>
        <v>2420220000</v>
      </c>
      <c r="D13" s="292">
        <f t="shared" si="1"/>
        <v>2184839821</v>
      </c>
      <c r="E13" s="292">
        <f t="shared" si="1"/>
        <v>2528800632</v>
      </c>
      <c r="F13" s="292">
        <f t="shared" si="1"/>
        <v>3053451632</v>
      </c>
      <c r="G13" s="292">
        <f t="shared" si="1"/>
        <v>2798128000</v>
      </c>
      <c r="H13" s="292">
        <f t="shared" si="1"/>
        <v>3111775872</v>
      </c>
      <c r="I13" s="292">
        <f t="shared" si="1"/>
        <v>3516726240</v>
      </c>
      <c r="J13" s="292">
        <f t="shared" si="1"/>
        <v>6180277763</v>
      </c>
      <c r="K13" s="284">
        <v>150000000</v>
      </c>
      <c r="L13" s="284">
        <v>0</v>
      </c>
      <c r="M13" s="284">
        <v>0</v>
      </c>
      <c r="N13" s="284">
        <v>0</v>
      </c>
      <c r="O13" s="379"/>
      <c r="P13" s="379"/>
      <c r="Q13" s="334">
        <v>0</v>
      </c>
      <c r="R13" s="334">
        <f t="shared" si="0"/>
        <v>0</v>
      </c>
    </row>
    <row r="14" spans="1:19" ht="26.1" customHeight="1">
      <c r="A14" s="284" t="s">
        <v>270</v>
      </c>
      <c r="B14" s="284" t="s">
        <v>163</v>
      </c>
      <c r="C14" s="292"/>
      <c r="D14" s="292"/>
      <c r="E14" s="292"/>
      <c r="F14" s="292"/>
      <c r="G14" s="292"/>
      <c r="H14" s="292"/>
      <c r="I14" s="292"/>
      <c r="J14" s="292"/>
      <c r="K14" s="284">
        <v>50000000</v>
      </c>
      <c r="L14" s="284">
        <v>0</v>
      </c>
      <c r="M14" s="284">
        <v>0</v>
      </c>
      <c r="N14" s="284">
        <v>0</v>
      </c>
      <c r="O14" s="379"/>
      <c r="P14" s="379"/>
      <c r="Q14" s="334">
        <v>0</v>
      </c>
      <c r="R14" s="334">
        <f t="shared" si="0"/>
        <v>0</v>
      </c>
    </row>
    <row r="15" spans="1:19" ht="26.1" customHeight="1">
      <c r="A15" s="284" t="s">
        <v>271</v>
      </c>
      <c r="B15" s="284" t="s">
        <v>154</v>
      </c>
      <c r="C15" s="292"/>
      <c r="D15" s="292"/>
      <c r="E15" s="292"/>
      <c r="F15" s="292"/>
      <c r="G15" s="292"/>
      <c r="H15" s="292"/>
      <c r="I15" s="292"/>
      <c r="J15" s="292"/>
      <c r="K15" s="284">
        <v>540000000</v>
      </c>
      <c r="L15" s="284">
        <v>150000000</v>
      </c>
      <c r="M15" s="284">
        <f>150000000</f>
        <v>150000000</v>
      </c>
      <c r="N15" s="284">
        <v>50000000</v>
      </c>
      <c r="O15" s="379"/>
      <c r="P15" s="379"/>
      <c r="Q15" s="334">
        <v>50000000</v>
      </c>
      <c r="R15" s="334">
        <f t="shared" si="0"/>
        <v>0</v>
      </c>
    </row>
    <row r="16" spans="1:19" ht="26.1" customHeight="1">
      <c r="A16" s="284" t="s">
        <v>272</v>
      </c>
      <c r="B16" s="284" t="s">
        <v>54</v>
      </c>
      <c r="C16" s="284"/>
      <c r="D16" s="284"/>
      <c r="E16" s="284"/>
      <c r="F16" s="284"/>
      <c r="G16" s="284"/>
      <c r="H16" s="284"/>
      <c r="I16" s="284"/>
      <c r="J16" s="284"/>
      <c r="K16" s="284">
        <v>799312000</v>
      </c>
      <c r="L16" s="284">
        <v>40000000</v>
      </c>
      <c r="M16" s="284">
        <f>40000000</f>
        <v>40000000</v>
      </c>
      <c r="N16" s="284">
        <f>M16*70%</f>
        <v>28000000</v>
      </c>
      <c r="O16" s="379"/>
      <c r="P16" s="379"/>
      <c r="Q16" s="334">
        <f>N16</f>
        <v>28000000</v>
      </c>
      <c r="R16" s="334">
        <f t="shared" si="0"/>
        <v>0</v>
      </c>
    </row>
    <row r="17" spans="1:18" ht="26.1" customHeight="1">
      <c r="A17" s="284" t="s">
        <v>273</v>
      </c>
      <c r="B17" s="284" t="s">
        <v>120</v>
      </c>
      <c r="C17" s="284"/>
      <c r="D17" s="284"/>
      <c r="E17" s="284"/>
      <c r="F17" s="284"/>
      <c r="G17" s="284"/>
      <c r="H17" s="284"/>
      <c r="I17" s="284"/>
      <c r="J17" s="284"/>
      <c r="K17" s="284">
        <v>44688000</v>
      </c>
      <c r="L17" s="284">
        <v>0</v>
      </c>
      <c r="M17" s="284">
        <v>0</v>
      </c>
      <c r="N17" s="284">
        <v>798712000</v>
      </c>
      <c r="O17" s="379"/>
      <c r="P17" s="379"/>
      <c r="Q17" s="334">
        <v>798712000</v>
      </c>
      <c r="R17" s="334">
        <f t="shared" si="0"/>
        <v>0</v>
      </c>
    </row>
    <row r="18" spans="1:18" ht="26.1" customHeight="1">
      <c r="A18" s="284" t="s">
        <v>274</v>
      </c>
      <c r="B18" s="284" t="s">
        <v>164</v>
      </c>
      <c r="C18" s="284"/>
      <c r="D18" s="284"/>
      <c r="E18" s="284"/>
      <c r="F18" s="284"/>
      <c r="G18" s="284"/>
      <c r="H18" s="284"/>
      <c r="I18" s="284">
        <v>0</v>
      </c>
      <c r="J18" s="284">
        <v>100000000</v>
      </c>
      <c r="K18" s="284">
        <v>1100000000</v>
      </c>
      <c r="L18" s="477">
        <v>6951963</v>
      </c>
      <c r="M18" s="477">
        <f>6951963</f>
        <v>6951963</v>
      </c>
      <c r="N18" s="477">
        <f>6951963</f>
        <v>6951963</v>
      </c>
      <c r="O18" s="379"/>
      <c r="P18" s="379"/>
      <c r="Q18" s="478">
        <f>6951963</f>
        <v>6951963</v>
      </c>
      <c r="R18" s="334">
        <f t="shared" si="0"/>
        <v>0</v>
      </c>
    </row>
    <row r="19" spans="1:18" ht="26.1" customHeight="1">
      <c r="A19" s="284" t="s">
        <v>275</v>
      </c>
      <c r="B19" s="284" t="s">
        <v>40</v>
      </c>
      <c r="C19" s="284">
        <v>30000000</v>
      </c>
      <c r="D19" s="284">
        <v>20000000</v>
      </c>
      <c r="E19" s="284">
        <v>20000000</v>
      </c>
      <c r="F19" s="284">
        <v>20000000</v>
      </c>
      <c r="G19" s="284">
        <v>20000000</v>
      </c>
      <c r="H19" s="284">
        <v>20000000</v>
      </c>
      <c r="I19" s="284">
        <v>18620000</v>
      </c>
      <c r="J19" s="284">
        <v>120000000</v>
      </c>
      <c r="K19" s="292">
        <f>SUM(K7:K18)</f>
        <v>2945576739</v>
      </c>
      <c r="L19" s="284">
        <v>240000000</v>
      </c>
      <c r="M19" s="284">
        <f>240000000</f>
        <v>240000000</v>
      </c>
      <c r="N19" s="284">
        <f>240000000</f>
        <v>240000000</v>
      </c>
      <c r="O19" s="379"/>
      <c r="P19" s="379"/>
      <c r="Q19" s="334">
        <f>240000000</f>
        <v>240000000</v>
      </c>
      <c r="R19" s="334">
        <f t="shared" si="0"/>
        <v>0</v>
      </c>
    </row>
    <row r="20" spans="1:18" ht="26.1" customHeight="1">
      <c r="A20" s="284" t="s">
        <v>302</v>
      </c>
      <c r="B20" s="284" t="s">
        <v>303</v>
      </c>
      <c r="C20" s="284">
        <v>0</v>
      </c>
      <c r="D20" s="284">
        <v>0</v>
      </c>
      <c r="E20" s="284">
        <v>0</v>
      </c>
      <c r="F20" s="284">
        <v>50400000</v>
      </c>
      <c r="G20" s="284">
        <v>0</v>
      </c>
      <c r="H20" s="284">
        <v>0</v>
      </c>
      <c r="I20" s="284">
        <v>0</v>
      </c>
      <c r="J20" s="284">
        <v>483300000</v>
      </c>
      <c r="K20" s="284"/>
      <c r="L20" s="284">
        <v>230000000</v>
      </c>
      <c r="M20" s="284">
        <f>230000000</f>
        <v>230000000</v>
      </c>
      <c r="N20" s="284">
        <f>230000000</f>
        <v>230000000</v>
      </c>
      <c r="O20" s="379"/>
      <c r="P20" s="379"/>
      <c r="Q20" s="334">
        <f>230000000</f>
        <v>230000000</v>
      </c>
      <c r="R20" s="334">
        <f t="shared" si="0"/>
        <v>0</v>
      </c>
    </row>
    <row r="21" spans="1:18" ht="26.1" customHeight="1">
      <c r="A21" s="284" t="s">
        <v>358</v>
      </c>
      <c r="B21" s="284" t="s">
        <v>370</v>
      </c>
      <c r="C21" s="284"/>
      <c r="D21" s="284"/>
      <c r="E21" s="284"/>
      <c r="F21" s="284"/>
      <c r="G21" s="284"/>
      <c r="H21" s="284"/>
      <c r="I21" s="284">
        <v>0</v>
      </c>
      <c r="J21" s="284"/>
      <c r="K21" s="284">
        <v>0</v>
      </c>
      <c r="L21" s="284">
        <v>90000000</v>
      </c>
      <c r="M21" s="284">
        <v>90000000</v>
      </c>
      <c r="N21" s="284">
        <v>90000000</v>
      </c>
      <c r="O21" s="379"/>
      <c r="P21" s="379"/>
      <c r="Q21" s="334">
        <v>90000000</v>
      </c>
      <c r="R21" s="334">
        <f t="shared" si="0"/>
        <v>0</v>
      </c>
    </row>
    <row r="22" spans="1:18" ht="26.1" customHeight="1">
      <c r="A22" s="284" t="s">
        <v>277</v>
      </c>
      <c r="B22" s="284" t="s">
        <v>218</v>
      </c>
      <c r="C22" s="335"/>
      <c r="D22" s="335">
        <v>0</v>
      </c>
      <c r="E22" s="335">
        <v>0</v>
      </c>
      <c r="F22" s="284">
        <v>0</v>
      </c>
      <c r="G22" s="284">
        <v>0</v>
      </c>
      <c r="H22" s="284">
        <v>0</v>
      </c>
      <c r="I22" s="284">
        <v>0</v>
      </c>
      <c r="J22" s="284">
        <v>40000000</v>
      </c>
      <c r="K22" s="284">
        <v>0</v>
      </c>
      <c r="L22" s="284">
        <v>798712000</v>
      </c>
      <c r="M22" s="284">
        <f>798712000</f>
        <v>798712000</v>
      </c>
      <c r="N22" s="284">
        <v>0</v>
      </c>
      <c r="O22" s="379"/>
      <c r="P22" s="379"/>
      <c r="Q22" s="334">
        <v>0</v>
      </c>
      <c r="R22" s="334">
        <f t="shared" si="0"/>
        <v>0</v>
      </c>
    </row>
    <row r="23" spans="1:18" ht="26.1" customHeight="1">
      <c r="A23" s="284" t="s">
        <v>340</v>
      </c>
      <c r="B23" s="284" t="s">
        <v>368</v>
      </c>
      <c r="C23" s="284">
        <v>0</v>
      </c>
      <c r="D23" s="284">
        <v>21870438</v>
      </c>
      <c r="E23" s="284">
        <v>21870438</v>
      </c>
      <c r="F23" s="284">
        <v>21870438</v>
      </c>
      <c r="G23" s="284">
        <v>17496000</v>
      </c>
      <c r="H23" s="284">
        <v>21870000</v>
      </c>
      <c r="I23" s="284">
        <v>16288776</v>
      </c>
      <c r="J23" s="284">
        <v>30000000</v>
      </c>
      <c r="K23" s="284">
        <v>0</v>
      </c>
      <c r="L23" s="284">
        <v>550000000</v>
      </c>
      <c r="M23" s="284">
        <f>550000000</f>
        <v>550000000</v>
      </c>
      <c r="N23" s="284">
        <f>M23</f>
        <v>550000000</v>
      </c>
      <c r="O23" s="379"/>
      <c r="P23" s="379"/>
      <c r="Q23" s="334">
        <f>N23</f>
        <v>550000000</v>
      </c>
      <c r="R23" s="334">
        <f t="shared" si="0"/>
        <v>0</v>
      </c>
    </row>
    <row r="24" spans="1:18" ht="26.1" customHeight="1">
      <c r="A24" s="284" t="s">
        <v>733</v>
      </c>
      <c r="B24" s="284" t="s">
        <v>1112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379"/>
      <c r="P24" s="379"/>
      <c r="Q24" s="334">
        <v>720000000</v>
      </c>
      <c r="R24" s="334">
        <f t="shared" si="0"/>
        <v>720000000</v>
      </c>
    </row>
    <row r="25" spans="1:18" ht="26.1" customHeight="1">
      <c r="A25" s="284" t="s">
        <v>1167</v>
      </c>
      <c r="B25" s="284" t="s">
        <v>770</v>
      </c>
      <c r="C25" s="335"/>
      <c r="D25" s="335">
        <v>0</v>
      </c>
      <c r="E25" s="335">
        <v>0</v>
      </c>
      <c r="F25" s="284">
        <v>0</v>
      </c>
      <c r="G25" s="284">
        <v>0</v>
      </c>
      <c r="H25" s="284">
        <v>0</v>
      </c>
      <c r="I25" s="284">
        <v>0</v>
      </c>
      <c r="J25" s="284">
        <v>30000000</v>
      </c>
      <c r="K25" s="284">
        <v>120000000</v>
      </c>
      <c r="L25" s="284">
        <v>540000000</v>
      </c>
      <c r="M25" s="284">
        <f>540000000</f>
        <v>540000000</v>
      </c>
      <c r="N25" s="284">
        <f>M25</f>
        <v>540000000</v>
      </c>
      <c r="O25" s="379"/>
      <c r="P25" s="379"/>
      <c r="Q25" s="334">
        <v>600000000</v>
      </c>
      <c r="R25" s="334">
        <f>Q25-N25</f>
        <v>60000000</v>
      </c>
    </row>
    <row r="26" spans="1:18" ht="26.1" customHeight="1">
      <c r="A26" s="284"/>
      <c r="B26" s="292" t="s">
        <v>119</v>
      </c>
      <c r="C26" s="284">
        <v>10000000</v>
      </c>
      <c r="D26" s="284">
        <v>9334014</v>
      </c>
      <c r="E26" s="284">
        <v>9334014</v>
      </c>
      <c r="F26" s="284">
        <v>9334014</v>
      </c>
      <c r="G26" s="284">
        <v>7467200</v>
      </c>
      <c r="H26" s="284">
        <v>9334000</v>
      </c>
      <c r="I26" s="284">
        <v>6951963</v>
      </c>
      <c r="J26" s="284">
        <v>6951963</v>
      </c>
      <c r="K26" s="292">
        <f>SUM(K23:K23)</f>
        <v>0</v>
      </c>
      <c r="L26" s="292">
        <f>SUM(L11:L23)</f>
        <v>2147663963</v>
      </c>
      <c r="M26" s="292">
        <f>SUM(M10:M23)</f>
        <v>2149138363</v>
      </c>
      <c r="N26" s="292">
        <f>SUM(N10:N25)</f>
        <v>2547138363</v>
      </c>
      <c r="O26" s="379"/>
      <c r="P26" s="379"/>
      <c r="Q26" s="402">
        <f>SUM(Q10:Q25)</f>
        <v>3327138363</v>
      </c>
      <c r="R26" s="402">
        <f t="shared" si="0"/>
        <v>780000000</v>
      </c>
    </row>
    <row r="27" spans="1:18" ht="26.1" customHeight="1">
      <c r="A27" s="292" t="s">
        <v>279</v>
      </c>
      <c r="B27" s="292" t="s">
        <v>278</v>
      </c>
      <c r="C27" s="284">
        <v>20000000</v>
      </c>
      <c r="D27" s="284">
        <v>18627958</v>
      </c>
      <c r="E27" s="284">
        <v>18627958</v>
      </c>
      <c r="F27" s="284">
        <v>18627958</v>
      </c>
      <c r="G27" s="284">
        <v>80000000</v>
      </c>
      <c r="H27" s="284">
        <v>120000000</v>
      </c>
      <c r="I27" s="284">
        <v>163856000</v>
      </c>
      <c r="J27" s="284">
        <v>180000000</v>
      </c>
      <c r="K27" s="284"/>
      <c r="L27" s="284"/>
      <c r="M27" s="284"/>
      <c r="N27" s="284"/>
      <c r="O27" s="379"/>
      <c r="P27" s="379"/>
      <c r="Q27" s="334">
        <v>0</v>
      </c>
      <c r="R27" s="334">
        <f t="shared" si="0"/>
        <v>0</v>
      </c>
    </row>
    <row r="28" spans="1:18" ht="26.1" customHeight="1">
      <c r="A28" s="284" t="s">
        <v>280</v>
      </c>
      <c r="B28" s="284" t="s">
        <v>160</v>
      </c>
      <c r="C28" s="284">
        <v>60000000</v>
      </c>
      <c r="D28" s="284">
        <v>180000000</v>
      </c>
      <c r="E28" s="284">
        <v>180000000</v>
      </c>
      <c r="F28" s="284">
        <v>180000000</v>
      </c>
      <c r="G28" s="284">
        <v>360000000</v>
      </c>
      <c r="H28" s="284">
        <v>360000000</v>
      </c>
      <c r="I28" s="284">
        <f>327712000-80000000</f>
        <v>247712000</v>
      </c>
      <c r="J28" s="284">
        <v>247712000</v>
      </c>
      <c r="K28" s="284">
        <v>360000000</v>
      </c>
      <c r="L28" s="284">
        <v>0</v>
      </c>
      <c r="M28" s="284">
        <v>0</v>
      </c>
      <c r="N28" s="284">
        <v>0</v>
      </c>
      <c r="O28" s="379"/>
      <c r="P28" s="379"/>
      <c r="Q28" s="334">
        <v>0</v>
      </c>
      <c r="R28" s="334">
        <f t="shared" si="0"/>
        <v>0</v>
      </c>
    </row>
    <row r="29" spans="1:18" ht="26.1" customHeight="1">
      <c r="A29" s="284" t="s">
        <v>281</v>
      </c>
      <c r="B29" s="284" t="s">
        <v>161</v>
      </c>
      <c r="C29" s="284">
        <v>60000000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80000000</v>
      </c>
      <c r="J29" s="284">
        <v>80000000</v>
      </c>
      <c r="K29" s="284">
        <v>0</v>
      </c>
      <c r="L29" s="284">
        <v>2313040000</v>
      </c>
      <c r="M29" s="284">
        <f>2313040000</f>
        <v>2313040000</v>
      </c>
      <c r="N29" s="284">
        <f>M29*80%</f>
        <v>1850432000</v>
      </c>
      <c r="O29" s="379"/>
      <c r="P29" s="379"/>
      <c r="Q29" s="334">
        <v>1900432000</v>
      </c>
      <c r="R29" s="334">
        <f t="shared" si="0"/>
        <v>50000000</v>
      </c>
    </row>
    <row r="30" spans="1:18" ht="26.1" customHeight="1">
      <c r="A30" s="284" t="s">
        <v>282</v>
      </c>
      <c r="B30" s="284" t="s">
        <v>155</v>
      </c>
      <c r="C30" s="284">
        <v>13000000</v>
      </c>
      <c r="D30" s="284">
        <v>0</v>
      </c>
      <c r="E30" s="284">
        <v>0</v>
      </c>
      <c r="F30" s="284">
        <v>0</v>
      </c>
      <c r="G30" s="284">
        <v>0</v>
      </c>
      <c r="H30" s="284">
        <v>0</v>
      </c>
      <c r="I30" s="284">
        <v>124560000</v>
      </c>
      <c r="J30" s="284">
        <v>171600000</v>
      </c>
      <c r="K30" s="284">
        <v>0</v>
      </c>
      <c r="L30" s="284">
        <v>161720000</v>
      </c>
      <c r="M30" s="284">
        <f>161720000</f>
        <v>161720000</v>
      </c>
      <c r="N30" s="284">
        <f>161720000</f>
        <v>161720000</v>
      </c>
      <c r="O30" s="379"/>
      <c r="P30" s="379"/>
      <c r="Q30" s="334">
        <f>161720000</f>
        <v>161720000</v>
      </c>
      <c r="R30" s="334">
        <f t="shared" si="0"/>
        <v>0</v>
      </c>
    </row>
    <row r="31" spans="1:18" ht="26.1" customHeight="1">
      <c r="A31" s="284" t="s">
        <v>283</v>
      </c>
      <c r="B31" s="284" t="s">
        <v>156</v>
      </c>
      <c r="C31" s="284"/>
      <c r="D31" s="284"/>
      <c r="E31" s="284"/>
      <c r="F31" s="284"/>
      <c r="G31" s="284"/>
      <c r="H31" s="284"/>
      <c r="I31" s="284">
        <v>0</v>
      </c>
      <c r="J31" s="284">
        <v>300000000</v>
      </c>
      <c r="K31" s="292">
        <f>SUM(K28:K30)</f>
        <v>360000000</v>
      </c>
      <c r="L31" s="284">
        <v>44896000</v>
      </c>
      <c r="M31" s="284">
        <f>44896000</f>
        <v>44896000</v>
      </c>
      <c r="N31" s="284">
        <f>44896000</f>
        <v>44896000</v>
      </c>
      <c r="O31" s="379"/>
      <c r="P31" s="379"/>
      <c r="Q31" s="334">
        <f>44896000</f>
        <v>44896000</v>
      </c>
      <c r="R31" s="334">
        <f t="shared" si="0"/>
        <v>0</v>
      </c>
    </row>
    <row r="32" spans="1:18" ht="26.1" customHeight="1">
      <c r="A32" s="284" t="s">
        <v>316</v>
      </c>
      <c r="B32" s="284" t="s">
        <v>650</v>
      </c>
      <c r="C32" s="379"/>
      <c r="D32" s="379"/>
      <c r="E32" s="395"/>
      <c r="F32" s="395"/>
      <c r="G32" s="395"/>
      <c r="H32" s="395"/>
      <c r="I32" s="395"/>
      <c r="J32" s="395"/>
      <c r="K32" s="395"/>
      <c r="L32" s="479">
        <v>6900234890</v>
      </c>
      <c r="M32" s="479">
        <v>13723632000</v>
      </c>
      <c r="N32" s="479">
        <v>13715324160</v>
      </c>
      <c r="O32" s="379"/>
      <c r="P32" s="379"/>
      <c r="Q32" s="479">
        <v>13715324160</v>
      </c>
      <c r="R32" s="334">
        <f t="shared" si="0"/>
        <v>0</v>
      </c>
    </row>
    <row r="33" spans="1:18" ht="26.1" customHeight="1">
      <c r="A33" s="284" t="s">
        <v>651</v>
      </c>
      <c r="B33" s="284" t="s">
        <v>632</v>
      </c>
      <c r="C33" s="379"/>
      <c r="D33" s="379"/>
      <c r="E33" s="395"/>
      <c r="F33" s="395"/>
      <c r="G33" s="395"/>
      <c r="H33" s="395"/>
      <c r="I33" s="395"/>
      <c r="J33" s="395"/>
      <c r="K33" s="395"/>
      <c r="L33" s="479">
        <v>0</v>
      </c>
      <c r="M33" s="479">
        <v>1336608000</v>
      </c>
      <c r="N33" s="480">
        <v>0</v>
      </c>
      <c r="O33" s="481"/>
      <c r="P33" s="481"/>
      <c r="Q33" s="480">
        <v>0</v>
      </c>
      <c r="R33" s="480">
        <f t="shared" si="0"/>
        <v>0</v>
      </c>
    </row>
    <row r="34" spans="1:18" ht="26.1" customHeight="1">
      <c r="A34" s="284" t="s">
        <v>492</v>
      </c>
      <c r="B34" s="284" t="s">
        <v>219</v>
      </c>
      <c r="C34" s="284">
        <v>40000000</v>
      </c>
      <c r="D34" s="284">
        <v>37255999</v>
      </c>
      <c r="E34" s="284">
        <v>37255999</v>
      </c>
      <c r="F34" s="284">
        <v>37255999</v>
      </c>
      <c r="G34" s="284">
        <v>29804800</v>
      </c>
      <c r="H34" s="284">
        <v>37256000</v>
      </c>
      <c r="I34" s="284">
        <v>74480000</v>
      </c>
      <c r="J34" s="284">
        <v>120000000</v>
      </c>
      <c r="K34" s="284">
        <v>0</v>
      </c>
      <c r="L34" s="284">
        <v>100000000</v>
      </c>
      <c r="M34" s="284">
        <f>100000000</f>
        <v>100000000</v>
      </c>
      <c r="N34" s="284">
        <f>100000000</f>
        <v>100000000</v>
      </c>
      <c r="O34" s="379"/>
      <c r="P34" s="379"/>
      <c r="Q34" s="334">
        <f>100000000</f>
        <v>100000000</v>
      </c>
      <c r="R34" s="334">
        <f t="shared" si="0"/>
        <v>0</v>
      </c>
    </row>
    <row r="35" spans="1:18" ht="26.1" customHeight="1">
      <c r="A35" s="284" t="s">
        <v>616</v>
      </c>
      <c r="B35" s="284" t="s">
        <v>315</v>
      </c>
      <c r="C35" s="284"/>
      <c r="D35" s="284"/>
      <c r="E35" s="284"/>
      <c r="F35" s="284"/>
      <c r="G35" s="284"/>
      <c r="H35" s="284"/>
      <c r="I35" s="284">
        <v>0</v>
      </c>
      <c r="J35" s="284">
        <v>50000000</v>
      </c>
      <c r="K35" s="292" t="e">
        <f>K31+K26+#REF!+K19+#REF!</f>
        <v>#REF!</v>
      </c>
      <c r="L35" s="284">
        <v>180000000</v>
      </c>
      <c r="M35" s="284">
        <f>180000000</f>
        <v>180000000</v>
      </c>
      <c r="N35" s="284">
        <f>180000000</f>
        <v>180000000</v>
      </c>
      <c r="O35" s="379"/>
      <c r="P35" s="379"/>
      <c r="Q35" s="334">
        <f>180000000</f>
        <v>180000000</v>
      </c>
      <c r="R35" s="334">
        <f t="shared" si="0"/>
        <v>0</v>
      </c>
    </row>
    <row r="36" spans="1:18" ht="26.1" customHeight="1">
      <c r="A36" s="284"/>
      <c r="B36" s="292" t="s">
        <v>119</v>
      </c>
      <c r="C36" s="379"/>
      <c r="D36" s="379"/>
      <c r="E36" s="395"/>
      <c r="F36" s="395">
        <f>1386274192-71600000-798000-176160000-12600000</f>
        <v>1125116192</v>
      </c>
      <c r="G36" s="395"/>
      <c r="H36" s="395"/>
      <c r="I36" s="395"/>
      <c r="J36" s="395"/>
      <c r="K36" s="395"/>
      <c r="L36" s="465">
        <f>SUM(L29:L35)</f>
        <v>9699890890</v>
      </c>
      <c r="M36" s="465">
        <f>SUM(M29:M35)</f>
        <v>17859896000</v>
      </c>
      <c r="N36" s="465">
        <f>SUM(N29:N35)</f>
        <v>16052372160</v>
      </c>
      <c r="O36" s="379"/>
      <c r="P36" s="379"/>
      <c r="Q36" s="465">
        <f>SUM(Q28:Q35)</f>
        <v>16102372160</v>
      </c>
      <c r="R36" s="334">
        <f t="shared" si="0"/>
        <v>50000000</v>
      </c>
    </row>
    <row r="37" spans="1:18" ht="26.1" customHeight="1">
      <c r="A37" s="292" t="s">
        <v>285</v>
      </c>
      <c r="B37" s="292" t="s">
        <v>158</v>
      </c>
      <c r="C37" s="379"/>
      <c r="D37" s="379"/>
      <c r="E37" s="395"/>
      <c r="F37" s="395"/>
      <c r="G37" s="395"/>
      <c r="H37" s="395"/>
      <c r="I37" s="395"/>
      <c r="J37" s="395"/>
      <c r="K37" s="395"/>
      <c r="L37" s="375"/>
      <c r="M37" s="375"/>
      <c r="N37" s="375"/>
      <c r="O37" s="379"/>
      <c r="P37" s="379"/>
      <c r="Q37" s="403">
        <v>0</v>
      </c>
      <c r="R37" s="334">
        <f t="shared" si="0"/>
        <v>0</v>
      </c>
    </row>
    <row r="38" spans="1:18" ht="26.1" customHeight="1">
      <c r="A38" s="284" t="s">
        <v>286</v>
      </c>
      <c r="B38" s="284" t="s">
        <v>55</v>
      </c>
      <c r="C38" s="379"/>
      <c r="D38" s="379"/>
      <c r="E38" s="395"/>
      <c r="F38" s="395"/>
      <c r="G38" s="395"/>
      <c r="H38" s="395"/>
      <c r="I38" s="395"/>
      <c r="J38" s="395"/>
      <c r="K38" s="395"/>
      <c r="L38" s="479">
        <v>600000000</v>
      </c>
      <c r="M38" s="479">
        <f>600000000</f>
        <v>600000000</v>
      </c>
      <c r="N38" s="479">
        <f>600000000</f>
        <v>600000000</v>
      </c>
      <c r="O38" s="379"/>
      <c r="P38" s="379"/>
      <c r="Q38" s="479">
        <f>600000000</f>
        <v>600000000</v>
      </c>
      <c r="R38" s="334">
        <f t="shared" si="0"/>
        <v>0</v>
      </c>
    </row>
    <row r="39" spans="1:18" ht="26.1" customHeight="1">
      <c r="A39" s="284" t="s">
        <v>288</v>
      </c>
      <c r="B39" s="284" t="s">
        <v>287</v>
      </c>
      <c r="C39" s="379"/>
      <c r="D39" s="379"/>
      <c r="E39" s="395"/>
      <c r="F39" s="395"/>
      <c r="G39" s="395"/>
      <c r="H39" s="395"/>
      <c r="I39" s="395"/>
      <c r="J39" s="395"/>
      <c r="K39" s="395"/>
      <c r="L39" s="479">
        <v>60000000</v>
      </c>
      <c r="M39" s="479">
        <f>60000000</f>
        <v>60000000</v>
      </c>
      <c r="N39" s="479">
        <f>60000000</f>
        <v>60000000</v>
      </c>
      <c r="O39" s="379"/>
      <c r="P39" s="379"/>
      <c r="Q39" s="479">
        <f>60000000</f>
        <v>60000000</v>
      </c>
      <c r="R39" s="334">
        <f t="shared" si="0"/>
        <v>0</v>
      </c>
    </row>
    <row r="40" spans="1:18" ht="26.1" customHeight="1">
      <c r="A40" s="284" t="s">
        <v>289</v>
      </c>
      <c r="B40" s="284" t="s">
        <v>290</v>
      </c>
      <c r="C40" s="379"/>
      <c r="D40" s="379"/>
      <c r="E40" s="395"/>
      <c r="F40" s="395"/>
      <c r="G40" s="395"/>
      <c r="H40" s="395"/>
      <c r="I40" s="395"/>
      <c r="J40" s="395"/>
      <c r="K40" s="395"/>
      <c r="L40" s="336">
        <v>0</v>
      </c>
      <c r="M40" s="336">
        <v>0</v>
      </c>
      <c r="N40" s="336">
        <v>0</v>
      </c>
      <c r="O40" s="379"/>
      <c r="P40" s="379"/>
      <c r="Q40" s="403">
        <v>0</v>
      </c>
      <c r="R40" s="334">
        <f t="shared" si="0"/>
        <v>0</v>
      </c>
    </row>
    <row r="41" spans="1:18" ht="26.1" customHeight="1">
      <c r="A41" s="284"/>
      <c r="B41" s="292" t="s">
        <v>119</v>
      </c>
      <c r="C41" s="379"/>
      <c r="D41" s="379"/>
      <c r="E41" s="395"/>
      <c r="F41" s="395"/>
      <c r="G41" s="395"/>
      <c r="H41" s="395"/>
      <c r="I41" s="395"/>
      <c r="J41" s="395"/>
      <c r="K41" s="395"/>
      <c r="L41" s="482">
        <f>SUM(L38:L40)</f>
        <v>660000000</v>
      </c>
      <c r="M41" s="482">
        <f>SUM(M38:M40)</f>
        <v>660000000</v>
      </c>
      <c r="N41" s="482">
        <f>SUM(N38:N40)</f>
        <v>660000000</v>
      </c>
      <c r="O41" s="379"/>
      <c r="P41" s="379"/>
      <c r="Q41" s="482">
        <f>SUM(Q38:Q40)</f>
        <v>660000000</v>
      </c>
      <c r="R41" s="334">
        <f t="shared" si="0"/>
        <v>0</v>
      </c>
    </row>
    <row r="42" spans="1:18" ht="26.1" customHeight="1">
      <c r="A42" s="292" t="s">
        <v>293</v>
      </c>
      <c r="B42" s="292" t="s">
        <v>292</v>
      </c>
      <c r="C42" s="379"/>
      <c r="D42" s="379"/>
      <c r="E42" s="395"/>
      <c r="F42" s="395"/>
      <c r="G42" s="395"/>
      <c r="H42" s="395"/>
      <c r="I42" s="395"/>
      <c r="J42" s="395"/>
      <c r="K42" s="395"/>
      <c r="L42" s="375"/>
      <c r="M42" s="375"/>
      <c r="N42" s="375"/>
      <c r="O42" s="379"/>
      <c r="P42" s="379"/>
      <c r="Q42" s="375"/>
      <c r="R42" s="334">
        <f t="shared" si="0"/>
        <v>0</v>
      </c>
    </row>
    <row r="43" spans="1:18" ht="26.1" customHeight="1">
      <c r="A43" s="292" t="s">
        <v>294</v>
      </c>
      <c r="B43" s="292" t="s">
        <v>291</v>
      </c>
      <c r="C43" s="379"/>
      <c r="D43" s="379"/>
      <c r="E43" s="395"/>
      <c r="F43" s="395"/>
      <c r="G43" s="395"/>
      <c r="H43" s="395"/>
      <c r="I43" s="395"/>
      <c r="J43" s="395"/>
      <c r="K43" s="395"/>
      <c r="L43" s="375"/>
      <c r="M43" s="375"/>
      <c r="N43" s="375"/>
      <c r="O43" s="379"/>
      <c r="P43" s="379"/>
      <c r="Q43" s="375"/>
      <c r="R43" s="334">
        <f t="shared" si="0"/>
        <v>0</v>
      </c>
    </row>
    <row r="44" spans="1:18" ht="26.1" customHeight="1">
      <c r="A44" s="284" t="s">
        <v>389</v>
      </c>
      <c r="B44" s="284" t="s">
        <v>307</v>
      </c>
      <c r="C44" s="379"/>
      <c r="D44" s="379"/>
      <c r="E44" s="395"/>
      <c r="F44" s="395"/>
      <c r="G44" s="395"/>
      <c r="H44" s="395"/>
      <c r="I44" s="395"/>
      <c r="J44" s="395"/>
      <c r="K44" s="395"/>
      <c r="L44" s="336">
        <v>0</v>
      </c>
      <c r="M44" s="336">
        <v>0</v>
      </c>
      <c r="N44" s="336">
        <v>0</v>
      </c>
      <c r="O44" s="379"/>
      <c r="P44" s="379"/>
      <c r="Q44" s="403">
        <v>0</v>
      </c>
      <c r="R44" s="334">
        <f t="shared" si="0"/>
        <v>0</v>
      </c>
    </row>
    <row r="45" spans="1:18" ht="26.1" customHeight="1">
      <c r="A45" s="284" t="s">
        <v>388</v>
      </c>
      <c r="B45" s="284" t="s">
        <v>821</v>
      </c>
      <c r="C45" s="379"/>
      <c r="D45" s="379"/>
      <c r="E45" s="395"/>
      <c r="F45" s="395"/>
      <c r="G45" s="395"/>
      <c r="H45" s="395"/>
      <c r="I45" s="395"/>
      <c r="J45" s="395"/>
      <c r="K45" s="395"/>
      <c r="L45" s="336">
        <v>0</v>
      </c>
      <c r="M45" s="336">
        <v>0</v>
      </c>
      <c r="N45" s="336"/>
      <c r="O45" s="379"/>
      <c r="P45" s="379"/>
      <c r="Q45" s="403">
        <v>0</v>
      </c>
      <c r="R45" s="334">
        <f t="shared" si="0"/>
        <v>0</v>
      </c>
    </row>
    <row r="46" spans="1:18" ht="26.1" customHeight="1">
      <c r="A46" s="284" t="s">
        <v>295</v>
      </c>
      <c r="B46" s="284" t="s">
        <v>176</v>
      </c>
      <c r="C46" s="379"/>
      <c r="D46" s="379"/>
      <c r="E46" s="395"/>
      <c r="F46" s="395"/>
      <c r="G46" s="395"/>
      <c r="H46" s="395"/>
      <c r="I46" s="395"/>
      <c r="J46" s="395"/>
      <c r="K46" s="395"/>
      <c r="L46" s="479">
        <v>60000000</v>
      </c>
      <c r="M46" s="479">
        <f>60000000</f>
        <v>60000000</v>
      </c>
      <c r="N46" s="480">
        <v>0</v>
      </c>
      <c r="O46" s="379"/>
      <c r="P46" s="379"/>
      <c r="Q46" s="480">
        <v>0</v>
      </c>
      <c r="R46" s="334">
        <f t="shared" si="0"/>
        <v>0</v>
      </c>
    </row>
    <row r="47" spans="1:18" ht="26.1" customHeight="1">
      <c r="A47" s="284" t="s">
        <v>296</v>
      </c>
      <c r="B47" s="284" t="s">
        <v>177</v>
      </c>
      <c r="C47" s="379"/>
      <c r="D47" s="379"/>
      <c r="E47" s="395"/>
      <c r="F47" s="395"/>
      <c r="G47" s="395"/>
      <c r="H47" s="395"/>
      <c r="I47" s="395"/>
      <c r="J47" s="395"/>
      <c r="K47" s="395"/>
      <c r="L47" s="479">
        <v>140000000</v>
      </c>
      <c r="M47" s="479">
        <f>140000000</f>
        <v>140000000</v>
      </c>
      <c r="N47" s="480">
        <v>0</v>
      </c>
      <c r="O47" s="379"/>
      <c r="P47" s="379"/>
      <c r="Q47" s="480">
        <v>0</v>
      </c>
      <c r="R47" s="334">
        <f t="shared" si="0"/>
        <v>0</v>
      </c>
    </row>
    <row r="48" spans="1:18" ht="26.1" customHeight="1">
      <c r="A48" s="284"/>
      <c r="B48" s="292" t="s">
        <v>119</v>
      </c>
      <c r="C48" s="379"/>
      <c r="D48" s="379"/>
      <c r="E48" s="395"/>
      <c r="F48" s="395"/>
      <c r="G48" s="395"/>
      <c r="H48" s="395"/>
      <c r="I48" s="395"/>
      <c r="J48" s="395"/>
      <c r="K48" s="395"/>
      <c r="L48" s="482">
        <f>SUM(L46:L47)</f>
        <v>200000000</v>
      </c>
      <c r="M48" s="482">
        <f>SUM(M46:M47)</f>
        <v>200000000</v>
      </c>
      <c r="N48" s="483">
        <f>SUM(N46:N47)</f>
        <v>0</v>
      </c>
      <c r="O48" s="379"/>
      <c r="P48" s="379"/>
      <c r="Q48" s="483">
        <f>SUM(Q44:Q47)</f>
        <v>0</v>
      </c>
      <c r="R48" s="334">
        <f t="shared" si="0"/>
        <v>0</v>
      </c>
    </row>
    <row r="49" spans="1:18" ht="26.1" customHeight="1">
      <c r="A49" s="284"/>
      <c r="B49" s="292" t="s">
        <v>42</v>
      </c>
      <c r="C49" s="379"/>
      <c r="D49" s="379"/>
      <c r="E49" s="395"/>
      <c r="F49" s="395"/>
      <c r="G49" s="395"/>
      <c r="H49" s="395"/>
      <c r="I49" s="395"/>
      <c r="J49" s="395"/>
      <c r="K49" s="395"/>
      <c r="L49" s="465">
        <f>L48+L41+L36+L26+L7</f>
        <v>33082078053</v>
      </c>
      <c r="M49" s="465">
        <f>M48+M41+M36+M26+M7</f>
        <v>65987778363</v>
      </c>
      <c r="N49" s="465">
        <f>N48+N41+N36+N26+N7</f>
        <v>59808328123</v>
      </c>
      <c r="O49" s="379"/>
      <c r="P49" s="379"/>
      <c r="Q49" s="465">
        <f>Q48+Q41+Q36+Q26+Q7</f>
        <v>60638328123</v>
      </c>
      <c r="R49" s="402">
        <f t="shared" si="0"/>
        <v>830000000</v>
      </c>
    </row>
  </sheetData>
  <phoneticPr fontId="0" type="noConversion"/>
  <printOptions gridLines="1"/>
  <pageMargins left="0.76" right="0.36" top="0.73" bottom="0.46" header="0.19" footer="0.17"/>
  <pageSetup scale="55" orientation="portrait" r:id="rId1"/>
  <headerFooter alignWithMargins="0">
    <oddHeader xml:space="preserve">&amp;C&amp;"Algerian,Bold"&amp;34Ciidanka Booliska </oddHeader>
    <oddFooter>&amp;C4Askari ayaa lagasaaray oo lageeyay ciidanka madaxtooyada&amp;R&amp;"Times New Roman,Bold"&amp;14 &amp;16 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60" zoomScaleNormal="75" zoomScalePageLayoutView="70" workbookViewId="0">
      <selection sqref="A1:XFD1048576"/>
    </sheetView>
  </sheetViews>
  <sheetFormatPr defaultRowHeight="32.1" customHeight="1"/>
  <cols>
    <col min="1" max="1" width="18.1640625" style="489" bestFit="1" customWidth="1"/>
    <col min="2" max="2" width="80.1640625" style="489" customWidth="1"/>
    <col min="3" max="5" width="20" style="489" hidden="1" customWidth="1"/>
    <col min="6" max="6" width="7.1640625" style="489" hidden="1" customWidth="1"/>
    <col min="7" max="7" width="21.5" style="489" hidden="1" customWidth="1"/>
    <col min="8" max="8" width="25.33203125" style="489" hidden="1" customWidth="1"/>
    <col min="9" max="9" width="27.6640625" style="489" hidden="1" customWidth="1"/>
    <col min="10" max="11" width="35" style="489" bestFit="1" customWidth="1"/>
    <col min="12" max="12" width="32.5" style="489" bestFit="1" customWidth="1"/>
    <col min="13" max="16384" width="9.33203125" style="489"/>
  </cols>
  <sheetData>
    <row r="1" spans="1:15" ht="32.1" customHeight="1">
      <c r="A1" s="486" t="s">
        <v>45</v>
      </c>
      <c r="B1" s="487" t="s">
        <v>873</v>
      </c>
      <c r="C1" s="486"/>
      <c r="D1" s="486"/>
      <c r="E1" s="486"/>
      <c r="F1" s="486"/>
      <c r="G1" s="486"/>
      <c r="H1" s="486"/>
      <c r="I1" s="486"/>
      <c r="J1" s="488"/>
      <c r="K1" s="488"/>
      <c r="L1" s="488"/>
    </row>
    <row r="2" spans="1:15" ht="32.1" customHeight="1">
      <c r="A2" s="486" t="s">
        <v>28</v>
      </c>
      <c r="B2" s="486" t="s">
        <v>29</v>
      </c>
      <c r="C2" s="490" t="s">
        <v>64</v>
      </c>
      <c r="D2" s="490" t="s">
        <v>71</v>
      </c>
      <c r="E2" s="490" t="s">
        <v>130</v>
      </c>
      <c r="F2" s="490" t="s">
        <v>135</v>
      </c>
      <c r="G2" s="490" t="s">
        <v>143</v>
      </c>
      <c r="H2" s="490" t="s">
        <v>180</v>
      </c>
      <c r="I2" s="490" t="s">
        <v>297</v>
      </c>
      <c r="J2" s="490" t="s">
        <v>641</v>
      </c>
      <c r="K2" s="490" t="s">
        <v>1103</v>
      </c>
      <c r="L2" s="490" t="s">
        <v>63</v>
      </c>
    </row>
    <row r="3" spans="1:15" ht="32.1" customHeight="1">
      <c r="A3" s="491" t="s">
        <v>248</v>
      </c>
      <c r="B3" s="491" t="s">
        <v>165</v>
      </c>
      <c r="C3" s="488"/>
      <c r="D3" s="488"/>
      <c r="E3" s="488"/>
      <c r="F3" s="488"/>
      <c r="G3" s="488"/>
      <c r="H3" s="492"/>
      <c r="I3" s="492"/>
      <c r="J3" s="488"/>
      <c r="K3" s="488"/>
      <c r="L3" s="488"/>
    </row>
    <row r="4" spans="1:15" ht="32.1" customHeight="1">
      <c r="A4" s="491" t="s">
        <v>249</v>
      </c>
      <c r="B4" s="491" t="s">
        <v>250</v>
      </c>
      <c r="C4" s="339">
        <v>0</v>
      </c>
      <c r="D4" s="339">
        <v>736848000</v>
      </c>
      <c r="E4" s="339">
        <v>957902400</v>
      </c>
      <c r="F4" s="339">
        <v>1037462400</v>
      </c>
      <c r="G4" s="339">
        <v>1037462400</v>
      </c>
      <c r="H4" s="339"/>
      <c r="I4" s="339"/>
      <c r="J4" s="339"/>
      <c r="K4" s="339"/>
      <c r="L4" s="339"/>
    </row>
    <row r="5" spans="1:15" ht="32.1" customHeight="1">
      <c r="A5" s="339" t="s">
        <v>247</v>
      </c>
      <c r="B5" s="339" t="s">
        <v>702</v>
      </c>
      <c r="C5" s="339">
        <v>0</v>
      </c>
      <c r="D5" s="339">
        <f>66980000+41510500</f>
        <v>108490500</v>
      </c>
      <c r="E5" s="339">
        <v>105409500</v>
      </c>
      <c r="F5" s="339">
        <v>105409500</v>
      </c>
      <c r="G5" s="339">
        <v>0</v>
      </c>
      <c r="H5" s="339">
        <v>1037462400</v>
      </c>
      <c r="I5" s="339">
        <v>3914352000</v>
      </c>
      <c r="J5" s="339">
        <v>3914352000</v>
      </c>
      <c r="K5" s="339">
        <v>4041648000</v>
      </c>
      <c r="L5" s="339">
        <f>K5-J5</f>
        <v>127296000</v>
      </c>
    </row>
    <row r="6" spans="1:15" ht="32.1" customHeight="1">
      <c r="A6" s="339" t="s">
        <v>251</v>
      </c>
      <c r="B6" s="339" t="s">
        <v>33</v>
      </c>
      <c r="C6" s="339">
        <v>0</v>
      </c>
      <c r="D6" s="339">
        <v>66008000</v>
      </c>
      <c r="E6" s="339">
        <v>66008000</v>
      </c>
      <c r="F6" s="339">
        <v>66008000</v>
      </c>
      <c r="G6" s="339">
        <v>108409500</v>
      </c>
      <c r="H6" s="339">
        <v>0</v>
      </c>
      <c r="I6" s="339">
        <v>0</v>
      </c>
      <c r="J6" s="339">
        <v>0</v>
      </c>
      <c r="K6" s="339">
        <v>0</v>
      </c>
      <c r="L6" s="339">
        <f t="shared" ref="L6:L43" si="0">K6-J6</f>
        <v>0</v>
      </c>
    </row>
    <row r="7" spans="1:15" ht="32.1" customHeight="1">
      <c r="A7" s="339" t="s">
        <v>252</v>
      </c>
      <c r="B7" s="339" t="s">
        <v>34</v>
      </c>
      <c r="C7" s="339"/>
      <c r="D7" s="339"/>
      <c r="E7" s="339"/>
      <c r="F7" s="339"/>
      <c r="G7" s="339">
        <f>24000000+66008000</f>
        <v>90008000</v>
      </c>
      <c r="H7" s="339">
        <v>108409500</v>
      </c>
      <c r="I7" s="339">
        <f>108409500</f>
        <v>108409500</v>
      </c>
      <c r="J7" s="339">
        <f>108409500</f>
        <v>108409500</v>
      </c>
      <c r="K7" s="339">
        <v>108409500</v>
      </c>
      <c r="L7" s="339">
        <f t="shared" si="0"/>
        <v>0</v>
      </c>
    </row>
    <row r="8" spans="1:15" ht="32.1" customHeight="1">
      <c r="A8" s="339" t="s">
        <v>254</v>
      </c>
      <c r="B8" s="339" t="s">
        <v>664</v>
      </c>
      <c r="C8" s="339">
        <v>0</v>
      </c>
      <c r="D8" s="339">
        <v>0</v>
      </c>
      <c r="E8" s="339">
        <v>0</v>
      </c>
      <c r="F8" s="339">
        <v>0</v>
      </c>
      <c r="G8" s="491">
        <f>SUM(G4:G7)</f>
        <v>1235879900</v>
      </c>
      <c r="H8" s="339">
        <v>90008000</v>
      </c>
      <c r="I8" s="339">
        <v>282000000</v>
      </c>
      <c r="J8" s="339">
        <v>282000000</v>
      </c>
      <c r="K8" s="339">
        <v>282000000</v>
      </c>
      <c r="L8" s="339">
        <f t="shared" si="0"/>
        <v>0</v>
      </c>
    </row>
    <row r="9" spans="1:15" ht="32.1" customHeight="1">
      <c r="A9" s="339"/>
      <c r="B9" s="491" t="s">
        <v>119</v>
      </c>
      <c r="C9" s="339">
        <v>0</v>
      </c>
      <c r="D9" s="339">
        <v>20000000</v>
      </c>
      <c r="E9" s="339">
        <v>14896000</v>
      </c>
      <c r="F9" s="339">
        <v>20000000</v>
      </c>
      <c r="G9" s="339">
        <v>22344000</v>
      </c>
      <c r="H9" s="491">
        <f>SUM(H5:H8)</f>
        <v>1235879900</v>
      </c>
      <c r="I9" s="491">
        <f>SUM(I5:I8)</f>
        <v>4304761500</v>
      </c>
      <c r="J9" s="491">
        <f>SUM(J5:J8)</f>
        <v>4304761500</v>
      </c>
      <c r="K9" s="491">
        <f>SUM(K5:K8)</f>
        <v>4432057500</v>
      </c>
      <c r="L9" s="339">
        <f t="shared" si="0"/>
        <v>127296000</v>
      </c>
    </row>
    <row r="10" spans="1:15" ht="32.1" customHeight="1">
      <c r="A10" s="491" t="s">
        <v>262</v>
      </c>
      <c r="B10" s="491" t="s">
        <v>263</v>
      </c>
      <c r="C10" s="339">
        <v>0</v>
      </c>
      <c r="D10" s="339">
        <v>0</v>
      </c>
      <c r="E10" s="339">
        <v>0</v>
      </c>
      <c r="F10" s="339">
        <v>0</v>
      </c>
      <c r="G10" s="339">
        <v>5958400</v>
      </c>
      <c r="H10" s="339"/>
      <c r="I10" s="339"/>
      <c r="J10" s="339"/>
      <c r="K10" s="339"/>
      <c r="L10" s="339">
        <f t="shared" si="0"/>
        <v>0</v>
      </c>
    </row>
    <row r="11" spans="1:15" ht="32.1" customHeight="1">
      <c r="A11" s="491" t="s">
        <v>265</v>
      </c>
      <c r="B11" s="491" t="s">
        <v>264</v>
      </c>
      <c r="C11" s="339">
        <v>0</v>
      </c>
      <c r="D11" s="339">
        <v>180755316</v>
      </c>
      <c r="E11" s="339">
        <v>180755316</v>
      </c>
      <c r="F11" s="339">
        <v>274354605</v>
      </c>
      <c r="G11" s="339">
        <v>0</v>
      </c>
      <c r="H11" s="339"/>
      <c r="I11" s="339"/>
      <c r="J11" s="339"/>
      <c r="K11" s="339"/>
      <c r="L11" s="339">
        <f t="shared" si="0"/>
        <v>0</v>
      </c>
    </row>
    <row r="12" spans="1:15" ht="32.1" customHeight="1">
      <c r="A12" s="339" t="s">
        <v>266</v>
      </c>
      <c r="B12" s="339" t="s">
        <v>38</v>
      </c>
      <c r="C12" s="339"/>
      <c r="D12" s="339">
        <v>0</v>
      </c>
      <c r="E12" s="339">
        <v>15791750</v>
      </c>
      <c r="F12" s="339">
        <v>19071000</v>
      </c>
      <c r="G12" s="339">
        <v>0</v>
      </c>
      <c r="H12" s="339">
        <v>17875200</v>
      </c>
      <c r="I12" s="339">
        <f>17875200*70%</f>
        <v>12512640</v>
      </c>
      <c r="J12" s="339">
        <f>17875200*70%</f>
        <v>12512640</v>
      </c>
      <c r="K12" s="339">
        <v>12512640</v>
      </c>
      <c r="L12" s="339">
        <f t="shared" si="0"/>
        <v>0</v>
      </c>
      <c r="M12" s="493"/>
      <c r="N12" s="493"/>
      <c r="O12" s="493"/>
    </row>
    <row r="13" spans="1:15" ht="32.1" customHeight="1">
      <c r="A13" s="339" t="s">
        <v>269</v>
      </c>
      <c r="B13" s="339" t="s">
        <v>186</v>
      </c>
      <c r="C13" s="491">
        <v>0</v>
      </c>
      <c r="D13" s="491">
        <f>SUM(D9:D12)</f>
        <v>200755316</v>
      </c>
      <c r="E13" s="491">
        <f>SUM(E9:E12)</f>
        <v>211443066</v>
      </c>
      <c r="F13" s="491">
        <f>SUM(F9:F12)</f>
        <v>313425605</v>
      </c>
      <c r="G13" s="339">
        <v>7448000</v>
      </c>
      <c r="H13" s="339">
        <v>8937600</v>
      </c>
      <c r="I13" s="339">
        <f>8937600*70%</f>
        <v>6256320</v>
      </c>
      <c r="J13" s="339">
        <f>8937600*70%</f>
        <v>6256320</v>
      </c>
      <c r="K13" s="339">
        <v>6256320</v>
      </c>
      <c r="L13" s="339">
        <f t="shared" si="0"/>
        <v>0</v>
      </c>
    </row>
    <row r="14" spans="1:15" ht="32.1" customHeight="1">
      <c r="A14" s="339" t="s">
        <v>271</v>
      </c>
      <c r="B14" s="339" t="s">
        <v>154</v>
      </c>
      <c r="C14" s="339"/>
      <c r="D14" s="339"/>
      <c r="E14" s="339"/>
      <c r="F14" s="339"/>
      <c r="G14" s="339">
        <v>80000000</v>
      </c>
      <c r="H14" s="339">
        <v>22344000</v>
      </c>
      <c r="I14" s="339">
        <f>22344000*70%</f>
        <v>15640799.999999998</v>
      </c>
      <c r="J14" s="339">
        <v>0</v>
      </c>
      <c r="K14" s="339">
        <v>0</v>
      </c>
      <c r="L14" s="339">
        <f t="shared" si="0"/>
        <v>0</v>
      </c>
    </row>
    <row r="15" spans="1:15" ht="32.1" customHeight="1">
      <c r="A15" s="339" t="s">
        <v>272</v>
      </c>
      <c r="B15" s="339" t="s">
        <v>54</v>
      </c>
      <c r="C15" s="339">
        <v>0</v>
      </c>
      <c r="D15" s="339">
        <v>25000000</v>
      </c>
      <c r="E15" s="339">
        <v>0</v>
      </c>
      <c r="F15" s="339">
        <v>0</v>
      </c>
      <c r="G15" s="491">
        <f>SUM(G9:G14)</f>
        <v>115750400</v>
      </c>
      <c r="H15" s="339">
        <v>9598400</v>
      </c>
      <c r="I15" s="339">
        <f>9598400*70%</f>
        <v>6718880</v>
      </c>
      <c r="J15" s="339">
        <f>I15*70%</f>
        <v>4703216</v>
      </c>
      <c r="K15" s="339">
        <v>4703216</v>
      </c>
      <c r="L15" s="339">
        <f t="shared" si="0"/>
        <v>0</v>
      </c>
    </row>
    <row r="16" spans="1:15" ht="32.1" customHeight="1">
      <c r="A16" s="339" t="s">
        <v>274</v>
      </c>
      <c r="B16" s="339" t="s">
        <v>164</v>
      </c>
      <c r="C16" s="339">
        <v>0</v>
      </c>
      <c r="D16" s="339">
        <v>60000000</v>
      </c>
      <c r="E16" s="339">
        <v>0</v>
      </c>
      <c r="F16" s="339">
        <v>0</v>
      </c>
      <c r="G16" s="339">
        <v>40000000</v>
      </c>
      <c r="H16" s="339">
        <v>5000000</v>
      </c>
      <c r="I16" s="339">
        <f>5000000*70%</f>
        <v>3500000</v>
      </c>
      <c r="J16" s="339">
        <f>5000000*70%</f>
        <v>3500000</v>
      </c>
      <c r="K16" s="339">
        <v>3500000</v>
      </c>
      <c r="L16" s="339">
        <f t="shared" si="0"/>
        <v>0</v>
      </c>
    </row>
    <row r="17" spans="1:12" ht="32.1" customHeight="1">
      <c r="A17" s="339" t="s">
        <v>275</v>
      </c>
      <c r="B17" s="339" t="s">
        <v>40</v>
      </c>
      <c r="C17" s="339">
        <v>0</v>
      </c>
      <c r="D17" s="339">
        <v>0</v>
      </c>
      <c r="E17" s="339">
        <v>0</v>
      </c>
      <c r="F17" s="339">
        <v>0</v>
      </c>
      <c r="G17" s="339">
        <v>300000000</v>
      </c>
      <c r="H17" s="339">
        <v>37937730</v>
      </c>
      <c r="I17" s="339">
        <f>37937730*70%</f>
        <v>26556411</v>
      </c>
      <c r="J17" s="339">
        <f>37937730*70%</f>
        <v>26556411</v>
      </c>
      <c r="K17" s="339">
        <v>26556411</v>
      </c>
      <c r="L17" s="339">
        <f t="shared" si="0"/>
        <v>0</v>
      </c>
    </row>
    <row r="18" spans="1:12" ht="32.1" customHeight="1">
      <c r="A18" s="339" t="s">
        <v>1174</v>
      </c>
      <c r="B18" s="339" t="s">
        <v>1175</v>
      </c>
      <c r="C18" s="339"/>
      <c r="D18" s="339"/>
      <c r="E18" s="339"/>
      <c r="F18" s="339"/>
      <c r="G18" s="339"/>
      <c r="H18" s="339">
        <v>0</v>
      </c>
      <c r="I18" s="339">
        <f>200000000*70%</f>
        <v>140000000</v>
      </c>
      <c r="J18" s="339">
        <v>0</v>
      </c>
      <c r="K18" s="339">
        <v>100000000</v>
      </c>
      <c r="L18" s="339">
        <f t="shared" si="0"/>
        <v>100000000</v>
      </c>
    </row>
    <row r="19" spans="1:12" ht="32.1" customHeight="1">
      <c r="A19" s="339" t="s">
        <v>321</v>
      </c>
      <c r="B19" s="339" t="s">
        <v>356</v>
      </c>
      <c r="C19" s="339">
        <v>0</v>
      </c>
      <c r="D19" s="339">
        <v>8000000</v>
      </c>
      <c r="E19" s="339">
        <v>8937600</v>
      </c>
      <c r="F19" s="339">
        <v>10000000</v>
      </c>
      <c r="G19" s="491" t="e">
        <f>SUM(#REF!)</f>
        <v>#REF!</v>
      </c>
      <c r="H19" s="339">
        <v>7448000</v>
      </c>
      <c r="I19" s="339">
        <f>7448000*70%</f>
        <v>5213600</v>
      </c>
      <c r="J19" s="339">
        <f>7448000*70%</f>
        <v>5213600</v>
      </c>
      <c r="K19" s="339">
        <v>5213600</v>
      </c>
      <c r="L19" s="339">
        <f t="shared" si="0"/>
        <v>0</v>
      </c>
    </row>
    <row r="20" spans="1:12" ht="32.1" customHeight="1">
      <c r="A20" s="339" t="s">
        <v>340</v>
      </c>
      <c r="B20" s="339" t="s">
        <v>368</v>
      </c>
      <c r="C20" s="339">
        <v>0</v>
      </c>
      <c r="D20" s="339">
        <v>0</v>
      </c>
      <c r="E20" s="339">
        <v>22344000</v>
      </c>
      <c r="F20" s="339">
        <v>26000000</v>
      </c>
      <c r="G20" s="339">
        <v>57692952</v>
      </c>
      <c r="H20" s="339">
        <v>40000000</v>
      </c>
      <c r="I20" s="339">
        <f>40000000*70%</f>
        <v>28000000</v>
      </c>
      <c r="J20" s="339">
        <f>I20</f>
        <v>28000000</v>
      </c>
      <c r="K20" s="339">
        <v>28000000</v>
      </c>
      <c r="L20" s="339">
        <f t="shared" si="0"/>
        <v>0</v>
      </c>
    </row>
    <row r="21" spans="1:12" ht="32.1" customHeight="1">
      <c r="A21" s="339"/>
      <c r="B21" s="491" t="s">
        <v>119</v>
      </c>
      <c r="C21" s="339">
        <v>0</v>
      </c>
      <c r="D21" s="339">
        <v>8000000</v>
      </c>
      <c r="E21" s="339">
        <v>5958400</v>
      </c>
      <c r="F21" s="339">
        <v>10000000</v>
      </c>
      <c r="G21" s="339">
        <v>0</v>
      </c>
      <c r="H21" s="491">
        <f>SUM(H12:H20)</f>
        <v>149140930</v>
      </c>
      <c r="I21" s="491">
        <f>SUM(I12:I20)</f>
        <v>244398651</v>
      </c>
      <c r="J21" s="491">
        <f>SUM(J12:J20)</f>
        <v>86742187</v>
      </c>
      <c r="K21" s="491">
        <f>SUM(K12:K20)</f>
        <v>186742187</v>
      </c>
      <c r="L21" s="339">
        <f t="shared" si="0"/>
        <v>100000000</v>
      </c>
    </row>
    <row r="22" spans="1:12" ht="32.1" customHeight="1">
      <c r="A22" s="491" t="s">
        <v>279</v>
      </c>
      <c r="B22" s="491" t="s">
        <v>278</v>
      </c>
      <c r="C22" s="339">
        <v>0</v>
      </c>
      <c r="D22" s="339">
        <v>0</v>
      </c>
      <c r="E22" s="339">
        <v>0</v>
      </c>
      <c r="F22" s="339">
        <v>0</v>
      </c>
      <c r="G22" s="339">
        <v>0</v>
      </c>
      <c r="H22" s="339"/>
      <c r="I22" s="339"/>
      <c r="J22" s="339"/>
      <c r="K22" s="339"/>
      <c r="L22" s="339">
        <f t="shared" si="0"/>
        <v>0</v>
      </c>
    </row>
    <row r="23" spans="1:12" ht="32.1" customHeight="1">
      <c r="A23" s="339" t="s">
        <v>280</v>
      </c>
      <c r="B23" s="339" t="s">
        <v>160</v>
      </c>
      <c r="C23" s="339">
        <v>0</v>
      </c>
      <c r="D23" s="339">
        <v>0</v>
      </c>
      <c r="E23" s="339">
        <v>0</v>
      </c>
      <c r="F23" s="339">
        <v>0</v>
      </c>
      <c r="G23" s="491">
        <f>SUM(G20:G22)</f>
        <v>57692952</v>
      </c>
      <c r="H23" s="339">
        <v>40000000</v>
      </c>
      <c r="I23" s="339">
        <f>108000000*70%</f>
        <v>75600000</v>
      </c>
      <c r="J23" s="339">
        <f>108000000*70%</f>
        <v>75600000</v>
      </c>
      <c r="K23" s="339">
        <v>75600000</v>
      </c>
      <c r="L23" s="339">
        <f t="shared" si="0"/>
        <v>0</v>
      </c>
    </row>
    <row r="24" spans="1:12" ht="32.1" customHeight="1" thickBot="1">
      <c r="A24" s="339" t="s">
        <v>281</v>
      </c>
      <c r="B24" s="339" t="s">
        <v>161</v>
      </c>
      <c r="C24" s="494"/>
      <c r="D24" s="494">
        <v>0</v>
      </c>
      <c r="E24" s="494">
        <v>0</v>
      </c>
      <c r="F24" s="494">
        <v>0</v>
      </c>
      <c r="G24" s="495" t="e">
        <f>G23+G19+#REF!+G15+G8</f>
        <v>#REF!</v>
      </c>
      <c r="H24" s="339">
        <v>320000000</v>
      </c>
      <c r="I24" s="339">
        <f>450000000*70%</f>
        <v>315000000</v>
      </c>
      <c r="J24" s="339">
        <f>I24*80%</f>
        <v>252000000</v>
      </c>
      <c r="K24" s="339">
        <v>252000000</v>
      </c>
      <c r="L24" s="339">
        <f t="shared" si="0"/>
        <v>0</v>
      </c>
    </row>
    <row r="25" spans="1:12" ht="32.1" customHeight="1">
      <c r="A25" s="339" t="s">
        <v>282</v>
      </c>
      <c r="B25" s="339" t="s">
        <v>155</v>
      </c>
      <c r="C25" s="496"/>
      <c r="D25" s="496"/>
      <c r="E25" s="496"/>
      <c r="F25" s="496"/>
      <c r="G25" s="496"/>
      <c r="H25" s="339">
        <v>14896000</v>
      </c>
      <c r="I25" s="339">
        <f>14896000*70%</f>
        <v>10427200</v>
      </c>
      <c r="J25" s="339">
        <f>14896000*70%</f>
        <v>10427200</v>
      </c>
      <c r="K25" s="339">
        <v>10427200</v>
      </c>
      <c r="L25" s="339">
        <f t="shared" si="0"/>
        <v>0</v>
      </c>
    </row>
    <row r="26" spans="1:12" ht="32.1" customHeight="1">
      <c r="A26" s="339" t="s">
        <v>316</v>
      </c>
      <c r="B26" s="339" t="s">
        <v>652</v>
      </c>
      <c r="C26" s="496"/>
      <c r="D26" s="496"/>
      <c r="E26" s="496"/>
      <c r="F26" s="496"/>
      <c r="G26" s="496"/>
      <c r="H26" s="497">
        <v>305425605</v>
      </c>
      <c r="I26" s="497">
        <v>1151280000</v>
      </c>
      <c r="J26" s="497">
        <v>1151280000</v>
      </c>
      <c r="K26" s="497">
        <v>1251356400</v>
      </c>
      <c r="L26" s="339">
        <f t="shared" si="0"/>
        <v>100076400</v>
      </c>
    </row>
    <row r="27" spans="1:12" ht="32.1" customHeight="1">
      <c r="A27" s="339" t="s">
        <v>653</v>
      </c>
      <c r="B27" s="339" t="s">
        <v>654</v>
      </c>
      <c r="C27" s="496"/>
      <c r="D27" s="496"/>
      <c r="E27" s="496"/>
      <c r="F27" s="496"/>
      <c r="G27" s="496"/>
      <c r="H27" s="497"/>
      <c r="I27" s="497"/>
      <c r="J27" s="497">
        <v>140474880</v>
      </c>
      <c r="K27" s="498">
        <v>0</v>
      </c>
      <c r="L27" s="339">
        <f t="shared" si="0"/>
        <v>-140474880</v>
      </c>
    </row>
    <row r="28" spans="1:12" ht="32.1" customHeight="1">
      <c r="A28" s="339" t="s">
        <v>298</v>
      </c>
      <c r="B28" s="339" t="s">
        <v>219</v>
      </c>
      <c r="C28" s="339">
        <v>0</v>
      </c>
      <c r="D28" s="339">
        <v>0</v>
      </c>
      <c r="E28" s="339">
        <v>0</v>
      </c>
      <c r="F28" s="339">
        <v>0</v>
      </c>
      <c r="G28" s="339"/>
      <c r="H28" s="339">
        <v>22344000</v>
      </c>
      <c r="I28" s="339">
        <f>22344000*70%</f>
        <v>15640799.999999998</v>
      </c>
      <c r="J28" s="339">
        <f>22344000*70%</f>
        <v>15640799.999999998</v>
      </c>
      <c r="K28" s="339">
        <v>15640799.999999998</v>
      </c>
      <c r="L28" s="339">
        <f t="shared" si="0"/>
        <v>0</v>
      </c>
    </row>
    <row r="29" spans="1:12" ht="32.1" customHeight="1">
      <c r="A29" s="339" t="s">
        <v>616</v>
      </c>
      <c r="B29" s="339" t="s">
        <v>315</v>
      </c>
      <c r="C29" s="496"/>
      <c r="D29" s="496"/>
      <c r="E29" s="496"/>
      <c r="F29" s="496"/>
      <c r="G29" s="496"/>
      <c r="H29" s="497">
        <v>6000000</v>
      </c>
      <c r="I29" s="497">
        <f>6000000*70%</f>
        <v>4200000</v>
      </c>
      <c r="J29" s="497">
        <f>6000000*70%</f>
        <v>4200000</v>
      </c>
      <c r="K29" s="497">
        <v>4200000</v>
      </c>
      <c r="L29" s="339">
        <f t="shared" si="0"/>
        <v>0</v>
      </c>
    </row>
    <row r="30" spans="1:12" ht="32.1" customHeight="1">
      <c r="A30" s="339" t="s">
        <v>445</v>
      </c>
      <c r="B30" s="339" t="s">
        <v>449</v>
      </c>
      <c r="C30" s="496"/>
      <c r="D30" s="496"/>
      <c r="E30" s="496"/>
      <c r="F30" s="496"/>
      <c r="G30" s="496"/>
      <c r="H30" s="497">
        <v>0</v>
      </c>
      <c r="I30" s="497">
        <v>100000000</v>
      </c>
      <c r="J30" s="498">
        <v>0</v>
      </c>
      <c r="K30" s="498">
        <v>0</v>
      </c>
      <c r="L30" s="339">
        <f t="shared" si="0"/>
        <v>0</v>
      </c>
    </row>
    <row r="31" spans="1:12" ht="32.1" customHeight="1">
      <c r="A31" s="339"/>
      <c r="B31" s="491" t="s">
        <v>119</v>
      </c>
      <c r="C31" s="496"/>
      <c r="D31" s="496"/>
      <c r="E31" s="496"/>
      <c r="F31" s="496"/>
      <c r="G31" s="496"/>
      <c r="H31" s="499">
        <f>SUM(H23:H30)</f>
        <v>708665605</v>
      </c>
      <c r="I31" s="499">
        <f>SUM(I23:I30)</f>
        <v>1672148000</v>
      </c>
      <c r="J31" s="499">
        <f>SUM(J23:J30)</f>
        <v>1649622880</v>
      </c>
      <c r="K31" s="499">
        <f>SUM(K23:K30)</f>
        <v>1609224400</v>
      </c>
      <c r="L31" s="339">
        <f t="shared" si="0"/>
        <v>-40398480</v>
      </c>
    </row>
    <row r="32" spans="1:12" ht="32.1" customHeight="1">
      <c r="A32" s="491" t="s">
        <v>285</v>
      </c>
      <c r="B32" s="491" t="s">
        <v>158</v>
      </c>
      <c r="C32" s="496"/>
      <c r="D32" s="496"/>
      <c r="E32" s="496"/>
      <c r="F32" s="496"/>
      <c r="G32" s="496"/>
      <c r="H32" s="488"/>
      <c r="I32" s="488"/>
      <c r="J32" s="488"/>
      <c r="K32" s="488"/>
      <c r="L32" s="339">
        <f t="shared" si="0"/>
        <v>0</v>
      </c>
    </row>
    <row r="33" spans="1:12" ht="32.1" customHeight="1">
      <c r="A33" s="339" t="s">
        <v>286</v>
      </c>
      <c r="B33" s="339" t="s">
        <v>55</v>
      </c>
      <c r="C33" s="496"/>
      <c r="D33" s="496"/>
      <c r="E33" s="496"/>
      <c r="F33" s="496"/>
      <c r="G33" s="496"/>
      <c r="H33" s="500">
        <v>67692952</v>
      </c>
      <c r="I33" s="500">
        <f>67692952*70%</f>
        <v>47385066.399999999</v>
      </c>
      <c r="J33" s="500">
        <f>67692952*70%</f>
        <v>47385066.399999999</v>
      </c>
      <c r="K33" s="500">
        <v>47385066.399999999</v>
      </c>
      <c r="L33" s="339">
        <f t="shared" si="0"/>
        <v>0</v>
      </c>
    </row>
    <row r="34" spans="1:12" ht="32.1" customHeight="1">
      <c r="A34" s="339" t="s">
        <v>288</v>
      </c>
      <c r="B34" s="339" t="s">
        <v>287</v>
      </c>
      <c r="C34" s="496"/>
      <c r="D34" s="496"/>
      <c r="E34" s="496"/>
      <c r="F34" s="496"/>
      <c r="G34" s="496"/>
      <c r="H34" s="491">
        <v>0</v>
      </c>
      <c r="I34" s="491">
        <v>0</v>
      </c>
      <c r="J34" s="491">
        <v>0</v>
      </c>
      <c r="K34" s="491">
        <v>0</v>
      </c>
      <c r="L34" s="339">
        <f t="shared" si="0"/>
        <v>0</v>
      </c>
    </row>
    <row r="35" spans="1:12" ht="32.1" customHeight="1">
      <c r="A35" s="339"/>
      <c r="B35" s="491" t="s">
        <v>119</v>
      </c>
      <c r="C35" s="496"/>
      <c r="D35" s="496"/>
      <c r="E35" s="496"/>
      <c r="F35" s="496"/>
      <c r="G35" s="496"/>
      <c r="H35" s="501">
        <f>SUM(H33:H34)</f>
        <v>67692952</v>
      </c>
      <c r="I35" s="501">
        <f>SUM(I33:I34)</f>
        <v>47385066.399999999</v>
      </c>
      <c r="J35" s="501">
        <f>SUM(J33:J34)</f>
        <v>47385066.399999999</v>
      </c>
      <c r="K35" s="501">
        <f>SUM(K33:K34)</f>
        <v>47385066.399999999</v>
      </c>
      <c r="L35" s="339">
        <f t="shared" si="0"/>
        <v>0</v>
      </c>
    </row>
    <row r="36" spans="1:12" ht="32.1" customHeight="1">
      <c r="A36" s="491" t="s">
        <v>293</v>
      </c>
      <c r="B36" s="491" t="s">
        <v>292</v>
      </c>
      <c r="C36" s="496"/>
      <c r="D36" s="496"/>
      <c r="E36" s="496"/>
      <c r="F36" s="496"/>
      <c r="G36" s="496"/>
      <c r="H36" s="488"/>
      <c r="I36" s="488"/>
      <c r="J36" s="488"/>
      <c r="K36" s="488"/>
      <c r="L36" s="339">
        <f t="shared" si="0"/>
        <v>0</v>
      </c>
    </row>
    <row r="37" spans="1:12" ht="32.1" customHeight="1">
      <c r="A37" s="491" t="s">
        <v>294</v>
      </c>
      <c r="B37" s="491" t="s">
        <v>291</v>
      </c>
      <c r="C37" s="496"/>
      <c r="D37" s="496"/>
      <c r="E37" s="496"/>
      <c r="F37" s="496"/>
      <c r="G37" s="496"/>
      <c r="H37" s="488"/>
      <c r="I37" s="488"/>
      <c r="J37" s="488"/>
      <c r="K37" s="488"/>
      <c r="L37" s="339">
        <f t="shared" si="0"/>
        <v>0</v>
      </c>
    </row>
    <row r="38" spans="1:12" ht="32.1" customHeight="1">
      <c r="A38" s="339" t="s">
        <v>389</v>
      </c>
      <c r="B38" s="339" t="s">
        <v>307</v>
      </c>
      <c r="C38" s="496"/>
      <c r="D38" s="496"/>
      <c r="E38" s="496"/>
      <c r="F38" s="496"/>
      <c r="G38" s="496"/>
      <c r="H38" s="491">
        <v>0</v>
      </c>
      <c r="I38" s="491">
        <v>0</v>
      </c>
      <c r="J38" s="491">
        <v>0</v>
      </c>
      <c r="K38" s="491">
        <v>0</v>
      </c>
      <c r="L38" s="339">
        <f t="shared" si="0"/>
        <v>0</v>
      </c>
    </row>
    <row r="39" spans="1:12" ht="32.1" customHeight="1">
      <c r="A39" s="339" t="s">
        <v>388</v>
      </c>
      <c r="B39" s="339" t="s">
        <v>728</v>
      </c>
      <c r="C39" s="496"/>
      <c r="D39" s="496"/>
      <c r="E39" s="496"/>
      <c r="F39" s="496"/>
      <c r="G39" s="496"/>
      <c r="H39" s="491">
        <v>0</v>
      </c>
      <c r="I39" s="339">
        <f>16000*2*6000*70%</f>
        <v>134400000</v>
      </c>
      <c r="J39" s="339">
        <v>198000000</v>
      </c>
      <c r="K39" s="339"/>
      <c r="L39" s="339">
        <f t="shared" si="0"/>
        <v>-198000000</v>
      </c>
    </row>
    <row r="40" spans="1:12" ht="32.1" customHeight="1">
      <c r="A40" s="339" t="s">
        <v>295</v>
      </c>
      <c r="B40" s="339" t="s">
        <v>176</v>
      </c>
      <c r="C40" s="496"/>
      <c r="D40" s="496"/>
      <c r="E40" s="496"/>
      <c r="F40" s="496"/>
      <c r="G40" s="496"/>
      <c r="H40" s="491">
        <v>0</v>
      </c>
      <c r="I40" s="491">
        <v>0</v>
      </c>
      <c r="J40" s="491">
        <v>0</v>
      </c>
      <c r="K40" s="491">
        <v>0</v>
      </c>
      <c r="L40" s="339">
        <f t="shared" si="0"/>
        <v>0</v>
      </c>
    </row>
    <row r="41" spans="1:12" ht="32.1" customHeight="1">
      <c r="A41" s="339" t="s">
        <v>296</v>
      </c>
      <c r="B41" s="339" t="s">
        <v>177</v>
      </c>
      <c r="C41" s="496"/>
      <c r="D41" s="496"/>
      <c r="E41" s="496"/>
      <c r="F41" s="496"/>
      <c r="G41" s="496"/>
      <c r="H41" s="491">
        <v>0</v>
      </c>
      <c r="I41" s="491">
        <v>0</v>
      </c>
      <c r="J41" s="491">
        <v>0</v>
      </c>
      <c r="K41" s="491">
        <v>0</v>
      </c>
      <c r="L41" s="339">
        <f t="shared" si="0"/>
        <v>0</v>
      </c>
    </row>
    <row r="42" spans="1:12" ht="32.1" customHeight="1">
      <c r="A42" s="339"/>
      <c r="B42" s="491" t="s">
        <v>119</v>
      </c>
      <c r="C42" s="496"/>
      <c r="D42" s="496"/>
      <c r="E42" s="496"/>
      <c r="F42" s="496"/>
      <c r="G42" s="496"/>
      <c r="H42" s="491">
        <v>0</v>
      </c>
      <c r="I42" s="491">
        <f>SUM(I38:I41)</f>
        <v>134400000</v>
      </c>
      <c r="J42" s="491">
        <f>SUM(J38:J41)</f>
        <v>198000000</v>
      </c>
      <c r="K42" s="491">
        <f>SUM(K38:K41)</f>
        <v>0</v>
      </c>
      <c r="L42" s="339">
        <f t="shared" si="0"/>
        <v>-198000000</v>
      </c>
    </row>
    <row r="43" spans="1:12" ht="32.1" customHeight="1">
      <c r="A43" s="339"/>
      <c r="B43" s="491" t="s">
        <v>42</v>
      </c>
      <c r="C43" s="496"/>
      <c r="D43" s="496"/>
      <c r="E43" s="496"/>
      <c r="F43" s="496"/>
      <c r="G43" s="496"/>
      <c r="H43" s="499">
        <f>H35+H31+H21+H9</f>
        <v>2161379387</v>
      </c>
      <c r="I43" s="499">
        <f>I42+I35+I31+I21+I9</f>
        <v>6403093217.3999996</v>
      </c>
      <c r="J43" s="499">
        <f>J42+J35+J31+J21+J9</f>
        <v>6286511633.3999996</v>
      </c>
      <c r="K43" s="499">
        <f>K42+K35+K31+K21+K9</f>
        <v>6275409153.3999996</v>
      </c>
      <c r="L43" s="339">
        <f t="shared" si="0"/>
        <v>-11102480</v>
      </c>
    </row>
  </sheetData>
  <phoneticPr fontId="0" type="noConversion"/>
  <pageMargins left="0.68" right="0.32" top="0.89" bottom="0.5" header="0.32" footer="0.26"/>
  <pageSetup scale="50" orientation="portrait" r:id="rId1"/>
  <headerFooter alignWithMargins="0">
    <oddHeader>&amp;C&amp;"Arial Narrow,Bold"&amp;24CIIDANKA ILLAALADDA XEEBAHA.</oddHeader>
    <oddFooter>&amp;R&amp;"Times New Roman,Bold"&amp;14 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60" workbookViewId="0">
      <selection sqref="A1:XFD1048576"/>
    </sheetView>
  </sheetViews>
  <sheetFormatPr defaultRowHeight="33.950000000000003" customHeight="1"/>
  <cols>
    <col min="1" max="1" width="20.5" style="489" bestFit="1" customWidth="1"/>
    <col min="2" max="2" width="92" style="489" customWidth="1"/>
    <col min="3" max="11" width="9.33203125" style="489" hidden="1" customWidth="1"/>
    <col min="12" max="12" width="0.1640625" style="489" hidden="1" customWidth="1"/>
    <col min="13" max="13" width="31" style="489" hidden="1" customWidth="1"/>
    <col min="14" max="15" width="24.5" style="503" bestFit="1" customWidth="1"/>
    <col min="16" max="16" width="22.5" style="503" bestFit="1" customWidth="1"/>
    <col min="17" max="16384" width="9.33203125" style="489"/>
  </cols>
  <sheetData>
    <row r="1" spans="1:16" ht="33.950000000000003" customHeight="1">
      <c r="A1" s="378" t="s">
        <v>45</v>
      </c>
      <c r="B1" s="443" t="s">
        <v>874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284"/>
      <c r="O1" s="284"/>
      <c r="P1" s="284"/>
    </row>
    <row r="2" spans="1:16" ht="33.950000000000003" customHeight="1">
      <c r="A2" s="378" t="s">
        <v>28</v>
      </c>
      <c r="B2" s="443" t="s">
        <v>29</v>
      </c>
      <c r="C2" s="378" t="s">
        <v>43</v>
      </c>
      <c r="D2" s="378" t="s">
        <v>2</v>
      </c>
      <c r="E2" s="378" t="s">
        <v>48</v>
      </c>
      <c r="F2" s="378" t="s">
        <v>52</v>
      </c>
      <c r="G2" s="378" t="s">
        <v>52</v>
      </c>
      <c r="H2" s="378" t="s">
        <v>62</v>
      </c>
      <c r="I2" s="378" t="s">
        <v>69</v>
      </c>
      <c r="J2" s="378" t="s">
        <v>130</v>
      </c>
      <c r="K2" s="378" t="s">
        <v>144</v>
      </c>
      <c r="L2" s="378" t="s">
        <v>180</v>
      </c>
      <c r="M2" s="378" t="s">
        <v>297</v>
      </c>
      <c r="N2" s="271" t="s">
        <v>644</v>
      </c>
      <c r="O2" s="271" t="s">
        <v>1111</v>
      </c>
      <c r="P2" s="271" t="s">
        <v>63</v>
      </c>
    </row>
    <row r="3" spans="1:16" ht="33.950000000000003" customHeight="1">
      <c r="A3" s="292" t="s">
        <v>248</v>
      </c>
      <c r="B3" s="292" t="s">
        <v>165</v>
      </c>
      <c r="C3" s="335"/>
      <c r="D3" s="335"/>
      <c r="E3" s="335"/>
      <c r="F3" s="335"/>
      <c r="G3" s="335" t="s">
        <v>4</v>
      </c>
      <c r="H3" s="335"/>
      <c r="I3" s="335"/>
      <c r="J3" s="335"/>
      <c r="K3" s="335"/>
      <c r="L3" s="335"/>
      <c r="M3" s="335"/>
      <c r="N3" s="284"/>
      <c r="O3" s="284"/>
      <c r="P3" s="284"/>
    </row>
    <row r="4" spans="1:16" ht="33.950000000000003" customHeight="1">
      <c r="A4" s="292" t="s">
        <v>249</v>
      </c>
      <c r="B4" s="292" t="s">
        <v>250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336"/>
      <c r="N4" s="284"/>
      <c r="O4" s="284"/>
      <c r="P4" s="284"/>
    </row>
    <row r="5" spans="1:16" ht="33.950000000000003" customHeight="1">
      <c r="A5" s="284" t="s">
        <v>247</v>
      </c>
      <c r="B5" s="284" t="s">
        <v>371</v>
      </c>
      <c r="C5" s="284"/>
      <c r="D5" s="284"/>
      <c r="E5" s="284"/>
      <c r="F5" s="284"/>
      <c r="G5" s="284"/>
      <c r="H5" s="284"/>
      <c r="I5" s="284"/>
      <c r="J5" s="284"/>
      <c r="K5" s="284"/>
      <c r="L5" s="284">
        <v>0</v>
      </c>
      <c r="M5" s="284">
        <v>0</v>
      </c>
      <c r="N5" s="284">
        <v>43640000</v>
      </c>
      <c r="O5" s="284">
        <v>63928800</v>
      </c>
      <c r="P5" s="284">
        <f>O5-N5</f>
        <v>20288800</v>
      </c>
    </row>
    <row r="6" spans="1:16" ht="33.950000000000003" customHeight="1">
      <c r="A6" s="284" t="s">
        <v>251</v>
      </c>
      <c r="B6" s="284" t="s">
        <v>33</v>
      </c>
      <c r="C6" s="284"/>
      <c r="D6" s="284"/>
      <c r="E6" s="284"/>
      <c r="F6" s="284"/>
      <c r="G6" s="284"/>
      <c r="H6" s="284"/>
      <c r="I6" s="284"/>
      <c r="J6" s="284"/>
      <c r="K6" s="284"/>
      <c r="L6" s="284">
        <v>191400000</v>
      </c>
      <c r="M6" s="284">
        <f>56820000+10920000</f>
        <v>67740000</v>
      </c>
      <c r="N6" s="284">
        <v>150000000</v>
      </c>
      <c r="O6" s="284">
        <v>126000000</v>
      </c>
      <c r="P6" s="284">
        <f t="shared" ref="P6:P42" si="0">O6-N6</f>
        <v>-24000000</v>
      </c>
    </row>
    <row r="7" spans="1:16" ht="33.950000000000003" customHeight="1">
      <c r="A7" s="284" t="s">
        <v>252</v>
      </c>
      <c r="B7" s="284" t="s">
        <v>679</v>
      </c>
      <c r="C7" s="284"/>
      <c r="D7" s="284"/>
      <c r="E7" s="284"/>
      <c r="F7" s="284"/>
      <c r="G7" s="284"/>
      <c r="H7" s="284"/>
      <c r="I7" s="284"/>
      <c r="J7" s="284"/>
      <c r="K7" s="284"/>
      <c r="L7" s="284">
        <v>0</v>
      </c>
      <c r="M7" s="284">
        <f>74880000*2</f>
        <v>149760000</v>
      </c>
      <c r="N7" s="284">
        <v>84000000</v>
      </c>
      <c r="O7" s="284">
        <v>74400000</v>
      </c>
      <c r="P7" s="284">
        <f t="shared" si="0"/>
        <v>-9600000</v>
      </c>
    </row>
    <row r="8" spans="1:16" ht="33.950000000000003" customHeight="1">
      <c r="A8" s="284"/>
      <c r="B8" s="292" t="s">
        <v>119</v>
      </c>
      <c r="C8" s="284"/>
      <c r="D8" s="284"/>
      <c r="E8" s="284"/>
      <c r="F8" s="284"/>
      <c r="G8" s="284"/>
      <c r="H8" s="284"/>
      <c r="I8" s="284"/>
      <c r="J8" s="284"/>
      <c r="K8" s="284"/>
      <c r="L8" s="292">
        <f>SUM(L5:L7)</f>
        <v>191400000</v>
      </c>
      <c r="M8" s="292">
        <f>SUM(M5:M7)</f>
        <v>217500000</v>
      </c>
      <c r="N8" s="292">
        <f>SUM(N5:N7)</f>
        <v>277640000</v>
      </c>
      <c r="O8" s="292">
        <f>SUM(O5:O7)</f>
        <v>264328800</v>
      </c>
      <c r="P8" s="292">
        <f t="shared" si="0"/>
        <v>-13311200</v>
      </c>
    </row>
    <row r="9" spans="1:16" ht="33.950000000000003" customHeight="1">
      <c r="A9" s="292" t="s">
        <v>262</v>
      </c>
      <c r="B9" s="292" t="s">
        <v>263</v>
      </c>
      <c r="C9" s="284"/>
      <c r="D9" s="284"/>
      <c r="E9" s="284"/>
      <c r="F9" s="284"/>
      <c r="G9" s="284"/>
      <c r="H9" s="284"/>
      <c r="I9" s="284"/>
      <c r="J9" s="284"/>
      <c r="K9" s="284"/>
      <c r="L9" s="292"/>
      <c r="M9" s="292"/>
      <c r="N9" s="292"/>
      <c r="O9" s="292"/>
      <c r="P9" s="292">
        <f t="shared" si="0"/>
        <v>0</v>
      </c>
    </row>
    <row r="10" spans="1:16" ht="33.950000000000003" customHeight="1">
      <c r="A10" s="292" t="s">
        <v>265</v>
      </c>
      <c r="B10" s="292" t="s">
        <v>264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>
        <f t="shared" si="0"/>
        <v>0</v>
      </c>
    </row>
    <row r="11" spans="1:16" ht="33.950000000000003" customHeight="1">
      <c r="A11" s="284" t="s">
        <v>266</v>
      </c>
      <c r="B11" s="284" t="s">
        <v>38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>
        <v>5000000</v>
      </c>
      <c r="M11" s="284">
        <f>10000000*70%</f>
        <v>7000000</v>
      </c>
      <c r="N11" s="284">
        <v>0</v>
      </c>
      <c r="O11" s="284">
        <v>0</v>
      </c>
      <c r="P11" s="284">
        <f t="shared" si="0"/>
        <v>0</v>
      </c>
    </row>
    <row r="12" spans="1:16" ht="33.950000000000003" customHeight="1">
      <c r="A12" s="284" t="s">
        <v>267</v>
      </c>
      <c r="B12" s="284" t="s">
        <v>152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>
        <v>3900000</v>
      </c>
      <c r="M12" s="284">
        <v>0</v>
      </c>
      <c r="N12" s="284">
        <v>0</v>
      </c>
      <c r="O12" s="284">
        <v>0</v>
      </c>
      <c r="P12" s="284">
        <f t="shared" si="0"/>
        <v>0</v>
      </c>
    </row>
    <row r="13" spans="1:16" ht="33.950000000000003" customHeight="1">
      <c r="A13" s="284" t="s">
        <v>268</v>
      </c>
      <c r="B13" s="284" t="s">
        <v>153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>
        <v>0</v>
      </c>
      <c r="M13" s="284">
        <v>0</v>
      </c>
      <c r="N13" s="284">
        <v>0</v>
      </c>
      <c r="O13" s="284">
        <v>0</v>
      </c>
      <c r="P13" s="284">
        <f t="shared" si="0"/>
        <v>0</v>
      </c>
    </row>
    <row r="14" spans="1:16" ht="33.950000000000003" customHeight="1">
      <c r="A14" s="284" t="s">
        <v>269</v>
      </c>
      <c r="B14" s="284" t="s">
        <v>186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>
        <v>3900000</v>
      </c>
      <c r="M14" s="284">
        <f>30000000*70%</f>
        <v>21000000</v>
      </c>
      <c r="N14" s="284">
        <v>7000000</v>
      </c>
      <c r="O14" s="284">
        <v>7000000</v>
      </c>
      <c r="P14" s="284">
        <f t="shared" si="0"/>
        <v>0</v>
      </c>
    </row>
    <row r="15" spans="1:16" ht="33.950000000000003" customHeight="1">
      <c r="A15" s="284" t="s">
        <v>270</v>
      </c>
      <c r="B15" s="284" t="s">
        <v>163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>
        <v>0</v>
      </c>
      <c r="M15" s="284">
        <v>0</v>
      </c>
      <c r="N15" s="284">
        <v>0</v>
      </c>
      <c r="O15" s="284">
        <v>0</v>
      </c>
      <c r="P15" s="284">
        <f t="shared" si="0"/>
        <v>0</v>
      </c>
    </row>
    <row r="16" spans="1:16" ht="33.950000000000003" customHeight="1">
      <c r="A16" s="284" t="s">
        <v>271</v>
      </c>
      <c r="B16" s="284" t="s">
        <v>154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>
        <v>0</v>
      </c>
      <c r="M16" s="284">
        <v>0</v>
      </c>
      <c r="N16" s="284">
        <v>0</v>
      </c>
      <c r="O16" s="284">
        <v>0</v>
      </c>
      <c r="P16" s="284">
        <f t="shared" si="0"/>
        <v>0</v>
      </c>
    </row>
    <row r="17" spans="1:16" ht="33.950000000000003" customHeight="1">
      <c r="A17" s="284" t="s">
        <v>272</v>
      </c>
      <c r="B17" s="284" t="s">
        <v>54</v>
      </c>
      <c r="C17" s="284"/>
      <c r="D17" s="284"/>
      <c r="E17" s="284"/>
      <c r="F17" s="284"/>
      <c r="G17" s="284"/>
      <c r="H17" s="284"/>
      <c r="I17" s="284"/>
      <c r="J17" s="284"/>
      <c r="K17" s="292"/>
      <c r="L17" s="284">
        <v>0</v>
      </c>
      <c r="M17" s="284">
        <v>0</v>
      </c>
      <c r="N17" s="284">
        <v>0</v>
      </c>
      <c r="O17" s="284">
        <v>0</v>
      </c>
      <c r="P17" s="284">
        <f t="shared" si="0"/>
        <v>0</v>
      </c>
    </row>
    <row r="18" spans="1:16" ht="33.950000000000003" customHeight="1">
      <c r="A18" s="284" t="s">
        <v>489</v>
      </c>
      <c r="B18" s="284" t="s">
        <v>552</v>
      </c>
      <c r="C18" s="284"/>
      <c r="D18" s="284"/>
      <c r="E18" s="284"/>
      <c r="F18" s="284"/>
      <c r="G18" s="284"/>
      <c r="H18" s="284"/>
      <c r="I18" s="284"/>
      <c r="J18" s="284"/>
      <c r="K18" s="292"/>
      <c r="L18" s="284"/>
      <c r="M18" s="284">
        <v>1000000</v>
      </c>
      <c r="N18" s="284">
        <v>0</v>
      </c>
      <c r="O18" s="284">
        <v>0</v>
      </c>
      <c r="P18" s="284">
        <f t="shared" si="0"/>
        <v>0</v>
      </c>
    </row>
    <row r="19" spans="1:16" ht="33.950000000000003" customHeight="1">
      <c r="A19" s="284" t="s">
        <v>275</v>
      </c>
      <c r="B19" s="284" t="s">
        <v>183</v>
      </c>
      <c r="C19" s="284"/>
      <c r="D19" s="284"/>
      <c r="E19" s="284"/>
      <c r="F19" s="284"/>
      <c r="G19" s="284"/>
      <c r="H19" s="284"/>
      <c r="I19" s="284"/>
      <c r="J19" s="284"/>
      <c r="K19" s="292"/>
      <c r="L19" s="284">
        <f>2550000+10000000</f>
        <v>12550000</v>
      </c>
      <c r="M19" s="284">
        <f>6000000*70%</f>
        <v>4200000</v>
      </c>
      <c r="N19" s="284">
        <f>M19</f>
        <v>4200000</v>
      </c>
      <c r="O19" s="284">
        <v>4200000</v>
      </c>
      <c r="P19" s="284">
        <f t="shared" si="0"/>
        <v>0</v>
      </c>
    </row>
    <row r="20" spans="1:16" ht="33.950000000000003" customHeight="1">
      <c r="A20" s="284" t="s">
        <v>302</v>
      </c>
      <c r="B20" s="284" t="s">
        <v>553</v>
      </c>
      <c r="C20" s="284"/>
      <c r="D20" s="284"/>
      <c r="E20" s="284"/>
      <c r="F20" s="284"/>
      <c r="G20" s="284"/>
      <c r="H20" s="284"/>
      <c r="I20" s="284"/>
      <c r="J20" s="284"/>
      <c r="K20" s="292"/>
      <c r="L20" s="284">
        <v>0</v>
      </c>
      <c r="M20" s="284">
        <f>10000000*70%</f>
        <v>7000000</v>
      </c>
      <c r="N20" s="284">
        <v>0</v>
      </c>
      <c r="O20" s="284">
        <v>20000000</v>
      </c>
      <c r="P20" s="284">
        <f t="shared" si="0"/>
        <v>20000000</v>
      </c>
    </row>
    <row r="21" spans="1:16" ht="33.950000000000003" customHeight="1">
      <c r="A21" s="284" t="s">
        <v>330</v>
      </c>
      <c r="B21" s="284" t="s">
        <v>554</v>
      </c>
      <c r="C21" s="284"/>
      <c r="D21" s="284"/>
      <c r="E21" s="284"/>
      <c r="F21" s="284"/>
      <c r="G21" s="284"/>
      <c r="H21" s="284"/>
      <c r="I21" s="284"/>
      <c r="J21" s="284"/>
      <c r="K21" s="292"/>
      <c r="L21" s="284">
        <v>0</v>
      </c>
      <c r="M21" s="284">
        <v>1000000</v>
      </c>
      <c r="N21" s="284">
        <v>0</v>
      </c>
      <c r="O21" s="284">
        <v>0</v>
      </c>
      <c r="P21" s="284">
        <f t="shared" si="0"/>
        <v>0</v>
      </c>
    </row>
    <row r="22" spans="1:16" ht="33.950000000000003" customHeight="1">
      <c r="A22" s="284" t="s">
        <v>733</v>
      </c>
      <c r="B22" s="284" t="s">
        <v>818</v>
      </c>
      <c r="C22" s="284"/>
      <c r="D22" s="284"/>
      <c r="E22" s="284"/>
      <c r="F22" s="284"/>
      <c r="G22" s="284"/>
      <c r="H22" s="284"/>
      <c r="I22" s="284"/>
      <c r="J22" s="284"/>
      <c r="K22" s="292"/>
      <c r="L22" s="284"/>
      <c r="M22" s="284"/>
      <c r="N22" s="284">
        <v>0</v>
      </c>
      <c r="O22" s="284">
        <v>18708200</v>
      </c>
      <c r="P22" s="284">
        <f t="shared" si="0"/>
        <v>18708200</v>
      </c>
    </row>
    <row r="23" spans="1:16" ht="33.950000000000003" customHeight="1">
      <c r="A23" s="284"/>
      <c r="B23" s="292" t="s">
        <v>119</v>
      </c>
      <c r="C23" s="284"/>
      <c r="D23" s="284"/>
      <c r="E23" s="284"/>
      <c r="F23" s="284"/>
      <c r="G23" s="284"/>
      <c r="H23" s="284"/>
      <c r="I23" s="292"/>
      <c r="J23" s="292"/>
      <c r="K23" s="292"/>
      <c r="L23" s="292">
        <f>SUM(L11:L19)</f>
        <v>25350000</v>
      </c>
      <c r="M23" s="292">
        <f>SUM(M11:M21)</f>
        <v>41200000</v>
      </c>
      <c r="N23" s="292">
        <f>SUM(N11:N22)</f>
        <v>11200000</v>
      </c>
      <c r="O23" s="292">
        <f>SUM(O11:O22)</f>
        <v>49908200</v>
      </c>
      <c r="P23" s="292">
        <f t="shared" si="0"/>
        <v>38708200</v>
      </c>
    </row>
    <row r="24" spans="1:16" ht="33.950000000000003" customHeight="1">
      <c r="A24" s="292" t="s">
        <v>279</v>
      </c>
      <c r="B24" s="292" t="s">
        <v>278</v>
      </c>
      <c r="C24" s="284">
        <v>0</v>
      </c>
      <c r="D24" s="284">
        <v>6000000</v>
      </c>
      <c r="E24" s="284">
        <v>7200000</v>
      </c>
      <c r="F24" s="284">
        <v>10000000</v>
      </c>
      <c r="G24" s="284">
        <v>11172000</v>
      </c>
      <c r="H24" s="284">
        <v>11172000</v>
      </c>
      <c r="I24" s="292">
        <f>SUM(I16:I23)</f>
        <v>0</v>
      </c>
      <c r="J24" s="292"/>
      <c r="K24" s="292"/>
      <c r="L24" s="336"/>
      <c r="M24" s="284"/>
      <c r="N24" s="284"/>
      <c r="O24" s="284"/>
      <c r="P24" s="284">
        <f t="shared" si="0"/>
        <v>0</v>
      </c>
    </row>
    <row r="25" spans="1:16" ht="33.950000000000003" customHeight="1">
      <c r="A25" s="284" t="s">
        <v>281</v>
      </c>
      <c r="B25" s="284" t="s">
        <v>161</v>
      </c>
      <c r="C25" s="379"/>
      <c r="D25" s="379"/>
      <c r="E25" s="379"/>
      <c r="F25" s="379"/>
      <c r="G25" s="379"/>
      <c r="H25" s="379"/>
      <c r="I25" s="379"/>
      <c r="J25" s="294"/>
      <c r="K25" s="294"/>
      <c r="L25" s="284">
        <v>44280000</v>
      </c>
      <c r="M25" s="284">
        <f>50000000*70%</f>
        <v>35000000</v>
      </c>
      <c r="N25" s="284">
        <f>M25*80%</f>
        <v>28000000</v>
      </c>
      <c r="O25" s="284">
        <v>28000000</v>
      </c>
      <c r="P25" s="284">
        <f t="shared" si="0"/>
        <v>0</v>
      </c>
    </row>
    <row r="26" spans="1:16" ht="33.950000000000003" customHeight="1">
      <c r="A26" s="284" t="s">
        <v>282</v>
      </c>
      <c r="B26" s="284" t="s">
        <v>155</v>
      </c>
      <c r="C26" s="379"/>
      <c r="D26" s="379"/>
      <c r="E26" s="379"/>
      <c r="F26" s="379"/>
      <c r="G26" s="379"/>
      <c r="H26" s="379"/>
      <c r="I26" s="379"/>
      <c r="J26" s="294"/>
      <c r="K26" s="379"/>
      <c r="L26" s="359">
        <v>13000000</v>
      </c>
      <c r="M26" s="284">
        <f>12000000*70%</f>
        <v>8400000</v>
      </c>
      <c r="N26" s="284">
        <f>12000000*70%</f>
        <v>8400000</v>
      </c>
      <c r="O26" s="284">
        <v>8400000</v>
      </c>
      <c r="P26" s="284">
        <f t="shared" si="0"/>
        <v>0</v>
      </c>
    </row>
    <row r="27" spans="1:16" ht="33.950000000000003" customHeight="1">
      <c r="A27" s="284" t="s">
        <v>283</v>
      </c>
      <c r="B27" s="284" t="s">
        <v>156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60">
        <v>0</v>
      </c>
      <c r="M27" s="360">
        <v>1000000</v>
      </c>
      <c r="N27" s="284">
        <v>0</v>
      </c>
      <c r="O27" s="284">
        <v>0</v>
      </c>
      <c r="P27" s="284">
        <f t="shared" si="0"/>
        <v>0</v>
      </c>
    </row>
    <row r="28" spans="1:16" ht="33.950000000000003" customHeight="1">
      <c r="A28" s="284"/>
      <c r="B28" s="292" t="s">
        <v>119</v>
      </c>
      <c r="C28" s="379"/>
      <c r="D28" s="379"/>
      <c r="E28" s="379"/>
      <c r="F28" s="379"/>
      <c r="G28" s="379"/>
      <c r="H28" s="379"/>
      <c r="I28" s="379"/>
      <c r="J28" s="379"/>
      <c r="K28" s="379"/>
      <c r="L28" s="361">
        <f>SUM(L25:L27)</f>
        <v>57280000</v>
      </c>
      <c r="M28" s="361">
        <f>SUM(M25:M27)</f>
        <v>44400000</v>
      </c>
      <c r="N28" s="292">
        <f>SUM(N25:N27)</f>
        <v>36400000</v>
      </c>
      <c r="O28" s="292">
        <f>SUM(O25:O27)</f>
        <v>36400000</v>
      </c>
      <c r="P28" s="292">
        <f t="shared" si="0"/>
        <v>0</v>
      </c>
    </row>
    <row r="29" spans="1:16" ht="33.950000000000003" customHeight="1">
      <c r="A29" s="292" t="s">
        <v>285</v>
      </c>
      <c r="B29" s="292" t="s">
        <v>158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61"/>
      <c r="M29" s="361"/>
      <c r="N29" s="292"/>
      <c r="O29" s="292"/>
      <c r="P29" s="292">
        <f t="shared" si="0"/>
        <v>0</v>
      </c>
    </row>
    <row r="30" spans="1:16" ht="33.950000000000003" customHeight="1">
      <c r="A30" s="284" t="s">
        <v>286</v>
      </c>
      <c r="B30" s="284" t="s">
        <v>55</v>
      </c>
      <c r="C30" s="379"/>
      <c r="D30" s="379"/>
      <c r="E30" s="379"/>
      <c r="F30" s="379"/>
      <c r="G30" s="379"/>
      <c r="H30" s="379"/>
      <c r="I30" s="379"/>
      <c r="J30" s="379"/>
      <c r="K30" s="379"/>
      <c r="L30" s="360">
        <v>10000000</v>
      </c>
      <c r="M30" s="360">
        <f>L30*70%</f>
        <v>7000000</v>
      </c>
      <c r="N30" s="284">
        <f>M30</f>
        <v>7000000</v>
      </c>
      <c r="O30" s="284">
        <v>7000000</v>
      </c>
      <c r="P30" s="284">
        <f t="shared" si="0"/>
        <v>0</v>
      </c>
    </row>
    <row r="31" spans="1:16" ht="33.950000000000003" customHeight="1">
      <c r="A31" s="284" t="s">
        <v>288</v>
      </c>
      <c r="B31" s="284" t="s">
        <v>287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60">
        <v>0</v>
      </c>
      <c r="M31" s="360">
        <f>75000000*70%</f>
        <v>52500000</v>
      </c>
      <c r="N31" s="284"/>
      <c r="O31" s="284"/>
      <c r="P31" s="284">
        <f t="shared" si="0"/>
        <v>0</v>
      </c>
    </row>
    <row r="32" spans="1:16" ht="33.950000000000003" customHeight="1">
      <c r="A32" s="284" t="s">
        <v>289</v>
      </c>
      <c r="B32" s="284" t="s">
        <v>290</v>
      </c>
      <c r="C32" s="379"/>
      <c r="D32" s="379"/>
      <c r="E32" s="379"/>
      <c r="F32" s="379"/>
      <c r="G32" s="379"/>
      <c r="H32" s="379"/>
      <c r="I32" s="379"/>
      <c r="J32" s="379"/>
      <c r="K32" s="379"/>
      <c r="L32" s="284">
        <v>0</v>
      </c>
      <c r="M32" s="284">
        <v>0</v>
      </c>
      <c r="N32" s="284">
        <v>0</v>
      </c>
      <c r="O32" s="284">
        <v>0</v>
      </c>
      <c r="P32" s="284">
        <f t="shared" si="0"/>
        <v>0</v>
      </c>
    </row>
    <row r="33" spans="1:16" ht="33.950000000000003" customHeight="1">
      <c r="A33" s="284" t="s">
        <v>505</v>
      </c>
      <c r="B33" s="284" t="s">
        <v>555</v>
      </c>
      <c r="C33" s="379"/>
      <c r="D33" s="379"/>
      <c r="E33" s="379"/>
      <c r="F33" s="379"/>
      <c r="G33" s="379"/>
      <c r="H33" s="379"/>
      <c r="I33" s="379"/>
      <c r="J33" s="379"/>
      <c r="K33" s="379"/>
      <c r="L33" s="284">
        <v>0</v>
      </c>
      <c r="M33" s="284">
        <v>0</v>
      </c>
      <c r="N33" s="284">
        <v>0</v>
      </c>
      <c r="O33" s="284">
        <v>0</v>
      </c>
      <c r="P33" s="284">
        <f t="shared" si="0"/>
        <v>0</v>
      </c>
    </row>
    <row r="34" spans="1:16" ht="33.950000000000003" customHeight="1">
      <c r="A34" s="284"/>
      <c r="B34" s="292" t="s">
        <v>119</v>
      </c>
      <c r="C34" s="379"/>
      <c r="D34" s="379"/>
      <c r="E34" s="379"/>
      <c r="F34" s="379"/>
      <c r="G34" s="379"/>
      <c r="H34" s="379"/>
      <c r="I34" s="379"/>
      <c r="J34" s="379"/>
      <c r="K34" s="379"/>
      <c r="L34" s="383">
        <f>SUM(L30:L32)</f>
        <v>10000000</v>
      </c>
      <c r="M34" s="383">
        <f>SUM(M30:M32)</f>
        <v>59500000</v>
      </c>
      <c r="N34" s="292">
        <f>SUM(N30:N32)</f>
        <v>7000000</v>
      </c>
      <c r="O34" s="292">
        <f>SUM(O30:O33)</f>
        <v>7000000</v>
      </c>
      <c r="P34" s="292">
        <f t="shared" si="0"/>
        <v>0</v>
      </c>
    </row>
    <row r="35" spans="1:16" ht="33.950000000000003" customHeight="1">
      <c r="A35" s="292" t="s">
        <v>293</v>
      </c>
      <c r="B35" s="292" t="s">
        <v>292</v>
      </c>
      <c r="C35" s="379"/>
      <c r="D35" s="379"/>
      <c r="E35" s="379"/>
      <c r="F35" s="379"/>
      <c r="G35" s="379"/>
      <c r="H35" s="379"/>
      <c r="I35" s="379"/>
      <c r="J35" s="379"/>
      <c r="K35" s="379"/>
      <c r="L35" s="335"/>
      <c r="M35" s="335"/>
      <c r="N35" s="284"/>
      <c r="O35" s="284"/>
      <c r="P35" s="284">
        <f t="shared" si="0"/>
        <v>0</v>
      </c>
    </row>
    <row r="36" spans="1:16" ht="33.950000000000003" customHeight="1">
      <c r="A36" s="292" t="s">
        <v>294</v>
      </c>
      <c r="B36" s="292" t="s">
        <v>291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35"/>
      <c r="M36" s="335"/>
      <c r="N36" s="284"/>
      <c r="O36" s="284"/>
      <c r="P36" s="284">
        <f t="shared" si="0"/>
        <v>0</v>
      </c>
    </row>
    <row r="37" spans="1:16" ht="33.950000000000003" customHeight="1">
      <c r="A37" s="284" t="s">
        <v>499</v>
      </c>
      <c r="B37" s="284" t="s">
        <v>307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36">
        <v>1870000</v>
      </c>
      <c r="M37" s="336">
        <v>0</v>
      </c>
      <c r="N37" s="284">
        <v>0</v>
      </c>
      <c r="O37" s="284">
        <v>0</v>
      </c>
      <c r="P37" s="284">
        <f t="shared" si="0"/>
        <v>0</v>
      </c>
    </row>
    <row r="38" spans="1:16" ht="33.950000000000003" customHeight="1">
      <c r="A38" s="284" t="s">
        <v>388</v>
      </c>
      <c r="B38" s="284" t="s">
        <v>309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36">
        <v>0</v>
      </c>
      <c r="M38" s="336">
        <f>84000000*70%</f>
        <v>58799999.999999993</v>
      </c>
      <c r="N38" s="284"/>
      <c r="O38" s="284"/>
      <c r="P38" s="284">
        <f t="shared" si="0"/>
        <v>0</v>
      </c>
    </row>
    <row r="39" spans="1:16" ht="33.950000000000003" customHeight="1">
      <c r="A39" s="284" t="s">
        <v>500</v>
      </c>
      <c r="B39" s="284" t="s">
        <v>556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36">
        <v>0</v>
      </c>
      <c r="M39" s="336">
        <f>5000000*70%</f>
        <v>3500000</v>
      </c>
      <c r="N39" s="284">
        <v>0</v>
      </c>
      <c r="O39" s="284">
        <v>0</v>
      </c>
      <c r="P39" s="284">
        <f t="shared" si="0"/>
        <v>0</v>
      </c>
    </row>
    <row r="40" spans="1:16" ht="33.950000000000003" customHeight="1">
      <c r="A40" s="284" t="s">
        <v>1176</v>
      </c>
      <c r="B40" s="284" t="s">
        <v>1131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36"/>
      <c r="M40" s="336"/>
      <c r="N40" s="284">
        <v>0</v>
      </c>
      <c r="O40" s="284">
        <v>6000000</v>
      </c>
      <c r="P40" s="284">
        <f>O40-N40</f>
        <v>6000000</v>
      </c>
    </row>
    <row r="41" spans="1:16" ht="33.950000000000003" customHeight="1">
      <c r="A41" s="389"/>
      <c r="B41" s="394" t="s">
        <v>119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61">
        <f>SUM(L37:L39)</f>
        <v>1870000</v>
      </c>
      <c r="M41" s="361">
        <f>SUM(M37:M39)</f>
        <v>62299999.999999993</v>
      </c>
      <c r="N41" s="292">
        <f>SUM(N37:N40)</f>
        <v>0</v>
      </c>
      <c r="O41" s="292">
        <f>SUM(O37:O40)</f>
        <v>6000000</v>
      </c>
      <c r="P41" s="292">
        <f t="shared" si="0"/>
        <v>6000000</v>
      </c>
    </row>
    <row r="42" spans="1:16" ht="33.950000000000003" customHeight="1">
      <c r="A42" s="284"/>
      <c r="B42" s="292" t="s">
        <v>42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61">
        <f>L41+L34+L28+L23+L8</f>
        <v>285900000</v>
      </c>
      <c r="M42" s="361">
        <f>M41+M34+M28+M23+M8</f>
        <v>424900000</v>
      </c>
      <c r="N42" s="292">
        <f>N41+N34+N28+N23+N8</f>
        <v>332240000</v>
      </c>
      <c r="O42" s="292">
        <f>O41+O34+O28+O23+O8</f>
        <v>363637000</v>
      </c>
      <c r="P42" s="292">
        <f t="shared" si="0"/>
        <v>31397000</v>
      </c>
    </row>
    <row r="44" spans="1:16" ht="33.950000000000003" customHeight="1">
      <c r="L44" s="502"/>
    </row>
  </sheetData>
  <pageMargins left="0.7" right="0.28000000000000003" top="0.75" bottom="0.47" header="0.3" footer="0.3"/>
  <pageSetup scale="49" orientation="portrait" r:id="rId1"/>
  <headerFooter>
    <oddHeader>&amp;C&amp;"Times New Roman,Bold"&amp;24Guddiga Dabagalka Xasuuqa.</oddHeader>
    <oddFooter>&amp;R&amp;"Times New Roman,Bold"&amp;14 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62" zoomScaleSheetLayoutView="62" workbookViewId="0">
      <selection sqref="A1:XFD1048576"/>
    </sheetView>
  </sheetViews>
  <sheetFormatPr defaultRowHeight="21.95" customHeight="1"/>
  <cols>
    <col min="1" max="1" width="14.6640625" style="386" bestFit="1" customWidth="1"/>
    <col min="2" max="2" width="74" style="386" bestFit="1" customWidth="1"/>
    <col min="3" max="9" width="9.33203125" style="386" hidden="1" customWidth="1"/>
    <col min="10" max="10" width="0.1640625" style="386" hidden="1" customWidth="1"/>
    <col min="11" max="11" width="27.5" style="386" hidden="1" customWidth="1"/>
    <col min="12" max="13" width="27.5" style="462" bestFit="1" customWidth="1"/>
    <col min="14" max="14" width="25.83203125" style="462" bestFit="1" customWidth="1"/>
    <col min="15" max="16384" width="9.33203125" style="386"/>
  </cols>
  <sheetData>
    <row r="1" spans="1:14" ht="27.95" customHeight="1">
      <c r="A1" s="504" t="s">
        <v>44</v>
      </c>
      <c r="B1" s="505" t="s">
        <v>455</v>
      </c>
      <c r="C1" s="504"/>
      <c r="D1" s="504"/>
      <c r="E1" s="504"/>
      <c r="F1" s="504"/>
      <c r="G1" s="504"/>
      <c r="H1" s="504"/>
      <c r="I1" s="504"/>
      <c r="J1" s="504"/>
      <c r="K1" s="504"/>
      <c r="L1" s="506"/>
      <c r="M1" s="506"/>
      <c r="N1" s="506"/>
    </row>
    <row r="2" spans="1:14" ht="27.95" customHeight="1">
      <c r="A2" s="507" t="s">
        <v>28</v>
      </c>
      <c r="B2" s="507" t="s">
        <v>29</v>
      </c>
      <c r="C2" s="508" t="s">
        <v>48</v>
      </c>
      <c r="D2" s="508" t="s">
        <v>52</v>
      </c>
      <c r="E2" s="508" t="s">
        <v>62</v>
      </c>
      <c r="F2" s="508" t="s">
        <v>69</v>
      </c>
      <c r="G2" s="508" t="s">
        <v>128</v>
      </c>
      <c r="H2" s="508" t="s">
        <v>135</v>
      </c>
      <c r="I2" s="508" t="s">
        <v>146</v>
      </c>
      <c r="J2" s="508" t="s">
        <v>180</v>
      </c>
      <c r="K2" s="508" t="s">
        <v>297</v>
      </c>
      <c r="L2" s="509" t="s">
        <v>641</v>
      </c>
      <c r="M2" s="509" t="s">
        <v>1103</v>
      </c>
      <c r="N2" s="509" t="s">
        <v>63</v>
      </c>
    </row>
    <row r="3" spans="1:14" ht="27.95" customHeight="1">
      <c r="A3" s="506" t="s">
        <v>248</v>
      </c>
      <c r="B3" s="506" t="s">
        <v>165</v>
      </c>
      <c r="C3" s="504"/>
      <c r="D3" s="504"/>
      <c r="E3" s="504"/>
      <c r="F3" s="504"/>
      <c r="G3" s="504"/>
      <c r="H3" s="504"/>
      <c r="I3" s="504"/>
      <c r="J3" s="504"/>
      <c r="K3" s="504"/>
      <c r="L3" s="510"/>
      <c r="M3" s="510"/>
      <c r="N3" s="510"/>
    </row>
    <row r="4" spans="1:14" ht="27.95" customHeight="1">
      <c r="A4" s="506" t="s">
        <v>249</v>
      </c>
      <c r="B4" s="506" t="s">
        <v>250</v>
      </c>
      <c r="C4" s="511">
        <v>0</v>
      </c>
      <c r="D4" s="511">
        <v>45168000</v>
      </c>
      <c r="E4" s="511">
        <v>82272000</v>
      </c>
      <c r="F4" s="511">
        <v>82272000</v>
      </c>
      <c r="G4" s="511">
        <v>167590800</v>
      </c>
      <c r="H4" s="511">
        <f>135236400+4149600+27000000+3000000</f>
        <v>169386000</v>
      </c>
      <c r="I4" s="511">
        <f>169386000+6000000+4149600</f>
        <v>179535600</v>
      </c>
      <c r="J4" s="511"/>
      <c r="K4" s="511"/>
      <c r="L4" s="510"/>
      <c r="M4" s="510"/>
      <c r="N4" s="510"/>
    </row>
    <row r="5" spans="1:14" ht="27.95" customHeight="1">
      <c r="A5" s="510" t="s">
        <v>247</v>
      </c>
      <c r="B5" s="510" t="s">
        <v>577</v>
      </c>
      <c r="C5" s="511">
        <v>0</v>
      </c>
      <c r="D5" s="511">
        <v>24500000</v>
      </c>
      <c r="E5" s="511">
        <v>0</v>
      </c>
      <c r="F5" s="511">
        <v>0</v>
      </c>
      <c r="G5" s="511">
        <v>0</v>
      </c>
      <c r="H5" s="511">
        <v>0</v>
      </c>
      <c r="I5" s="511">
        <v>0</v>
      </c>
      <c r="J5" s="511">
        <f>530400000</f>
        <v>530400000</v>
      </c>
      <c r="K5" s="511">
        <v>1031097600</v>
      </c>
      <c r="L5" s="510">
        <v>1190217600</v>
      </c>
      <c r="M5" s="510">
        <v>1190217600</v>
      </c>
      <c r="N5" s="510">
        <f>M5-L5</f>
        <v>0</v>
      </c>
    </row>
    <row r="6" spans="1:14" ht="27.95" customHeight="1">
      <c r="A6" s="510" t="s">
        <v>251</v>
      </c>
      <c r="B6" s="510" t="s">
        <v>507</v>
      </c>
      <c r="C6" s="510">
        <v>0</v>
      </c>
      <c r="D6" s="510">
        <v>10800000</v>
      </c>
      <c r="E6" s="510">
        <v>14400000</v>
      </c>
      <c r="F6" s="510">
        <v>14400000</v>
      </c>
      <c r="G6" s="510">
        <v>14400000</v>
      </c>
      <c r="H6" s="510">
        <f>14400000+16200000+720000</f>
        <v>31320000</v>
      </c>
      <c r="I6" s="510">
        <f>31320000+720000+3960000</f>
        <v>36000000</v>
      </c>
      <c r="J6" s="510">
        <v>30000000</v>
      </c>
      <c r="K6" s="510">
        <v>30000000</v>
      </c>
      <c r="L6" s="510">
        <v>0</v>
      </c>
      <c r="M6" s="510">
        <v>0</v>
      </c>
      <c r="N6" s="510">
        <f t="shared" ref="N6:N44" si="0">M6-L6</f>
        <v>0</v>
      </c>
    </row>
    <row r="7" spans="1:14" ht="27.95" customHeight="1">
      <c r="A7" s="510" t="s">
        <v>252</v>
      </c>
      <c r="B7" s="510" t="s">
        <v>448</v>
      </c>
      <c r="C7" s="506">
        <v>0</v>
      </c>
      <c r="D7" s="506">
        <f>SUM(D4:D6)</f>
        <v>80468000</v>
      </c>
      <c r="E7" s="506">
        <f>SUM(E4:E6)</f>
        <v>96672000</v>
      </c>
      <c r="F7" s="506">
        <f>SUM(F4:F6)</f>
        <v>96672000</v>
      </c>
      <c r="G7" s="506">
        <f>SUM(G4:G6)</f>
        <v>181990800</v>
      </c>
      <c r="H7" s="506">
        <f>SUM(H4:H6)</f>
        <v>200706000</v>
      </c>
      <c r="I7" s="510">
        <v>0</v>
      </c>
      <c r="J7" s="510">
        <v>166800000</v>
      </c>
      <c r="K7" s="510">
        <v>166800000</v>
      </c>
      <c r="L7" s="510">
        <v>166800000</v>
      </c>
      <c r="M7" s="510">
        <v>166800000</v>
      </c>
      <c r="N7" s="510">
        <f t="shared" si="0"/>
        <v>0</v>
      </c>
    </row>
    <row r="8" spans="1:14" ht="27.95" customHeight="1">
      <c r="A8" s="510" t="s">
        <v>676</v>
      </c>
      <c r="B8" s="510" t="s">
        <v>776</v>
      </c>
      <c r="C8" s="506"/>
      <c r="D8" s="506"/>
      <c r="E8" s="506"/>
      <c r="F8" s="506"/>
      <c r="G8" s="506"/>
      <c r="H8" s="506"/>
      <c r="I8" s="510"/>
      <c r="J8" s="510"/>
      <c r="K8" s="510">
        <v>180000000</v>
      </c>
      <c r="L8" s="510">
        <v>500000000</v>
      </c>
      <c r="M8" s="510">
        <v>500000000</v>
      </c>
      <c r="N8" s="510">
        <f t="shared" si="0"/>
        <v>0</v>
      </c>
    </row>
    <row r="9" spans="1:14" ht="27.95" customHeight="1">
      <c r="A9" s="510"/>
      <c r="B9" s="506" t="s">
        <v>119</v>
      </c>
      <c r="C9" s="506">
        <v>0</v>
      </c>
      <c r="D9" s="506" t="e">
        <f>SUM(#REF!)</f>
        <v>#REF!</v>
      </c>
      <c r="E9" s="506" t="e">
        <f>SUM(#REF!)</f>
        <v>#REF!</v>
      </c>
      <c r="F9" s="506" t="e">
        <f>SUM(#REF!)</f>
        <v>#REF!</v>
      </c>
      <c r="G9" s="506" t="e">
        <f>SUM(#REF!)</f>
        <v>#REF!</v>
      </c>
      <c r="H9" s="506" t="e">
        <f>SUM(#REF!)</f>
        <v>#REF!</v>
      </c>
      <c r="I9" s="510">
        <v>0</v>
      </c>
      <c r="J9" s="506">
        <f>SUM(J5:J7)</f>
        <v>727200000</v>
      </c>
      <c r="K9" s="506">
        <f>SUM(K5:K8)</f>
        <v>1407897600</v>
      </c>
      <c r="L9" s="506">
        <f>SUM(L5:L8)</f>
        <v>1857017600</v>
      </c>
      <c r="M9" s="506">
        <f>SUM(M5:M8)</f>
        <v>1857017600</v>
      </c>
      <c r="N9" s="510">
        <f t="shared" si="0"/>
        <v>0</v>
      </c>
    </row>
    <row r="10" spans="1:14" ht="27.95" customHeight="1">
      <c r="A10" s="506" t="s">
        <v>262</v>
      </c>
      <c r="B10" s="506" t="s">
        <v>263</v>
      </c>
      <c r="C10" s="510" t="s">
        <v>4</v>
      </c>
      <c r="D10" s="510"/>
      <c r="E10" s="510"/>
      <c r="F10" s="510"/>
      <c r="G10" s="510"/>
      <c r="H10" s="510"/>
      <c r="I10" s="510">
        <v>0</v>
      </c>
      <c r="J10" s="510"/>
      <c r="K10" s="510"/>
      <c r="L10" s="510"/>
      <c r="M10" s="510"/>
      <c r="N10" s="510">
        <f t="shared" si="0"/>
        <v>0</v>
      </c>
    </row>
    <row r="11" spans="1:14" ht="27.95" customHeight="1">
      <c r="A11" s="506" t="s">
        <v>265</v>
      </c>
      <c r="B11" s="506" t="s">
        <v>264</v>
      </c>
      <c r="C11" s="510">
        <v>0</v>
      </c>
      <c r="D11" s="510">
        <v>22600000</v>
      </c>
      <c r="E11" s="510">
        <v>0</v>
      </c>
      <c r="F11" s="510">
        <v>0</v>
      </c>
      <c r="G11" s="510">
        <v>0</v>
      </c>
      <c r="H11" s="510">
        <v>0</v>
      </c>
      <c r="I11" s="510">
        <v>7448000</v>
      </c>
      <c r="J11" s="510"/>
      <c r="K11" s="510"/>
      <c r="L11" s="510"/>
      <c r="M11" s="510"/>
      <c r="N11" s="510">
        <f t="shared" si="0"/>
        <v>0</v>
      </c>
    </row>
    <row r="12" spans="1:14" ht="27.95" customHeight="1">
      <c r="A12" s="510" t="s">
        <v>266</v>
      </c>
      <c r="B12" s="510" t="s">
        <v>38</v>
      </c>
      <c r="C12" s="510">
        <v>0</v>
      </c>
      <c r="D12" s="510">
        <v>0</v>
      </c>
      <c r="E12" s="510">
        <v>0</v>
      </c>
      <c r="F12" s="510">
        <v>0</v>
      </c>
      <c r="G12" s="510">
        <v>0</v>
      </c>
      <c r="H12" s="510">
        <v>0</v>
      </c>
      <c r="I12" s="510">
        <v>7448000</v>
      </c>
      <c r="J12" s="510">
        <f>40000000/2</f>
        <v>20000000</v>
      </c>
      <c r="K12" s="510">
        <f>40000000/2*70%</f>
        <v>14000000</v>
      </c>
      <c r="L12" s="510">
        <f>40000000/2*70%</f>
        <v>14000000</v>
      </c>
      <c r="M12" s="510">
        <v>14000000</v>
      </c>
      <c r="N12" s="510">
        <f t="shared" si="0"/>
        <v>0</v>
      </c>
    </row>
    <row r="13" spans="1:14" ht="27.95" customHeight="1">
      <c r="A13" s="510" t="s">
        <v>267</v>
      </c>
      <c r="B13" s="510" t="s">
        <v>452</v>
      </c>
      <c r="C13" s="510"/>
      <c r="D13" s="510"/>
      <c r="E13" s="510"/>
      <c r="F13" s="510"/>
      <c r="G13" s="510"/>
      <c r="H13" s="510"/>
      <c r="I13" s="510"/>
      <c r="J13" s="510">
        <v>30000000</v>
      </c>
      <c r="K13" s="510">
        <f>30000000*70%</f>
        <v>21000000</v>
      </c>
      <c r="L13" s="510">
        <f>30000000*70%</f>
        <v>21000000</v>
      </c>
      <c r="M13" s="510">
        <v>21000000</v>
      </c>
      <c r="N13" s="510">
        <f t="shared" si="0"/>
        <v>0</v>
      </c>
    </row>
    <row r="14" spans="1:14" ht="27.95" customHeight="1">
      <c r="A14" s="510" t="s">
        <v>268</v>
      </c>
      <c r="B14" s="510" t="s">
        <v>153</v>
      </c>
      <c r="C14" s="510"/>
      <c r="D14" s="510"/>
      <c r="E14" s="510"/>
      <c r="F14" s="510"/>
      <c r="G14" s="510"/>
      <c r="H14" s="510"/>
      <c r="I14" s="510"/>
      <c r="J14" s="510">
        <v>20000000</v>
      </c>
      <c r="K14" s="510">
        <f>20000000*70%</f>
        <v>14000000</v>
      </c>
      <c r="L14" s="415"/>
      <c r="M14" s="415"/>
      <c r="N14" s="510">
        <f t="shared" si="0"/>
        <v>0</v>
      </c>
    </row>
    <row r="15" spans="1:14" ht="27.95" customHeight="1">
      <c r="A15" s="510" t="s">
        <v>269</v>
      </c>
      <c r="B15" s="510" t="s">
        <v>186</v>
      </c>
      <c r="C15" s="510"/>
      <c r="D15" s="510"/>
      <c r="E15" s="510"/>
      <c r="F15" s="510"/>
      <c r="G15" s="510"/>
      <c r="H15" s="510"/>
      <c r="I15" s="510">
        <v>37240000</v>
      </c>
      <c r="J15" s="510">
        <v>20000000</v>
      </c>
      <c r="K15" s="510">
        <f>20000000*70%</f>
        <v>14000000</v>
      </c>
      <c r="L15" s="510">
        <f>20000000*70%</f>
        <v>14000000</v>
      </c>
      <c r="M15" s="510">
        <v>14000000</v>
      </c>
      <c r="N15" s="510">
        <f t="shared" si="0"/>
        <v>0</v>
      </c>
    </row>
    <row r="16" spans="1:14" ht="27.95" customHeight="1">
      <c r="A16" s="510" t="s">
        <v>270</v>
      </c>
      <c r="B16" s="510" t="s">
        <v>453</v>
      </c>
      <c r="C16" s="510"/>
      <c r="D16" s="510"/>
      <c r="E16" s="510"/>
      <c r="F16" s="510"/>
      <c r="G16" s="510"/>
      <c r="H16" s="510"/>
      <c r="I16" s="510"/>
      <c r="J16" s="510">
        <v>15000000</v>
      </c>
      <c r="K16" s="510">
        <f>15000000*70%</f>
        <v>10500000</v>
      </c>
      <c r="L16" s="510">
        <v>72000000</v>
      </c>
      <c r="M16" s="510">
        <v>72000000</v>
      </c>
      <c r="N16" s="510">
        <f t="shared" si="0"/>
        <v>0</v>
      </c>
    </row>
    <row r="17" spans="1:14" ht="27.95" customHeight="1">
      <c r="A17" s="510" t="s">
        <v>272</v>
      </c>
      <c r="B17" s="510" t="s">
        <v>54</v>
      </c>
      <c r="C17" s="510">
        <v>0</v>
      </c>
      <c r="D17" s="510">
        <v>4000000</v>
      </c>
      <c r="E17" s="510">
        <v>8000000</v>
      </c>
      <c r="F17" s="510">
        <v>17000000</v>
      </c>
      <c r="G17" s="510">
        <v>12661600</v>
      </c>
      <c r="H17" s="510">
        <v>25000000</v>
      </c>
      <c r="I17" s="506">
        <f>SUM(I9:I15)</f>
        <v>52136000</v>
      </c>
      <c r="J17" s="510">
        <f>20000000/2</f>
        <v>10000000</v>
      </c>
      <c r="K17" s="510">
        <f>20000000/2*70%</f>
        <v>7000000</v>
      </c>
      <c r="L17" s="510">
        <f>K17*70%</f>
        <v>4900000</v>
      </c>
      <c r="M17" s="510">
        <v>4900000</v>
      </c>
      <c r="N17" s="510">
        <f t="shared" si="0"/>
        <v>0</v>
      </c>
    </row>
    <row r="18" spans="1:14" ht="27.95" customHeight="1">
      <c r="A18" s="510" t="s">
        <v>274</v>
      </c>
      <c r="B18" s="510" t="s">
        <v>164</v>
      </c>
      <c r="C18" s="510">
        <v>0</v>
      </c>
      <c r="D18" s="510">
        <v>0</v>
      </c>
      <c r="E18" s="510">
        <v>0</v>
      </c>
      <c r="F18" s="510">
        <v>0</v>
      </c>
      <c r="G18" s="510">
        <v>0</v>
      </c>
      <c r="H18" s="510">
        <v>0</v>
      </c>
      <c r="I18" s="510"/>
      <c r="J18" s="510">
        <f>20000000/2</f>
        <v>10000000</v>
      </c>
      <c r="K18" s="510">
        <f>20000000/2*70%</f>
        <v>7000000</v>
      </c>
      <c r="L18" s="510">
        <f>20000000/2*70%</f>
        <v>7000000</v>
      </c>
      <c r="M18" s="510">
        <v>7000000</v>
      </c>
      <c r="N18" s="510">
        <f t="shared" si="0"/>
        <v>0</v>
      </c>
    </row>
    <row r="19" spans="1:14" ht="27.95" customHeight="1">
      <c r="A19" s="510" t="s">
        <v>275</v>
      </c>
      <c r="B19" s="510" t="s">
        <v>40</v>
      </c>
      <c r="C19" s="510" t="s">
        <v>4</v>
      </c>
      <c r="D19" s="510">
        <v>0</v>
      </c>
      <c r="E19" s="510">
        <v>0</v>
      </c>
      <c r="F19" s="510">
        <v>3000000</v>
      </c>
      <c r="G19" s="510">
        <v>2234400</v>
      </c>
      <c r="H19" s="510">
        <v>2234400</v>
      </c>
      <c r="I19" s="510">
        <v>0</v>
      </c>
      <c r="J19" s="510">
        <v>10000000</v>
      </c>
      <c r="K19" s="510">
        <f>10000000*70%</f>
        <v>7000000</v>
      </c>
      <c r="L19" s="510">
        <f>10000000*70%</f>
        <v>7000000</v>
      </c>
      <c r="M19" s="510">
        <v>7000000</v>
      </c>
      <c r="N19" s="510">
        <f t="shared" si="0"/>
        <v>0</v>
      </c>
    </row>
    <row r="20" spans="1:14" ht="27.95" customHeight="1">
      <c r="A20" s="510" t="s">
        <v>454</v>
      </c>
      <c r="B20" s="510" t="s">
        <v>563</v>
      </c>
      <c r="C20" s="510"/>
      <c r="D20" s="510"/>
      <c r="E20" s="510"/>
      <c r="F20" s="510"/>
      <c r="G20" s="510"/>
      <c r="H20" s="510"/>
      <c r="I20" s="510"/>
      <c r="J20" s="510">
        <v>20000000</v>
      </c>
      <c r="K20" s="510">
        <f>20000000*70%</f>
        <v>14000000</v>
      </c>
      <c r="L20" s="510">
        <f>20000000*70%</f>
        <v>14000000</v>
      </c>
      <c r="M20" s="510">
        <v>14000000</v>
      </c>
      <c r="N20" s="510">
        <f t="shared" si="0"/>
        <v>0</v>
      </c>
    </row>
    <row r="21" spans="1:14" ht="27.95" customHeight="1">
      <c r="A21" s="510" t="s">
        <v>456</v>
      </c>
      <c r="B21" s="510" t="s">
        <v>457</v>
      </c>
      <c r="C21" s="510"/>
      <c r="D21" s="510"/>
      <c r="E21" s="510"/>
      <c r="F21" s="510"/>
      <c r="G21" s="510"/>
      <c r="H21" s="510"/>
      <c r="I21" s="510"/>
      <c r="J21" s="510">
        <v>80000000</v>
      </c>
      <c r="K21" s="510">
        <f>80000000*70%</f>
        <v>56000000</v>
      </c>
      <c r="L21" s="510">
        <f>80000000*70%</f>
        <v>56000000</v>
      </c>
      <c r="M21" s="510">
        <v>56000000</v>
      </c>
      <c r="N21" s="510">
        <f t="shared" si="0"/>
        <v>0</v>
      </c>
    </row>
    <row r="22" spans="1:14" ht="27.95" customHeight="1">
      <c r="A22" s="510" t="s">
        <v>277</v>
      </c>
      <c r="B22" s="510" t="s">
        <v>218</v>
      </c>
      <c r="C22" s="506">
        <v>0</v>
      </c>
      <c r="D22" s="506">
        <f>SUM(D17:D19)</f>
        <v>4000000</v>
      </c>
      <c r="E22" s="506">
        <f>SUM(E17:E19)</f>
        <v>8000000</v>
      </c>
      <c r="F22" s="506">
        <f>SUM(F17:F19)</f>
        <v>20000000</v>
      </c>
      <c r="G22" s="506">
        <f>SUM(G17:G19)</f>
        <v>14896000</v>
      </c>
      <c r="H22" s="506">
        <f>SUM(H17:H19)</f>
        <v>27234400</v>
      </c>
      <c r="I22" s="510">
        <v>11172000</v>
      </c>
      <c r="J22" s="510">
        <v>100000000</v>
      </c>
      <c r="K22" s="510">
        <f>100000000*70%</f>
        <v>70000000</v>
      </c>
      <c r="L22" s="510">
        <v>0</v>
      </c>
      <c r="M22" s="510">
        <v>0</v>
      </c>
      <c r="N22" s="510">
        <f t="shared" si="0"/>
        <v>0</v>
      </c>
    </row>
    <row r="23" spans="1:14" ht="27.95" customHeight="1">
      <c r="A23" s="510"/>
      <c r="B23" s="506" t="s">
        <v>119</v>
      </c>
      <c r="C23" s="510" t="s">
        <v>4</v>
      </c>
      <c r="D23" s="510"/>
      <c r="E23" s="510"/>
      <c r="F23" s="510"/>
      <c r="G23" s="510"/>
      <c r="H23" s="510"/>
      <c r="I23" s="510">
        <v>3724000</v>
      </c>
      <c r="J23" s="506">
        <f>SUM(J12:J22)</f>
        <v>335000000</v>
      </c>
      <c r="K23" s="506">
        <f>SUM(K12:K22)</f>
        <v>234500000</v>
      </c>
      <c r="L23" s="506">
        <f>SUM(L12:L22)</f>
        <v>209900000</v>
      </c>
      <c r="M23" s="506">
        <f>SUM(M12:M22)</f>
        <v>209900000</v>
      </c>
      <c r="N23" s="510">
        <f t="shared" si="0"/>
        <v>0</v>
      </c>
    </row>
    <row r="24" spans="1:14" ht="27.95" customHeight="1">
      <c r="A24" s="506" t="s">
        <v>279</v>
      </c>
      <c r="B24" s="506" t="s">
        <v>278</v>
      </c>
      <c r="C24" s="510">
        <v>0</v>
      </c>
      <c r="D24" s="510">
        <v>6000000</v>
      </c>
      <c r="E24" s="510">
        <v>7200000</v>
      </c>
      <c r="F24" s="510">
        <v>10000000</v>
      </c>
      <c r="G24" s="510">
        <v>11172000</v>
      </c>
      <c r="H24" s="510">
        <v>11172000</v>
      </c>
      <c r="I24" s="506">
        <f>SUM(I19:I23)</f>
        <v>14896000</v>
      </c>
      <c r="J24" s="506"/>
      <c r="K24" s="506"/>
      <c r="L24" s="506"/>
      <c r="M24" s="506"/>
      <c r="N24" s="510">
        <f t="shared" si="0"/>
        <v>0</v>
      </c>
    </row>
    <row r="25" spans="1:14" ht="27.95" customHeight="1">
      <c r="A25" s="510" t="s">
        <v>280</v>
      </c>
      <c r="B25" s="510" t="s">
        <v>458</v>
      </c>
      <c r="C25" s="510"/>
      <c r="D25" s="510"/>
      <c r="E25" s="510"/>
      <c r="F25" s="510"/>
      <c r="G25" s="510"/>
      <c r="H25" s="510"/>
      <c r="I25" s="506"/>
      <c r="J25" s="510">
        <f>40000000/2</f>
        <v>20000000</v>
      </c>
      <c r="K25" s="510">
        <f>40000000/2*70%</f>
        <v>14000000</v>
      </c>
      <c r="L25" s="510">
        <f>40000000/2*70%</f>
        <v>14000000</v>
      </c>
      <c r="M25" s="510">
        <v>14000000</v>
      </c>
      <c r="N25" s="510">
        <f t="shared" si="0"/>
        <v>0</v>
      </c>
    </row>
    <row r="26" spans="1:14" ht="27.95" customHeight="1">
      <c r="A26" s="510" t="s">
        <v>281</v>
      </c>
      <c r="B26" s="510" t="s">
        <v>161</v>
      </c>
      <c r="C26" s="510">
        <v>0</v>
      </c>
      <c r="D26" s="510">
        <v>17000000</v>
      </c>
      <c r="E26" s="510">
        <v>9734400</v>
      </c>
      <c r="F26" s="510">
        <v>20000000</v>
      </c>
      <c r="G26" s="510">
        <v>18620000</v>
      </c>
      <c r="H26" s="510">
        <v>30000000</v>
      </c>
      <c r="I26" s="510"/>
      <c r="J26" s="510">
        <v>100000000</v>
      </c>
      <c r="K26" s="510">
        <f>100000000*70%</f>
        <v>70000000</v>
      </c>
      <c r="L26" s="510">
        <f>K26</f>
        <v>70000000</v>
      </c>
      <c r="M26" s="510">
        <v>90000000</v>
      </c>
      <c r="N26" s="510">
        <f t="shared" si="0"/>
        <v>20000000</v>
      </c>
    </row>
    <row r="27" spans="1:14" ht="27.95" customHeight="1">
      <c r="A27" s="510" t="s">
        <v>282</v>
      </c>
      <c r="B27" s="510" t="s">
        <v>155</v>
      </c>
      <c r="C27" s="510">
        <v>0</v>
      </c>
      <c r="D27" s="510">
        <v>0</v>
      </c>
      <c r="E27" s="510">
        <v>14592000</v>
      </c>
      <c r="F27" s="510">
        <v>0</v>
      </c>
      <c r="G27" s="510">
        <v>0</v>
      </c>
      <c r="H27" s="510">
        <v>10000000</v>
      </c>
      <c r="I27" s="510">
        <v>0</v>
      </c>
      <c r="J27" s="510">
        <f>40000000*70%/2</f>
        <v>14000000</v>
      </c>
      <c r="K27" s="510">
        <f>40000000*70%/2</f>
        <v>14000000</v>
      </c>
      <c r="L27" s="510">
        <f>40000000*70%/2</f>
        <v>14000000</v>
      </c>
      <c r="M27" s="510">
        <v>14000000</v>
      </c>
      <c r="N27" s="510">
        <f t="shared" si="0"/>
        <v>0</v>
      </c>
    </row>
    <row r="28" spans="1:14" ht="27.95" customHeight="1">
      <c r="A28" s="510" t="s">
        <v>283</v>
      </c>
      <c r="B28" s="510" t="s">
        <v>156</v>
      </c>
      <c r="C28" s="510">
        <v>0</v>
      </c>
      <c r="D28" s="510">
        <v>0</v>
      </c>
      <c r="E28" s="510">
        <v>0</v>
      </c>
      <c r="F28" s="510">
        <v>0</v>
      </c>
      <c r="G28" s="510">
        <v>0</v>
      </c>
      <c r="H28" s="510">
        <v>0</v>
      </c>
      <c r="I28" s="510">
        <v>0</v>
      </c>
      <c r="J28" s="510">
        <v>100000000</v>
      </c>
      <c r="K28" s="510">
        <f>100000000*70%</f>
        <v>70000000</v>
      </c>
      <c r="L28" s="510">
        <f>100000000*70%</f>
        <v>70000000</v>
      </c>
      <c r="M28" s="510">
        <v>70000000</v>
      </c>
      <c r="N28" s="510">
        <f t="shared" si="0"/>
        <v>0</v>
      </c>
    </row>
    <row r="29" spans="1:14" ht="27.95" customHeight="1">
      <c r="A29" s="510" t="s">
        <v>316</v>
      </c>
      <c r="B29" s="510" t="s">
        <v>638</v>
      </c>
      <c r="C29" s="510"/>
      <c r="D29" s="510"/>
      <c r="E29" s="510"/>
      <c r="F29" s="510"/>
      <c r="G29" s="510"/>
      <c r="H29" s="510"/>
      <c r="I29" s="510"/>
      <c r="J29" s="510">
        <f>295356000/2</f>
        <v>147678000</v>
      </c>
      <c r="K29" s="510">
        <v>665105246</v>
      </c>
      <c r="L29" s="510">
        <v>747216926</v>
      </c>
      <c r="M29" s="510">
        <v>747216926</v>
      </c>
      <c r="N29" s="510">
        <f t="shared" si="0"/>
        <v>0</v>
      </c>
    </row>
    <row r="30" spans="1:14" ht="27.95" customHeight="1">
      <c r="A30" s="510" t="s">
        <v>298</v>
      </c>
      <c r="B30" s="510" t="s">
        <v>219</v>
      </c>
      <c r="C30" s="510">
        <v>0</v>
      </c>
      <c r="D30" s="510">
        <v>3000000</v>
      </c>
      <c r="E30" s="510">
        <v>8000000</v>
      </c>
      <c r="F30" s="510">
        <v>10000000</v>
      </c>
      <c r="G30" s="510">
        <v>7448000</v>
      </c>
      <c r="H30" s="510">
        <v>7448000</v>
      </c>
      <c r="I30" s="510">
        <v>2979200</v>
      </c>
      <c r="J30" s="510">
        <f>20000000/2</f>
        <v>10000000</v>
      </c>
      <c r="K30" s="510">
        <f>20000000/2*70%</f>
        <v>7000000</v>
      </c>
      <c r="L30" s="510">
        <f>20000000/2*70%</f>
        <v>7000000</v>
      </c>
      <c r="M30" s="510">
        <v>7000000</v>
      </c>
      <c r="N30" s="510">
        <f t="shared" si="0"/>
        <v>0</v>
      </c>
    </row>
    <row r="31" spans="1:14" ht="27.95" customHeight="1">
      <c r="A31" s="510" t="s">
        <v>616</v>
      </c>
      <c r="B31" s="510" t="s">
        <v>425</v>
      </c>
      <c r="C31" s="510"/>
      <c r="D31" s="510"/>
      <c r="E31" s="510"/>
      <c r="F31" s="510"/>
      <c r="G31" s="510"/>
      <c r="H31" s="510"/>
      <c r="I31" s="510"/>
      <c r="J31" s="510">
        <f>20000000/2</f>
        <v>10000000</v>
      </c>
      <c r="K31" s="510">
        <f>20000000/2*70%</f>
        <v>7000000</v>
      </c>
      <c r="L31" s="510">
        <f>20000000/2*70%</f>
        <v>7000000</v>
      </c>
      <c r="M31" s="510">
        <v>7000000</v>
      </c>
      <c r="N31" s="510">
        <f t="shared" si="0"/>
        <v>0</v>
      </c>
    </row>
    <row r="32" spans="1:14" ht="27.95" customHeight="1">
      <c r="A32" s="510"/>
      <c r="B32" s="506" t="s">
        <v>119</v>
      </c>
      <c r="C32" s="510">
        <v>0</v>
      </c>
      <c r="D32" s="510">
        <v>0</v>
      </c>
      <c r="E32" s="510"/>
      <c r="F32" s="510">
        <v>0</v>
      </c>
      <c r="G32" s="510">
        <v>0</v>
      </c>
      <c r="H32" s="510">
        <v>0</v>
      </c>
      <c r="I32" s="510">
        <v>4468800</v>
      </c>
      <c r="J32" s="506">
        <f>SUM(J25:J31)</f>
        <v>401678000</v>
      </c>
      <c r="K32" s="506">
        <f>SUM(K25:K31)</f>
        <v>847105246</v>
      </c>
      <c r="L32" s="506">
        <f>SUM(L25:L31)</f>
        <v>929216926</v>
      </c>
      <c r="M32" s="506">
        <f>SUM(M25:M31)</f>
        <v>949216926</v>
      </c>
      <c r="N32" s="510">
        <f t="shared" si="0"/>
        <v>20000000</v>
      </c>
    </row>
    <row r="33" spans="1:14" ht="27.95" customHeight="1">
      <c r="A33" s="506" t="s">
        <v>285</v>
      </c>
      <c r="B33" s="506" t="s">
        <v>158</v>
      </c>
      <c r="C33" s="510">
        <v>0</v>
      </c>
      <c r="D33" s="510">
        <v>0</v>
      </c>
      <c r="E33" s="510"/>
      <c r="F33" s="510">
        <v>0</v>
      </c>
      <c r="G33" s="510">
        <v>0</v>
      </c>
      <c r="H33" s="510">
        <v>0</v>
      </c>
      <c r="I33" s="506">
        <f>SUM(I27:I32)</f>
        <v>7448000</v>
      </c>
      <c r="J33" s="506"/>
      <c r="K33" s="506"/>
      <c r="L33" s="506"/>
      <c r="M33" s="506"/>
      <c r="N33" s="510">
        <f t="shared" si="0"/>
        <v>0</v>
      </c>
    </row>
    <row r="34" spans="1:14" ht="27.95" customHeight="1">
      <c r="A34" s="510" t="s">
        <v>286</v>
      </c>
      <c r="B34" s="510" t="s">
        <v>55</v>
      </c>
      <c r="C34" s="510">
        <v>0</v>
      </c>
      <c r="D34" s="510">
        <v>0</v>
      </c>
      <c r="E34" s="510"/>
      <c r="F34" s="510">
        <v>0</v>
      </c>
      <c r="G34" s="510">
        <v>0</v>
      </c>
      <c r="H34" s="510">
        <v>0</v>
      </c>
      <c r="I34" s="510">
        <v>0</v>
      </c>
      <c r="J34" s="510">
        <f>20000000*70%/2</f>
        <v>7000000</v>
      </c>
      <c r="K34" s="510">
        <f>20000000*70%/2*70%</f>
        <v>4900000</v>
      </c>
      <c r="L34" s="510">
        <f>20000000*70%/2*70%</f>
        <v>4900000</v>
      </c>
      <c r="M34" s="510">
        <v>4900000</v>
      </c>
      <c r="N34" s="510">
        <f t="shared" si="0"/>
        <v>0</v>
      </c>
    </row>
    <row r="35" spans="1:14" ht="27.95" customHeight="1">
      <c r="A35" s="510" t="s">
        <v>288</v>
      </c>
      <c r="B35" s="510" t="s">
        <v>287</v>
      </c>
      <c r="C35" s="510">
        <v>0</v>
      </c>
      <c r="D35" s="510">
        <v>5000000</v>
      </c>
      <c r="E35" s="510">
        <v>6400000</v>
      </c>
      <c r="F35" s="510">
        <v>10000000</v>
      </c>
      <c r="G35" s="510">
        <v>7448000</v>
      </c>
      <c r="H35" s="510">
        <v>7448000</v>
      </c>
      <c r="I35" s="510">
        <v>12661600</v>
      </c>
      <c r="J35" s="510">
        <f>10000000/2</f>
        <v>5000000</v>
      </c>
      <c r="K35" s="510">
        <f>10000000/2*70%</f>
        <v>3500000</v>
      </c>
      <c r="L35" s="510">
        <f>10000000/2*70%</f>
        <v>3500000</v>
      </c>
      <c r="M35" s="510">
        <v>3500000</v>
      </c>
      <c r="N35" s="510">
        <f t="shared" si="0"/>
        <v>0</v>
      </c>
    </row>
    <row r="36" spans="1:14" ht="27.95" customHeight="1">
      <c r="A36" s="510"/>
      <c r="B36" s="506" t="s">
        <v>119</v>
      </c>
      <c r="C36" s="510"/>
      <c r="D36" s="510"/>
      <c r="E36" s="510"/>
      <c r="F36" s="510">
        <v>0</v>
      </c>
      <c r="G36" s="510">
        <v>0</v>
      </c>
      <c r="H36" s="510">
        <v>0</v>
      </c>
      <c r="I36" s="506">
        <f>SUM(I34:I35)</f>
        <v>12661600</v>
      </c>
      <c r="J36" s="506">
        <f>SUM(J34:J35)</f>
        <v>12000000</v>
      </c>
      <c r="K36" s="506">
        <f>SUM(K34:K35)</f>
        <v>8400000</v>
      </c>
      <c r="L36" s="506">
        <f>SUM(L34:L35)</f>
        <v>8400000</v>
      </c>
      <c r="M36" s="506">
        <f>SUM(M34:M35)</f>
        <v>8400000</v>
      </c>
      <c r="N36" s="510">
        <f t="shared" si="0"/>
        <v>0</v>
      </c>
    </row>
    <row r="37" spans="1:14" ht="27.95" customHeight="1" thickBot="1">
      <c r="A37" s="506" t="s">
        <v>293</v>
      </c>
      <c r="B37" s="506" t="s">
        <v>292</v>
      </c>
      <c r="C37" s="512">
        <v>0</v>
      </c>
      <c r="D37" s="512">
        <f>SUM(D24:D35)</f>
        <v>31000000</v>
      </c>
      <c r="E37" s="512">
        <f>SUM(E24:E35)</f>
        <v>45926400</v>
      </c>
      <c r="F37" s="512">
        <f>SUM(F24:F36)</f>
        <v>50000000</v>
      </c>
      <c r="G37" s="512">
        <f>SUM(G24:G36)</f>
        <v>44688000</v>
      </c>
      <c r="H37" s="512">
        <f>SUM(H24:H36)</f>
        <v>66068000</v>
      </c>
      <c r="I37" s="512" t="e">
        <f>I36+I33+I24+I17+#REF!</f>
        <v>#REF!</v>
      </c>
      <c r="J37" s="513"/>
      <c r="K37" s="513"/>
      <c r="L37" s="513"/>
      <c r="M37" s="513"/>
      <c r="N37" s="510">
        <f t="shared" si="0"/>
        <v>0</v>
      </c>
    </row>
    <row r="38" spans="1:14" ht="27.95" customHeight="1">
      <c r="A38" s="506" t="s">
        <v>294</v>
      </c>
      <c r="B38" s="506" t="s">
        <v>291</v>
      </c>
      <c r="C38" s="514"/>
      <c r="D38" s="514">
        <v>0</v>
      </c>
      <c r="E38" s="514"/>
      <c r="F38" s="514"/>
      <c r="G38" s="514"/>
      <c r="H38" s="514"/>
      <c r="I38" s="515"/>
      <c r="J38" s="516"/>
      <c r="K38" s="516"/>
      <c r="L38" s="510"/>
      <c r="M38" s="510"/>
      <c r="N38" s="510">
        <f t="shared" si="0"/>
        <v>0</v>
      </c>
    </row>
    <row r="39" spans="1:14" ht="27.95" customHeight="1">
      <c r="A39" s="510" t="s">
        <v>499</v>
      </c>
      <c r="B39" s="510" t="s">
        <v>307</v>
      </c>
      <c r="C39" s="415"/>
      <c r="D39" s="415" t="e">
        <f>#REF!-D38</f>
        <v>#REF!</v>
      </c>
      <c r="E39" s="415"/>
      <c r="F39" s="415"/>
      <c r="G39" s="415"/>
      <c r="H39" s="415"/>
      <c r="I39" s="415"/>
      <c r="J39" s="510">
        <v>30000000</v>
      </c>
      <c r="K39" s="510">
        <f>30000000*70%</f>
        <v>21000000</v>
      </c>
      <c r="L39" s="510">
        <v>0</v>
      </c>
      <c r="M39" s="510">
        <v>24000000</v>
      </c>
      <c r="N39" s="510">
        <f t="shared" si="0"/>
        <v>24000000</v>
      </c>
    </row>
    <row r="40" spans="1:14" ht="27.95" customHeight="1">
      <c r="A40" s="510" t="s">
        <v>388</v>
      </c>
      <c r="B40" s="510" t="s">
        <v>309</v>
      </c>
      <c r="C40" s="444"/>
      <c r="D40" s="444"/>
      <c r="E40" s="444"/>
      <c r="F40" s="444"/>
      <c r="G40" s="444"/>
      <c r="H40" s="444"/>
      <c r="I40" s="444"/>
      <c r="J40" s="510">
        <f>216380000/2</f>
        <v>108190000</v>
      </c>
      <c r="K40" s="510">
        <f>216380000/2*70%</f>
        <v>75733000</v>
      </c>
      <c r="L40" s="510">
        <v>210000000</v>
      </c>
      <c r="M40" s="510"/>
      <c r="N40" s="510">
        <f t="shared" si="0"/>
        <v>-210000000</v>
      </c>
    </row>
    <row r="41" spans="1:14" ht="27.95" customHeight="1">
      <c r="A41" s="510" t="s">
        <v>295</v>
      </c>
      <c r="B41" s="510" t="s">
        <v>176</v>
      </c>
      <c r="C41" s="444"/>
      <c r="D41" s="444"/>
      <c r="E41" s="444"/>
      <c r="F41" s="444"/>
      <c r="G41" s="444"/>
      <c r="H41" s="444"/>
      <c r="I41" s="444"/>
      <c r="J41" s="517">
        <f>5000000/2</f>
        <v>2500000</v>
      </c>
      <c r="K41" s="517">
        <f>5000000/2*70%</f>
        <v>1750000</v>
      </c>
      <c r="L41" s="510">
        <v>0</v>
      </c>
      <c r="M41" s="510">
        <v>0</v>
      </c>
      <c r="N41" s="510">
        <f t="shared" si="0"/>
        <v>0</v>
      </c>
    </row>
    <row r="42" spans="1:14" ht="27.95" customHeight="1">
      <c r="A42" s="510" t="s">
        <v>296</v>
      </c>
      <c r="B42" s="510" t="s">
        <v>177</v>
      </c>
      <c r="C42" s="444"/>
      <c r="D42" s="444"/>
      <c r="E42" s="444"/>
      <c r="F42" s="444"/>
      <c r="G42" s="444"/>
      <c r="H42" s="444"/>
      <c r="I42" s="444"/>
      <c r="J42" s="517">
        <f>5000000/2</f>
        <v>2500000</v>
      </c>
      <c r="K42" s="517">
        <f>5000000/2*70%</f>
        <v>1750000</v>
      </c>
      <c r="L42" s="510">
        <v>0</v>
      </c>
      <c r="M42" s="510">
        <v>0</v>
      </c>
      <c r="N42" s="510">
        <f t="shared" si="0"/>
        <v>0</v>
      </c>
    </row>
    <row r="43" spans="1:14" ht="27.95" customHeight="1">
      <c r="A43" s="510"/>
      <c r="B43" s="506" t="s">
        <v>119</v>
      </c>
      <c r="C43" s="444"/>
      <c r="D43" s="444"/>
      <c r="E43" s="444"/>
      <c r="F43" s="444"/>
      <c r="G43" s="444"/>
      <c r="H43" s="444"/>
      <c r="I43" s="444"/>
      <c r="J43" s="518">
        <f>SUM(J39:J42)</f>
        <v>143190000</v>
      </c>
      <c r="K43" s="518">
        <f>SUM(K39:K42)</f>
        <v>100233000</v>
      </c>
      <c r="L43" s="506">
        <f>SUM(L39:L42)</f>
        <v>210000000</v>
      </c>
      <c r="M43" s="506">
        <f>SUM(M39:M42)</f>
        <v>24000000</v>
      </c>
      <c r="N43" s="510">
        <f t="shared" si="0"/>
        <v>-186000000</v>
      </c>
    </row>
    <row r="44" spans="1:14" ht="27.95" customHeight="1">
      <c r="A44" s="510"/>
      <c r="B44" s="506" t="s">
        <v>42</v>
      </c>
      <c r="C44" s="444"/>
      <c r="D44" s="444"/>
      <c r="E44" s="444"/>
      <c r="F44" s="444"/>
      <c r="G44" s="444"/>
      <c r="H44" s="444"/>
      <c r="I44" s="444"/>
      <c r="J44" s="518">
        <f>J43+J36+J32+J23+J9</f>
        <v>1619068000</v>
      </c>
      <c r="K44" s="518">
        <f>K43+K36+K32+K23+K9</f>
        <v>2598135846</v>
      </c>
      <c r="L44" s="506">
        <f>L43+L36+L32+L23+L9</f>
        <v>3214534526</v>
      </c>
      <c r="M44" s="506">
        <f>M43+M36+M32+M23+M9</f>
        <v>3048534526</v>
      </c>
      <c r="N44" s="506">
        <f t="shared" si="0"/>
        <v>-166000000</v>
      </c>
    </row>
    <row r="46" spans="1:14" ht="21.95" customHeight="1">
      <c r="L46" s="519"/>
      <c r="M46" s="519"/>
      <c r="N46" s="519"/>
    </row>
  </sheetData>
  <pageMargins left="0.7" right="0.42" top="0.48" bottom="0.26" header="0.17" footer="0.17"/>
  <pageSetup scale="60" orientation="portrait" r:id="rId1"/>
  <headerFooter>
    <oddHeader>&amp;C&amp;"Times New Roman,Bold"&amp;20Waaxda Socdaalka.</oddHeader>
    <oddFooter>&amp;R&amp;"Times New Roman,Bold"&amp;12 22</oddFooter>
  </headerFooter>
  <ignoredErrors>
    <ignoredError sqref="K27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60" workbookViewId="0">
      <selection sqref="A1:XFD1048576"/>
    </sheetView>
  </sheetViews>
  <sheetFormatPr defaultRowHeight="30" customHeight="1"/>
  <cols>
    <col min="1" max="1" width="18.1640625" style="386" bestFit="1" customWidth="1"/>
    <col min="2" max="2" width="80.6640625" style="386" bestFit="1" customWidth="1"/>
    <col min="3" max="3" width="0.1640625" style="386" hidden="1" customWidth="1"/>
    <col min="4" max="8" width="9.33203125" style="386" hidden="1" customWidth="1"/>
    <col min="9" max="9" width="0.1640625" style="386" hidden="1" customWidth="1"/>
    <col min="10" max="11" width="9.33203125" style="386" hidden="1" customWidth="1"/>
    <col min="12" max="13" width="25.33203125" style="386" hidden="1" customWidth="1"/>
    <col min="14" max="15" width="35" style="462" bestFit="1" customWidth="1"/>
    <col min="16" max="16" width="36.6640625" style="462" bestFit="1" customWidth="1"/>
    <col min="17" max="16384" width="9.33203125" style="386"/>
  </cols>
  <sheetData>
    <row r="1" spans="1:16" ht="30" customHeight="1">
      <c r="A1" s="520" t="s">
        <v>45</v>
      </c>
      <c r="B1" s="521">
        <v>12</v>
      </c>
      <c r="C1" s="522"/>
      <c r="D1" s="522"/>
      <c r="E1" s="522"/>
      <c r="F1" s="523"/>
      <c r="G1" s="522"/>
      <c r="H1" s="522"/>
      <c r="I1" s="522"/>
      <c r="J1" s="522"/>
      <c r="K1" s="522"/>
      <c r="L1" s="522"/>
      <c r="M1" s="524"/>
      <c r="N1" s="337"/>
      <c r="O1" s="337"/>
      <c r="P1" s="337"/>
    </row>
    <row r="2" spans="1:16" ht="30" customHeight="1">
      <c r="A2" s="520" t="s">
        <v>28</v>
      </c>
      <c r="B2" s="520" t="s">
        <v>29</v>
      </c>
      <c r="C2" s="520" t="s">
        <v>43</v>
      </c>
      <c r="D2" s="525" t="s">
        <v>2</v>
      </c>
      <c r="E2" s="525" t="s">
        <v>48</v>
      </c>
      <c r="F2" s="526" t="s">
        <v>52</v>
      </c>
      <c r="G2" s="525" t="s">
        <v>62</v>
      </c>
      <c r="H2" s="525" t="s">
        <v>69</v>
      </c>
      <c r="I2" s="525" t="s">
        <v>130</v>
      </c>
      <c r="J2" s="525" t="s">
        <v>135</v>
      </c>
      <c r="K2" s="525" t="s">
        <v>144</v>
      </c>
      <c r="L2" s="525" t="s">
        <v>180</v>
      </c>
      <c r="M2" s="527" t="s">
        <v>297</v>
      </c>
      <c r="N2" s="528" t="s">
        <v>645</v>
      </c>
      <c r="O2" s="528" t="s">
        <v>1111</v>
      </c>
      <c r="P2" s="528" t="s">
        <v>63</v>
      </c>
    </row>
    <row r="3" spans="1:16" ht="30" customHeight="1">
      <c r="A3" s="491" t="s">
        <v>248</v>
      </c>
      <c r="B3" s="491" t="s">
        <v>165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7"/>
      <c r="N3" s="337"/>
      <c r="O3" s="337"/>
      <c r="P3" s="337"/>
    </row>
    <row r="4" spans="1:16" ht="30" customHeight="1">
      <c r="A4" s="491" t="s">
        <v>249</v>
      </c>
      <c r="B4" s="491" t="s">
        <v>250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7"/>
      <c r="N4" s="337"/>
      <c r="O4" s="337"/>
      <c r="P4" s="337"/>
    </row>
    <row r="5" spans="1:16" ht="30" customHeight="1">
      <c r="A5" s="339" t="s">
        <v>247</v>
      </c>
      <c r="B5" s="339" t="s">
        <v>371</v>
      </c>
      <c r="C5" s="339"/>
      <c r="D5" s="339"/>
      <c r="E5" s="339"/>
      <c r="F5" s="339"/>
      <c r="G5" s="339"/>
      <c r="H5" s="339"/>
      <c r="I5" s="339"/>
      <c r="J5" s="339"/>
      <c r="K5" s="339"/>
      <c r="L5" s="339">
        <v>348915600</v>
      </c>
      <c r="M5" s="339">
        <v>1636809600</v>
      </c>
      <c r="N5" s="339">
        <v>1633382400</v>
      </c>
      <c r="O5" s="339">
        <v>2301873600</v>
      </c>
      <c r="P5" s="339">
        <f>O5-N5</f>
        <v>668491200</v>
      </c>
    </row>
    <row r="6" spans="1:16" ht="30" customHeight="1">
      <c r="A6" s="339" t="s">
        <v>251</v>
      </c>
      <c r="B6" s="339" t="s">
        <v>812</v>
      </c>
      <c r="C6" s="339"/>
      <c r="D6" s="339"/>
      <c r="E6" s="339"/>
      <c r="F6" s="339"/>
      <c r="G6" s="339"/>
      <c r="H6" s="339"/>
      <c r="I6" s="339"/>
      <c r="J6" s="339"/>
      <c r="K6" s="339"/>
      <c r="L6" s="339">
        <v>532020000</v>
      </c>
      <c r="M6" s="339">
        <v>0</v>
      </c>
      <c r="N6" s="339">
        <v>97200000</v>
      </c>
      <c r="O6" s="339">
        <v>194400000</v>
      </c>
      <c r="P6" s="339">
        <f t="shared" ref="P6:P48" si="0">O6-N6</f>
        <v>97200000</v>
      </c>
    </row>
    <row r="7" spans="1:16" ht="30" customHeight="1">
      <c r="A7" s="339" t="s">
        <v>252</v>
      </c>
      <c r="B7" s="339" t="s">
        <v>448</v>
      </c>
      <c r="C7" s="339"/>
      <c r="D7" s="339"/>
      <c r="E7" s="339"/>
      <c r="F7" s="339"/>
      <c r="G7" s="339"/>
      <c r="H7" s="339"/>
      <c r="I7" s="339"/>
      <c r="J7" s="339"/>
      <c r="K7" s="339"/>
      <c r="L7" s="339">
        <v>108314400</v>
      </c>
      <c r="M7" s="339">
        <f>108314400+263131200+40000000+40000000</f>
        <v>451445600</v>
      </c>
      <c r="N7" s="339">
        <v>494645600</v>
      </c>
      <c r="O7" s="339">
        <v>649445600</v>
      </c>
      <c r="P7" s="339">
        <f t="shared" si="0"/>
        <v>154800000</v>
      </c>
    </row>
    <row r="8" spans="1:16" ht="30" customHeight="1">
      <c r="A8" s="339"/>
      <c r="B8" s="491" t="s">
        <v>119</v>
      </c>
      <c r="C8" s="339"/>
      <c r="D8" s="339"/>
      <c r="E8" s="339"/>
      <c r="F8" s="339"/>
      <c r="G8" s="339"/>
      <c r="H8" s="339"/>
      <c r="I8" s="339"/>
      <c r="J8" s="339"/>
      <c r="K8" s="339"/>
      <c r="L8" s="491">
        <f>SUM(L5:L7)</f>
        <v>989250000</v>
      </c>
      <c r="M8" s="491">
        <f>SUM(M5:M7)</f>
        <v>2088255200</v>
      </c>
      <c r="N8" s="491">
        <f>SUM(N5:N7)</f>
        <v>2225228000</v>
      </c>
      <c r="O8" s="491">
        <f>SUM(O5:O7)</f>
        <v>3145719200</v>
      </c>
      <c r="P8" s="491">
        <f t="shared" si="0"/>
        <v>920491200</v>
      </c>
    </row>
    <row r="9" spans="1:16" ht="30" customHeight="1">
      <c r="A9" s="491" t="s">
        <v>262</v>
      </c>
      <c r="B9" s="491" t="s">
        <v>263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>
        <f t="shared" si="0"/>
        <v>0</v>
      </c>
    </row>
    <row r="10" spans="1:16" ht="30" customHeight="1">
      <c r="A10" s="491" t="s">
        <v>265</v>
      </c>
      <c r="B10" s="491" t="s">
        <v>264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>
        <f t="shared" si="0"/>
        <v>0</v>
      </c>
    </row>
    <row r="11" spans="1:16" ht="30" customHeight="1">
      <c r="A11" s="339" t="s">
        <v>266</v>
      </c>
      <c r="B11" s="339" t="s">
        <v>38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>
        <v>22344000</v>
      </c>
      <c r="M11" s="339">
        <f>22344000*70%</f>
        <v>15640799.999999998</v>
      </c>
      <c r="N11" s="339">
        <f>22344000*70%</f>
        <v>15640799.999999998</v>
      </c>
      <c r="O11" s="339">
        <v>15640799.999999998</v>
      </c>
      <c r="P11" s="339">
        <f t="shared" si="0"/>
        <v>0</v>
      </c>
    </row>
    <row r="12" spans="1:16" ht="30" customHeight="1">
      <c r="A12" s="339" t="s">
        <v>267</v>
      </c>
      <c r="B12" s="339" t="s">
        <v>152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>
        <v>0</v>
      </c>
      <c r="M12" s="339">
        <v>0</v>
      </c>
      <c r="N12" s="339">
        <v>0</v>
      </c>
      <c r="O12" s="339">
        <v>0</v>
      </c>
      <c r="P12" s="339">
        <f t="shared" si="0"/>
        <v>0</v>
      </c>
    </row>
    <row r="13" spans="1:16" ht="30" customHeight="1">
      <c r="A13" s="339" t="s">
        <v>268</v>
      </c>
      <c r="B13" s="339" t="s">
        <v>153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>
        <v>0</v>
      </c>
      <c r="M13" s="339">
        <v>0</v>
      </c>
      <c r="N13" s="339">
        <v>0</v>
      </c>
      <c r="O13" s="339">
        <v>0</v>
      </c>
      <c r="P13" s="339">
        <f t="shared" si="0"/>
        <v>0</v>
      </c>
    </row>
    <row r="14" spans="1:16" ht="30" customHeight="1">
      <c r="A14" s="339" t="s">
        <v>269</v>
      </c>
      <c r="B14" s="339" t="s">
        <v>186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>
        <v>74480000</v>
      </c>
      <c r="M14" s="339">
        <f>74480000*70%</f>
        <v>52136000</v>
      </c>
      <c r="N14" s="339">
        <f>74480000*70%</f>
        <v>52136000</v>
      </c>
      <c r="O14" s="339">
        <v>52136000</v>
      </c>
      <c r="P14" s="339">
        <f t="shared" si="0"/>
        <v>0</v>
      </c>
    </row>
    <row r="15" spans="1:16" ht="30" customHeight="1">
      <c r="A15" s="339" t="s">
        <v>271</v>
      </c>
      <c r="B15" s="339" t="s">
        <v>831</v>
      </c>
      <c r="C15" s="339"/>
      <c r="D15" s="339"/>
      <c r="E15" s="339"/>
      <c r="F15" s="339"/>
      <c r="G15" s="339"/>
      <c r="H15" s="339"/>
      <c r="I15" s="339"/>
      <c r="J15" s="339"/>
      <c r="K15" s="491"/>
      <c r="L15" s="339">
        <v>74480000</v>
      </c>
      <c r="M15" s="339">
        <f>74480000*70%</f>
        <v>52136000</v>
      </c>
      <c r="N15" s="339">
        <f>M15</f>
        <v>52136000</v>
      </c>
      <c r="O15" s="339">
        <v>52136000</v>
      </c>
      <c r="P15" s="339">
        <f t="shared" si="0"/>
        <v>0</v>
      </c>
    </row>
    <row r="16" spans="1:16" ht="30" customHeight="1">
      <c r="A16" s="339" t="s">
        <v>272</v>
      </c>
      <c r="B16" s="339" t="s">
        <v>54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>
        <v>37240000</v>
      </c>
      <c r="M16" s="339">
        <f>37240000*70%</f>
        <v>26068000</v>
      </c>
      <c r="N16" s="339">
        <f>M16*70%</f>
        <v>18247600</v>
      </c>
      <c r="O16" s="339">
        <v>50000000</v>
      </c>
      <c r="P16" s="339">
        <f t="shared" si="0"/>
        <v>31752400</v>
      </c>
    </row>
    <row r="17" spans="1:16" ht="30" customHeight="1">
      <c r="A17" s="339" t="s">
        <v>274</v>
      </c>
      <c r="B17" s="339" t="s">
        <v>164</v>
      </c>
      <c r="C17" s="491"/>
      <c r="D17" s="491"/>
      <c r="E17" s="491"/>
      <c r="F17" s="491"/>
      <c r="G17" s="491"/>
      <c r="H17" s="491"/>
      <c r="I17" s="491"/>
      <c r="J17" s="491"/>
      <c r="K17" s="339"/>
      <c r="L17" s="339">
        <v>5000000</v>
      </c>
      <c r="M17" s="339">
        <f>5000000*70%</f>
        <v>3500000</v>
      </c>
      <c r="N17" s="339">
        <f>5000000*70%</f>
        <v>3500000</v>
      </c>
      <c r="O17" s="339">
        <v>20000000</v>
      </c>
      <c r="P17" s="339">
        <f t="shared" si="0"/>
        <v>16500000</v>
      </c>
    </row>
    <row r="18" spans="1:16" ht="30" customHeight="1">
      <c r="A18" s="339" t="s">
        <v>275</v>
      </c>
      <c r="B18" s="339" t="s">
        <v>40</v>
      </c>
      <c r="C18" s="339"/>
      <c r="D18" s="339"/>
      <c r="E18" s="339"/>
      <c r="F18" s="339"/>
      <c r="G18" s="339"/>
      <c r="H18" s="339"/>
      <c r="I18" s="339"/>
      <c r="J18" s="339"/>
      <c r="K18" s="339"/>
      <c r="L18" s="339">
        <v>22344000</v>
      </c>
      <c r="M18" s="339">
        <f>22344000*70%</f>
        <v>15640799.999999998</v>
      </c>
      <c r="N18" s="339">
        <f>22344000*70%</f>
        <v>15640799.999999998</v>
      </c>
      <c r="O18" s="339">
        <v>15640799.999999998</v>
      </c>
      <c r="P18" s="339">
        <f t="shared" si="0"/>
        <v>0</v>
      </c>
    </row>
    <row r="19" spans="1:16" ht="30" customHeight="1">
      <c r="A19" s="339" t="s">
        <v>277</v>
      </c>
      <c r="B19" s="339" t="s">
        <v>725</v>
      </c>
      <c r="C19" s="491"/>
      <c r="D19" s="491"/>
      <c r="E19" s="491"/>
      <c r="F19" s="491"/>
      <c r="G19" s="491"/>
      <c r="H19" s="491"/>
      <c r="I19" s="491"/>
      <c r="J19" s="491"/>
      <c r="K19" s="339"/>
      <c r="L19" s="339">
        <v>217304000</v>
      </c>
      <c r="M19" s="339">
        <f>217304000*70%</f>
        <v>152112800</v>
      </c>
      <c r="N19" s="339">
        <f>M19</f>
        <v>152112800</v>
      </c>
      <c r="O19" s="339">
        <v>200000000</v>
      </c>
      <c r="P19" s="339">
        <f t="shared" si="0"/>
        <v>47887200</v>
      </c>
    </row>
    <row r="20" spans="1:16" ht="30" customHeight="1">
      <c r="A20" s="339" t="s">
        <v>321</v>
      </c>
      <c r="B20" s="339" t="s">
        <v>356</v>
      </c>
      <c r="C20" s="488"/>
      <c r="D20" s="488"/>
      <c r="E20" s="488"/>
      <c r="F20" s="338"/>
      <c r="G20" s="338"/>
      <c r="H20" s="338"/>
      <c r="I20" s="338"/>
      <c r="J20" s="338"/>
      <c r="K20" s="338"/>
      <c r="L20" s="497">
        <v>70000000</v>
      </c>
      <c r="M20" s="497">
        <f>70000000*70%</f>
        <v>49000000</v>
      </c>
      <c r="N20" s="339">
        <f>70000000*70%</f>
        <v>49000000</v>
      </c>
      <c r="O20" s="339">
        <v>100000000</v>
      </c>
      <c r="P20" s="339">
        <f t="shared" si="0"/>
        <v>51000000</v>
      </c>
    </row>
    <row r="21" spans="1:16" ht="30" customHeight="1">
      <c r="A21" s="339" t="s">
        <v>733</v>
      </c>
      <c r="B21" s="339" t="s">
        <v>1259</v>
      </c>
      <c r="C21" s="488"/>
      <c r="D21" s="488"/>
      <c r="E21" s="488"/>
      <c r="F21" s="338"/>
      <c r="G21" s="338"/>
      <c r="H21" s="338"/>
      <c r="I21" s="338"/>
      <c r="J21" s="338"/>
      <c r="K21" s="338"/>
      <c r="L21" s="497"/>
      <c r="M21" s="497"/>
      <c r="N21" s="339"/>
      <c r="O21" s="339">
        <v>711622000</v>
      </c>
      <c r="P21" s="339">
        <f t="shared" si="0"/>
        <v>711622000</v>
      </c>
    </row>
    <row r="22" spans="1:16" ht="30" customHeight="1">
      <c r="A22" s="339"/>
      <c r="B22" s="491" t="s">
        <v>119</v>
      </c>
      <c r="C22" s="488"/>
      <c r="D22" s="488"/>
      <c r="E22" s="488"/>
      <c r="F22" s="488"/>
      <c r="G22" s="488"/>
      <c r="H22" s="488"/>
      <c r="I22" s="488"/>
      <c r="J22" s="488"/>
      <c r="K22" s="497"/>
      <c r="L22" s="499">
        <f>SUM(L11:L20)</f>
        <v>523192000</v>
      </c>
      <c r="M22" s="499">
        <f>SUM(M11:M20)</f>
        <v>366234400</v>
      </c>
      <c r="N22" s="491">
        <f>SUM(N11:N20)</f>
        <v>358414000</v>
      </c>
      <c r="O22" s="491">
        <f>SUM(O11:O21)</f>
        <v>1217175600</v>
      </c>
      <c r="P22" s="491">
        <f t="shared" si="0"/>
        <v>858761600</v>
      </c>
    </row>
    <row r="23" spans="1:16" ht="30" customHeight="1">
      <c r="A23" s="491" t="s">
        <v>279</v>
      </c>
      <c r="B23" s="491" t="s">
        <v>278</v>
      </c>
      <c r="C23" s="488"/>
      <c r="D23" s="488"/>
      <c r="E23" s="488"/>
      <c r="F23" s="488"/>
      <c r="G23" s="488"/>
      <c r="H23" s="488"/>
      <c r="I23" s="488"/>
      <c r="J23" s="488"/>
      <c r="K23" s="339"/>
      <c r="L23" s="488"/>
      <c r="M23" s="488"/>
      <c r="N23" s="339"/>
      <c r="O23" s="339"/>
      <c r="P23" s="339">
        <f t="shared" si="0"/>
        <v>0</v>
      </c>
    </row>
    <row r="24" spans="1:16" ht="30" customHeight="1">
      <c r="A24" s="339" t="s">
        <v>280</v>
      </c>
      <c r="B24" s="339" t="s">
        <v>160</v>
      </c>
      <c r="C24" s="488"/>
      <c r="D24" s="488"/>
      <c r="E24" s="488"/>
      <c r="F24" s="488"/>
      <c r="G24" s="488"/>
      <c r="H24" s="488"/>
      <c r="I24" s="488"/>
      <c r="J24" s="488"/>
      <c r="K24" s="339"/>
      <c r="L24" s="337">
        <v>0</v>
      </c>
      <c r="M24" s="337">
        <v>0</v>
      </c>
      <c r="N24" s="337">
        <v>0</v>
      </c>
      <c r="O24" s="337">
        <v>0</v>
      </c>
      <c r="P24" s="339">
        <f t="shared" si="0"/>
        <v>0</v>
      </c>
    </row>
    <row r="25" spans="1:16" ht="30" customHeight="1">
      <c r="A25" s="339" t="s">
        <v>281</v>
      </c>
      <c r="B25" s="339" t="s">
        <v>161</v>
      </c>
      <c r="C25" s="488"/>
      <c r="D25" s="488"/>
      <c r="E25" s="488"/>
      <c r="F25" s="488"/>
      <c r="G25" s="488"/>
      <c r="H25" s="488"/>
      <c r="I25" s="488"/>
      <c r="J25" s="488"/>
      <c r="K25" s="339"/>
      <c r="L25" s="497">
        <v>900000000</v>
      </c>
      <c r="M25" s="497">
        <f>900000000*70%</f>
        <v>630000000</v>
      </c>
      <c r="N25" s="339">
        <f>M25</f>
        <v>630000000</v>
      </c>
      <c r="O25" s="339">
        <v>1600000000</v>
      </c>
      <c r="P25" s="339">
        <f t="shared" si="0"/>
        <v>970000000</v>
      </c>
    </row>
    <row r="26" spans="1:16" ht="30" customHeight="1">
      <c r="A26" s="339" t="s">
        <v>282</v>
      </c>
      <c r="B26" s="339" t="s">
        <v>155</v>
      </c>
      <c r="C26" s="488"/>
      <c r="D26" s="488"/>
      <c r="E26" s="488"/>
      <c r="F26" s="488"/>
      <c r="G26" s="488"/>
      <c r="H26" s="488"/>
      <c r="I26" s="488"/>
      <c r="J26" s="488"/>
      <c r="K26" s="501"/>
      <c r="L26" s="339">
        <v>33516000</v>
      </c>
      <c r="M26" s="339">
        <f>33516000*70%</f>
        <v>23461200</v>
      </c>
      <c r="N26" s="339">
        <f>33516000*70%</f>
        <v>23461200</v>
      </c>
      <c r="O26" s="339">
        <v>23461200</v>
      </c>
      <c r="P26" s="339">
        <f t="shared" si="0"/>
        <v>0</v>
      </c>
    </row>
    <row r="27" spans="1:16" ht="30" customHeight="1" thickBot="1">
      <c r="A27" s="339" t="s">
        <v>283</v>
      </c>
      <c r="B27" s="339" t="s">
        <v>156</v>
      </c>
      <c r="C27" s="529"/>
      <c r="D27" s="529"/>
      <c r="E27" s="529"/>
      <c r="F27" s="529"/>
      <c r="G27" s="529"/>
      <c r="H27" s="529"/>
      <c r="I27" s="529"/>
      <c r="J27" s="529"/>
      <c r="K27" s="530"/>
      <c r="L27" s="339">
        <v>18620000</v>
      </c>
      <c r="M27" s="339">
        <f>18620000*70%</f>
        <v>13034000</v>
      </c>
      <c r="N27" s="339">
        <f>18620000*70%</f>
        <v>13034000</v>
      </c>
      <c r="O27" s="339">
        <v>13034000</v>
      </c>
      <c r="P27" s="339">
        <f t="shared" si="0"/>
        <v>0</v>
      </c>
    </row>
    <row r="28" spans="1:16" ht="30" customHeight="1">
      <c r="A28" s="339" t="s">
        <v>316</v>
      </c>
      <c r="B28" s="339" t="s">
        <v>83</v>
      </c>
      <c r="C28" s="496"/>
      <c r="D28" s="496"/>
      <c r="E28" s="496"/>
      <c r="F28" s="493"/>
      <c r="G28" s="496"/>
      <c r="H28" s="496"/>
      <c r="I28" s="496"/>
      <c r="J28" s="496"/>
      <c r="K28" s="496"/>
      <c r="L28" s="497">
        <v>38500000</v>
      </c>
      <c r="M28" s="497">
        <f>38500000*70%</f>
        <v>26950000</v>
      </c>
      <c r="N28" s="339">
        <v>0</v>
      </c>
      <c r="O28" s="339">
        <v>0</v>
      </c>
      <c r="P28" s="339">
        <f t="shared" si="0"/>
        <v>0</v>
      </c>
    </row>
    <row r="29" spans="1:16" ht="30" customHeight="1">
      <c r="A29" s="339" t="s">
        <v>430</v>
      </c>
      <c r="B29" s="339" t="s">
        <v>314</v>
      </c>
      <c r="C29" s="496"/>
      <c r="D29" s="496"/>
      <c r="E29" s="496"/>
      <c r="F29" s="493"/>
      <c r="G29" s="496"/>
      <c r="H29" s="496"/>
      <c r="I29" s="496"/>
      <c r="J29" s="496"/>
      <c r="K29" s="496"/>
      <c r="L29" s="497">
        <v>22344000</v>
      </c>
      <c r="M29" s="497">
        <f>22344000*70%</f>
        <v>15640799.999999998</v>
      </c>
      <c r="N29" s="339">
        <v>0</v>
      </c>
      <c r="O29" s="339">
        <v>0</v>
      </c>
      <c r="P29" s="339">
        <f t="shared" si="0"/>
        <v>0</v>
      </c>
    </row>
    <row r="30" spans="1:16" ht="30" customHeight="1">
      <c r="A30" s="339"/>
      <c r="B30" s="491" t="s">
        <v>119</v>
      </c>
      <c r="C30" s="496"/>
      <c r="D30" s="496"/>
      <c r="E30" s="496"/>
      <c r="F30" s="493"/>
      <c r="G30" s="496"/>
      <c r="H30" s="496"/>
      <c r="I30" s="496"/>
      <c r="J30" s="496"/>
      <c r="K30" s="496"/>
      <c r="L30" s="501">
        <f>SUM(L24:L29)</f>
        <v>1012980000</v>
      </c>
      <c r="M30" s="501">
        <f>SUM(M24:M29)</f>
        <v>709086000</v>
      </c>
      <c r="N30" s="491">
        <f>SUM(N24:N29)</f>
        <v>666495200</v>
      </c>
      <c r="O30" s="491">
        <f>SUM(O24:O29)</f>
        <v>1636495200</v>
      </c>
      <c r="P30" s="491">
        <f t="shared" si="0"/>
        <v>970000000</v>
      </c>
    </row>
    <row r="31" spans="1:16" ht="30" customHeight="1">
      <c r="A31" s="491" t="s">
        <v>285</v>
      </c>
      <c r="B31" s="491" t="s">
        <v>158</v>
      </c>
      <c r="C31" s="496"/>
      <c r="D31" s="496"/>
      <c r="E31" s="496"/>
      <c r="F31" s="493"/>
      <c r="G31" s="496"/>
      <c r="H31" s="496"/>
      <c r="I31" s="496"/>
      <c r="J31" s="496"/>
      <c r="K31" s="496"/>
      <c r="L31" s="488"/>
      <c r="M31" s="488"/>
      <c r="N31" s="339"/>
      <c r="O31" s="339"/>
      <c r="P31" s="339">
        <f t="shared" si="0"/>
        <v>0</v>
      </c>
    </row>
    <row r="32" spans="1:16" ht="30" customHeight="1">
      <c r="A32" s="339" t="s">
        <v>286</v>
      </c>
      <c r="B32" s="339" t="s">
        <v>55</v>
      </c>
      <c r="C32" s="496"/>
      <c r="D32" s="496"/>
      <c r="E32" s="496"/>
      <c r="F32" s="493"/>
      <c r="G32" s="496"/>
      <c r="H32" s="496"/>
      <c r="I32" s="496"/>
      <c r="J32" s="496"/>
      <c r="K32" s="496"/>
      <c r="L32" s="339">
        <v>148960000</v>
      </c>
      <c r="M32" s="339">
        <f>148960000*70%</f>
        <v>104272000</v>
      </c>
      <c r="N32" s="339">
        <f>148960000*70%</f>
        <v>104272000</v>
      </c>
      <c r="O32" s="339">
        <v>250000000</v>
      </c>
      <c r="P32" s="339">
        <f t="shared" si="0"/>
        <v>145728000</v>
      </c>
    </row>
    <row r="33" spans="1:16" ht="30" customHeight="1">
      <c r="A33" s="339" t="s">
        <v>288</v>
      </c>
      <c r="B33" s="339" t="s">
        <v>287</v>
      </c>
      <c r="C33" s="496"/>
      <c r="D33" s="496"/>
      <c r="E33" s="496"/>
      <c r="F33" s="493"/>
      <c r="G33" s="496"/>
      <c r="H33" s="496"/>
      <c r="I33" s="496"/>
      <c r="J33" s="496"/>
      <c r="K33" s="496"/>
      <c r="L33" s="338">
        <f>K33-J33</f>
        <v>0</v>
      </c>
      <c r="M33" s="338">
        <f>L33-K33</f>
        <v>0</v>
      </c>
      <c r="N33" s="339">
        <f>M33-L33</f>
        <v>0</v>
      </c>
      <c r="O33" s="339">
        <v>0</v>
      </c>
      <c r="P33" s="339">
        <f t="shared" si="0"/>
        <v>0</v>
      </c>
    </row>
    <row r="34" spans="1:16" ht="30" customHeight="1">
      <c r="A34" s="339"/>
      <c r="B34" s="491" t="s">
        <v>119</v>
      </c>
      <c r="C34" s="496"/>
      <c r="D34" s="496"/>
      <c r="E34" s="496"/>
      <c r="F34" s="493"/>
      <c r="G34" s="496"/>
      <c r="H34" s="496"/>
      <c r="I34" s="496"/>
      <c r="J34" s="496"/>
      <c r="K34" s="496"/>
      <c r="L34" s="499">
        <f>SUM(L32:L33)</f>
        <v>148960000</v>
      </c>
      <c r="M34" s="499">
        <f>SUM(M32:M33)</f>
        <v>104272000</v>
      </c>
      <c r="N34" s="491">
        <f>SUM(N32:N33)</f>
        <v>104272000</v>
      </c>
      <c r="O34" s="491">
        <f>SUM(O32:O33)</f>
        <v>250000000</v>
      </c>
      <c r="P34" s="339">
        <f t="shared" si="0"/>
        <v>145728000</v>
      </c>
    </row>
    <row r="35" spans="1:16" ht="30" customHeight="1">
      <c r="A35" s="491" t="s">
        <v>293</v>
      </c>
      <c r="B35" s="491" t="s">
        <v>292</v>
      </c>
      <c r="C35" s="496"/>
      <c r="D35" s="496"/>
      <c r="E35" s="496"/>
      <c r="F35" s="493"/>
      <c r="G35" s="496"/>
      <c r="H35" s="496"/>
      <c r="I35" s="496"/>
      <c r="J35" s="496"/>
      <c r="K35" s="496"/>
      <c r="L35" s="488"/>
      <c r="M35" s="488"/>
      <c r="N35" s="339"/>
      <c r="O35" s="339"/>
      <c r="P35" s="339">
        <f t="shared" si="0"/>
        <v>0</v>
      </c>
    </row>
    <row r="36" spans="1:16" ht="30" customHeight="1">
      <c r="A36" s="491" t="s">
        <v>294</v>
      </c>
      <c r="B36" s="491" t="s">
        <v>291</v>
      </c>
      <c r="C36" s="496"/>
      <c r="D36" s="496"/>
      <c r="E36" s="496"/>
      <c r="F36" s="493"/>
      <c r="G36" s="496"/>
      <c r="H36" s="496"/>
      <c r="I36" s="496"/>
      <c r="J36" s="496"/>
      <c r="K36" s="496"/>
      <c r="L36" s="488"/>
      <c r="M36" s="488"/>
      <c r="N36" s="339"/>
      <c r="O36" s="339"/>
      <c r="P36" s="339">
        <f t="shared" si="0"/>
        <v>0</v>
      </c>
    </row>
    <row r="37" spans="1:16" ht="30" customHeight="1">
      <c r="A37" s="339" t="s">
        <v>388</v>
      </c>
      <c r="B37" s="339" t="s">
        <v>309</v>
      </c>
      <c r="C37" s="496"/>
      <c r="D37" s="496"/>
      <c r="E37" s="496"/>
      <c r="F37" s="493"/>
      <c r="G37" s="496"/>
      <c r="H37" s="496"/>
      <c r="I37" s="496"/>
      <c r="J37" s="496"/>
      <c r="K37" s="496"/>
      <c r="L37" s="338">
        <f>K37-J37</f>
        <v>0</v>
      </c>
      <c r="M37" s="338">
        <v>185250000</v>
      </c>
      <c r="N37" s="339">
        <v>0</v>
      </c>
      <c r="O37" s="339">
        <v>138000000</v>
      </c>
      <c r="P37" s="339">
        <f t="shared" si="0"/>
        <v>138000000</v>
      </c>
    </row>
    <row r="38" spans="1:16" ht="30" customHeight="1">
      <c r="A38" s="339" t="s">
        <v>295</v>
      </c>
      <c r="B38" s="339" t="s">
        <v>176</v>
      </c>
      <c r="C38" s="496"/>
      <c r="D38" s="496"/>
      <c r="E38" s="496"/>
      <c r="F38" s="493"/>
      <c r="G38" s="496"/>
      <c r="H38" s="496"/>
      <c r="I38" s="496"/>
      <c r="J38" s="496"/>
      <c r="K38" s="496"/>
      <c r="L38" s="497">
        <v>52136000</v>
      </c>
      <c r="M38" s="497">
        <v>0</v>
      </c>
      <c r="N38" s="339">
        <v>0</v>
      </c>
      <c r="O38" s="339">
        <v>0</v>
      </c>
      <c r="P38" s="339">
        <f t="shared" si="0"/>
        <v>0</v>
      </c>
    </row>
    <row r="39" spans="1:16" ht="30" customHeight="1">
      <c r="A39" s="339" t="s">
        <v>296</v>
      </c>
      <c r="B39" s="339" t="s">
        <v>177</v>
      </c>
      <c r="C39" s="496"/>
      <c r="D39" s="496"/>
      <c r="E39" s="496"/>
      <c r="F39" s="493"/>
      <c r="G39" s="496"/>
      <c r="H39" s="496"/>
      <c r="I39" s="496"/>
      <c r="J39" s="496"/>
      <c r="K39" s="496"/>
      <c r="L39" s="497">
        <v>10000000</v>
      </c>
      <c r="M39" s="497">
        <f>10000000*70%</f>
        <v>7000000</v>
      </c>
      <c r="N39" s="339">
        <v>0</v>
      </c>
      <c r="O39" s="339">
        <v>0</v>
      </c>
      <c r="P39" s="339">
        <f t="shared" si="0"/>
        <v>0</v>
      </c>
    </row>
    <row r="40" spans="1:16" ht="30" customHeight="1">
      <c r="A40" s="339" t="s">
        <v>372</v>
      </c>
      <c r="B40" s="339" t="s">
        <v>373</v>
      </c>
      <c r="C40" s="496"/>
      <c r="D40" s="496"/>
      <c r="E40" s="496"/>
      <c r="F40" s="493"/>
      <c r="G40" s="496"/>
      <c r="H40" s="496"/>
      <c r="I40" s="496"/>
      <c r="J40" s="496"/>
      <c r="K40" s="496"/>
      <c r="L40" s="497">
        <v>75000000</v>
      </c>
      <c r="M40" s="497">
        <v>234764000</v>
      </c>
      <c r="N40" s="339">
        <f>M40</f>
        <v>234764000</v>
      </c>
      <c r="O40" s="339">
        <v>484764000</v>
      </c>
      <c r="P40" s="339">
        <f t="shared" si="0"/>
        <v>250000000</v>
      </c>
    </row>
    <row r="41" spans="1:16" ht="30" customHeight="1">
      <c r="A41" s="339" t="s">
        <v>1172</v>
      </c>
      <c r="B41" s="339" t="s">
        <v>628</v>
      </c>
      <c r="C41" s="496"/>
      <c r="D41" s="496"/>
      <c r="E41" s="496"/>
      <c r="F41" s="493"/>
      <c r="G41" s="496"/>
      <c r="H41" s="496"/>
      <c r="I41" s="496"/>
      <c r="J41" s="496"/>
      <c r="K41" s="496"/>
      <c r="L41" s="497">
        <v>0</v>
      </c>
      <c r="M41" s="497">
        <v>2760000000</v>
      </c>
      <c r="N41" s="339">
        <v>4200000000</v>
      </c>
      <c r="O41" s="339"/>
      <c r="P41" s="339">
        <f t="shared" si="0"/>
        <v>-4200000000</v>
      </c>
    </row>
    <row r="42" spans="1:16" ht="30" customHeight="1">
      <c r="A42" s="339"/>
      <c r="B42" s="339" t="s">
        <v>119</v>
      </c>
      <c r="C42" s="496"/>
      <c r="D42" s="496"/>
      <c r="E42" s="496"/>
      <c r="F42" s="493"/>
      <c r="G42" s="496"/>
      <c r="H42" s="496"/>
      <c r="I42" s="496"/>
      <c r="J42" s="496"/>
      <c r="K42" s="496"/>
      <c r="L42" s="501">
        <f>SUM(L37:L41)</f>
        <v>137136000</v>
      </c>
      <c r="M42" s="501">
        <f>SUM(M37:M41)</f>
        <v>3187014000</v>
      </c>
      <c r="N42" s="491">
        <f>SUM(N37:N41)</f>
        <v>4434764000</v>
      </c>
      <c r="O42" s="491">
        <f>SUM(O37:O41)</f>
        <v>622764000</v>
      </c>
      <c r="P42" s="491">
        <f t="shared" si="0"/>
        <v>-3812000000</v>
      </c>
    </row>
    <row r="43" spans="1:16" ht="30" customHeight="1">
      <c r="A43" s="491" t="s">
        <v>381</v>
      </c>
      <c r="B43" s="339" t="s">
        <v>157</v>
      </c>
      <c r="C43" s="496"/>
      <c r="D43" s="496"/>
      <c r="E43" s="496"/>
      <c r="F43" s="496"/>
      <c r="G43" s="496"/>
      <c r="H43" s="496"/>
      <c r="I43" s="496"/>
      <c r="J43" s="496"/>
      <c r="K43" s="496"/>
      <c r="L43" s="338"/>
      <c r="M43" s="338"/>
      <c r="N43" s="339"/>
      <c r="O43" s="339"/>
      <c r="P43" s="339">
        <f t="shared" si="0"/>
        <v>0</v>
      </c>
    </row>
    <row r="44" spans="1:16" ht="30" customHeight="1">
      <c r="A44" s="339" t="s">
        <v>382</v>
      </c>
      <c r="B44" s="339" t="s">
        <v>627</v>
      </c>
      <c r="C44" s="496"/>
      <c r="D44" s="496"/>
      <c r="E44" s="496"/>
      <c r="F44" s="496"/>
      <c r="G44" s="496"/>
      <c r="H44" s="496"/>
      <c r="I44" s="496"/>
      <c r="J44" s="496"/>
      <c r="K44" s="496"/>
      <c r="L44" s="338">
        <v>0</v>
      </c>
      <c r="M44" s="338">
        <v>358688000</v>
      </c>
      <c r="N44" s="339">
        <v>330703860</v>
      </c>
      <c r="O44" s="339">
        <v>0</v>
      </c>
      <c r="P44" s="339">
        <f t="shared" si="0"/>
        <v>-330703860</v>
      </c>
    </row>
    <row r="45" spans="1:16" ht="30" customHeight="1">
      <c r="A45" s="339"/>
      <c r="B45" s="491" t="s">
        <v>119</v>
      </c>
      <c r="C45" s="496"/>
      <c r="D45" s="496"/>
      <c r="E45" s="496"/>
      <c r="F45" s="496"/>
      <c r="G45" s="496"/>
      <c r="H45" s="496"/>
      <c r="I45" s="496"/>
      <c r="J45" s="496"/>
      <c r="K45" s="496"/>
      <c r="L45" s="499">
        <f>SUM(L44)</f>
        <v>0</v>
      </c>
      <c r="M45" s="499">
        <f>SUM(M44)</f>
        <v>358688000</v>
      </c>
      <c r="N45" s="491">
        <f>SUM(N44)</f>
        <v>330703860</v>
      </c>
      <c r="O45" s="491">
        <f>SUM(O44)</f>
        <v>0</v>
      </c>
      <c r="P45" s="339">
        <f t="shared" si="0"/>
        <v>-330703860</v>
      </c>
    </row>
    <row r="46" spans="1:16" ht="30" customHeight="1">
      <c r="A46" s="531" t="s">
        <v>611</v>
      </c>
      <c r="B46" s="532" t="s">
        <v>612</v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>
        <f t="shared" si="0"/>
        <v>0</v>
      </c>
    </row>
    <row r="47" spans="1:16" ht="30" customHeight="1">
      <c r="A47" s="533" t="s">
        <v>433</v>
      </c>
      <c r="B47" s="339" t="s">
        <v>618</v>
      </c>
      <c r="C47" s="491"/>
      <c r="D47" s="491"/>
      <c r="E47" s="491"/>
      <c r="F47" s="491"/>
      <c r="G47" s="491"/>
      <c r="H47" s="491"/>
      <c r="I47" s="491"/>
      <c r="J47" s="491"/>
      <c r="K47" s="339"/>
      <c r="L47" s="339">
        <v>17800000</v>
      </c>
      <c r="M47" s="339">
        <f>1511608000*70%-150000000-50000000</f>
        <v>858125599.99999988</v>
      </c>
      <c r="N47" s="339">
        <v>998125600</v>
      </c>
      <c r="O47" s="339">
        <v>1298125600</v>
      </c>
      <c r="P47" s="339">
        <f t="shared" si="0"/>
        <v>300000000</v>
      </c>
    </row>
    <row r="48" spans="1:16" ht="30" customHeight="1">
      <c r="A48" s="533"/>
      <c r="B48" s="339"/>
      <c r="C48" s="534"/>
      <c r="D48" s="534"/>
      <c r="E48" s="534"/>
      <c r="F48" s="534"/>
      <c r="G48" s="534"/>
      <c r="H48" s="534"/>
      <c r="I48" s="534"/>
      <c r="J48" s="534"/>
      <c r="K48" s="535"/>
      <c r="L48" s="491">
        <f>SUM(L47)</f>
        <v>17800000</v>
      </c>
      <c r="M48" s="491">
        <f>SUM(M47)</f>
        <v>858125599.99999988</v>
      </c>
      <c r="N48" s="491">
        <f>SUM(N47)</f>
        <v>998125600</v>
      </c>
      <c r="O48" s="491">
        <f>SUM(O47)</f>
        <v>1298125600</v>
      </c>
      <c r="P48" s="491">
        <f t="shared" si="0"/>
        <v>300000000</v>
      </c>
    </row>
    <row r="49" spans="1:16" ht="30" customHeight="1">
      <c r="A49" s="339"/>
      <c r="B49" s="491" t="s">
        <v>42</v>
      </c>
      <c r="C49" s="496"/>
      <c r="D49" s="496"/>
      <c r="E49" s="496"/>
      <c r="F49" s="493"/>
      <c r="G49" s="496"/>
      <c r="H49" s="496"/>
      <c r="I49" s="496"/>
      <c r="J49" s="496"/>
      <c r="K49" s="496"/>
      <c r="L49" s="499">
        <f>L48+L42+L45+L34+L30+L22+L8</f>
        <v>2829318000</v>
      </c>
      <c r="M49" s="499">
        <f>M48+M42+M45+M34+M30+M22+M8</f>
        <v>7671675200</v>
      </c>
      <c r="N49" s="491">
        <f>N48+N42+N45+N34+N30+N22+N8</f>
        <v>9118002660</v>
      </c>
      <c r="O49" s="491">
        <f>O48+O42+O34+O30+O22+O8+O45</f>
        <v>8170279600</v>
      </c>
      <c r="P49" s="491">
        <f>P48+P42+P30+P34+P22+P8</f>
        <v>-617019200</v>
      </c>
    </row>
    <row r="50" spans="1:16" ht="30" customHeight="1">
      <c r="A50" s="398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536"/>
      <c r="O50" s="536"/>
      <c r="P50" s="536"/>
    </row>
    <row r="53" spans="1:16" ht="30" customHeight="1">
      <c r="L53" s="537"/>
    </row>
  </sheetData>
  <pageMargins left="0.7" right="0.25" top="0.51" bottom="0.24" header="0.17" footer="0.17"/>
  <pageSetup scale="50" orientation="portrait" r:id="rId1"/>
  <headerFooter>
    <oddHeader>&amp;C&amp;"Times New Roman,Bold"&amp;28Wasaaradda Warfaafinta.</oddHeader>
    <oddFooter>&amp;R&amp;"Times New Roman,Bold"&amp;12 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9"/>
  <sheetViews>
    <sheetView view="pageBreakPreview" topLeftCell="A46" zoomScale="60" workbookViewId="0">
      <selection sqref="A1:XFD1048576"/>
    </sheetView>
  </sheetViews>
  <sheetFormatPr defaultRowHeight="30.95" customHeight="1"/>
  <cols>
    <col min="1" max="1" width="20.1640625" style="386" bestFit="1" customWidth="1"/>
    <col min="2" max="2" width="87.5" style="386" customWidth="1"/>
    <col min="3" max="3" width="16.5" style="386" hidden="1" customWidth="1"/>
    <col min="4" max="4" width="0.6640625" style="386" hidden="1" customWidth="1"/>
    <col min="5" max="5" width="0.83203125" style="386" hidden="1" customWidth="1"/>
    <col min="6" max="6" width="18.1640625" style="386" hidden="1" customWidth="1"/>
    <col min="7" max="7" width="17.6640625" style="386" hidden="1" customWidth="1"/>
    <col min="8" max="8" width="25.33203125" style="386" hidden="1" customWidth="1"/>
    <col min="9" max="9" width="29" style="386" hidden="1" customWidth="1"/>
    <col min="10" max="11" width="31.1640625" style="462" bestFit="1" customWidth="1"/>
    <col min="12" max="12" width="30.33203125" style="462" bestFit="1" customWidth="1"/>
    <col min="13" max="13" width="11.5" style="386" bestFit="1" customWidth="1"/>
    <col min="14" max="16384" width="9.33203125" style="386"/>
  </cols>
  <sheetData>
    <row r="1" spans="1:13" ht="30.95" customHeight="1">
      <c r="A1" s="373" t="s">
        <v>45</v>
      </c>
      <c r="B1" s="443" t="s">
        <v>1245</v>
      </c>
      <c r="C1" s="335"/>
      <c r="D1" s="335"/>
      <c r="E1" s="335"/>
      <c r="F1" s="335"/>
      <c r="G1" s="335"/>
      <c r="H1" s="335"/>
      <c r="I1" s="335"/>
      <c r="J1" s="284"/>
      <c r="K1" s="284"/>
      <c r="L1" s="284"/>
    </row>
    <row r="2" spans="1:13" ht="30.95" customHeight="1">
      <c r="A2" s="538" t="s">
        <v>28</v>
      </c>
      <c r="B2" s="538" t="s">
        <v>29</v>
      </c>
      <c r="C2" s="539" t="s">
        <v>62</v>
      </c>
      <c r="D2" s="539" t="s">
        <v>69</v>
      </c>
      <c r="E2" s="539" t="s">
        <v>130</v>
      </c>
      <c r="F2" s="539" t="s">
        <v>135</v>
      </c>
      <c r="G2" s="539" t="s">
        <v>143</v>
      </c>
      <c r="H2" s="540" t="s">
        <v>180</v>
      </c>
      <c r="I2" s="541" t="s">
        <v>297</v>
      </c>
      <c r="J2" s="542" t="s">
        <v>643</v>
      </c>
      <c r="K2" s="542" t="s">
        <v>1111</v>
      </c>
      <c r="L2" s="542" t="s">
        <v>63</v>
      </c>
    </row>
    <row r="3" spans="1:13" ht="30.95" customHeight="1">
      <c r="A3" s="292" t="s">
        <v>248</v>
      </c>
      <c r="B3" s="292" t="s">
        <v>165</v>
      </c>
      <c r="C3" s="543"/>
      <c r="D3" s="543"/>
      <c r="E3" s="543"/>
      <c r="F3" s="543"/>
      <c r="G3" s="543"/>
      <c r="H3" s="544"/>
      <c r="I3" s="335"/>
      <c r="J3" s="284"/>
      <c r="K3" s="284"/>
      <c r="L3" s="284"/>
    </row>
    <row r="4" spans="1:13" ht="30.95" customHeight="1">
      <c r="A4" s="292" t="s">
        <v>249</v>
      </c>
      <c r="B4" s="292" t="s">
        <v>250</v>
      </c>
      <c r="C4" s="545"/>
      <c r="D4" s="545"/>
      <c r="E4" s="545"/>
      <c r="F4" s="545"/>
      <c r="G4" s="545"/>
      <c r="H4" s="546"/>
      <c r="I4" s="336"/>
      <c r="J4" s="284"/>
      <c r="K4" s="284"/>
      <c r="L4" s="284"/>
    </row>
    <row r="5" spans="1:13" ht="30.95" customHeight="1">
      <c r="A5" s="284" t="s">
        <v>247</v>
      </c>
      <c r="B5" s="284" t="s">
        <v>371</v>
      </c>
      <c r="C5" s="545"/>
      <c r="D5" s="545"/>
      <c r="E5" s="545"/>
      <c r="F5" s="545"/>
      <c r="G5" s="545"/>
      <c r="H5" s="546">
        <v>0</v>
      </c>
      <c r="I5" s="546">
        <v>635964000</v>
      </c>
      <c r="J5" s="546">
        <v>820778400</v>
      </c>
      <c r="K5" s="546">
        <v>830949600</v>
      </c>
      <c r="L5" s="546">
        <f>K5-J5</f>
        <v>10171200</v>
      </c>
    </row>
    <row r="6" spans="1:13" ht="30.95" customHeight="1">
      <c r="A6" s="284" t="s">
        <v>251</v>
      </c>
      <c r="B6" s="284" t="s">
        <v>33</v>
      </c>
      <c r="C6" s="545"/>
      <c r="D6" s="545"/>
      <c r="E6" s="545"/>
      <c r="F6" s="545"/>
      <c r="G6" s="545"/>
      <c r="H6" s="546">
        <v>683040000</v>
      </c>
      <c r="I6" s="546">
        <v>0</v>
      </c>
      <c r="J6" s="546">
        <v>5314200000</v>
      </c>
      <c r="K6" s="546">
        <v>3292234560</v>
      </c>
      <c r="L6" s="546">
        <f t="shared" ref="L6:L45" si="0">K6-J6</f>
        <v>-2021965440</v>
      </c>
    </row>
    <row r="7" spans="1:13" ht="30.95" customHeight="1">
      <c r="A7" s="284" t="s">
        <v>252</v>
      </c>
      <c r="B7" s="284" t="s">
        <v>34</v>
      </c>
      <c r="C7" s="545"/>
      <c r="D7" s="545"/>
      <c r="E7" s="545"/>
      <c r="F7" s="545"/>
      <c r="G7" s="545"/>
      <c r="H7" s="546">
        <v>81600000</v>
      </c>
      <c r="I7" s="546">
        <f>81600000+86400000+21600000+1366080000</f>
        <v>1555680000</v>
      </c>
      <c r="J7" s="546">
        <v>2096880000</v>
      </c>
      <c r="K7" s="546">
        <v>2096880000</v>
      </c>
      <c r="L7" s="546">
        <f t="shared" si="0"/>
        <v>0</v>
      </c>
      <c r="M7" s="537"/>
    </row>
    <row r="8" spans="1:13" ht="30.95" customHeight="1">
      <c r="A8" s="284"/>
      <c r="B8" s="292" t="s">
        <v>119</v>
      </c>
      <c r="C8" s="547"/>
      <c r="D8" s="547"/>
      <c r="E8" s="547"/>
      <c r="F8" s="547"/>
      <c r="G8" s="545"/>
      <c r="H8" s="548">
        <f>SUM(H6:H7)</f>
        <v>764640000</v>
      </c>
      <c r="I8" s="548">
        <f>SUM(I5:I7)</f>
        <v>2191644000</v>
      </c>
      <c r="J8" s="548">
        <f>SUM(J5:J7)</f>
        <v>8231858400</v>
      </c>
      <c r="K8" s="548">
        <f>SUM(K5:K7)</f>
        <v>6220064160</v>
      </c>
      <c r="L8" s="548">
        <f t="shared" si="0"/>
        <v>-2011794240</v>
      </c>
    </row>
    <row r="9" spans="1:13" ht="30.95" customHeight="1">
      <c r="A9" s="292" t="s">
        <v>262</v>
      </c>
      <c r="B9" s="292" t="s">
        <v>263</v>
      </c>
      <c r="C9" s="545"/>
      <c r="D9" s="545"/>
      <c r="E9" s="545"/>
      <c r="F9" s="545"/>
      <c r="G9" s="545"/>
      <c r="H9" s="546"/>
      <c r="I9" s="546"/>
      <c r="J9" s="546"/>
      <c r="K9" s="546"/>
      <c r="L9" s="546">
        <f t="shared" si="0"/>
        <v>0</v>
      </c>
    </row>
    <row r="10" spans="1:13" ht="30.95" customHeight="1">
      <c r="A10" s="292" t="s">
        <v>265</v>
      </c>
      <c r="B10" s="292" t="s">
        <v>264</v>
      </c>
      <c r="C10" s="549"/>
      <c r="D10" s="549"/>
      <c r="E10" s="549"/>
      <c r="F10" s="549"/>
      <c r="G10" s="549"/>
      <c r="H10" s="546"/>
      <c r="I10" s="546"/>
      <c r="J10" s="546"/>
      <c r="K10" s="546"/>
      <c r="L10" s="546">
        <f t="shared" si="0"/>
        <v>0</v>
      </c>
    </row>
    <row r="11" spans="1:13" ht="30.95" customHeight="1">
      <c r="A11" s="284" t="s">
        <v>266</v>
      </c>
      <c r="B11" s="284" t="s">
        <v>38</v>
      </c>
      <c r="C11" s="545"/>
      <c r="D11" s="545"/>
      <c r="E11" s="545"/>
      <c r="F11" s="545"/>
      <c r="G11" s="545"/>
      <c r="H11" s="550">
        <v>14896000</v>
      </c>
      <c r="I11" s="550">
        <f>14896000*70%</f>
        <v>10427200</v>
      </c>
      <c r="J11" s="546">
        <f>14896000*70%</f>
        <v>10427200</v>
      </c>
      <c r="K11" s="546">
        <v>40427200</v>
      </c>
      <c r="L11" s="546">
        <f t="shared" si="0"/>
        <v>30000000</v>
      </c>
    </row>
    <row r="12" spans="1:13" ht="30.95" customHeight="1">
      <c r="A12" s="284" t="s">
        <v>269</v>
      </c>
      <c r="B12" s="284" t="s">
        <v>186</v>
      </c>
      <c r="C12" s="545"/>
      <c r="D12" s="545"/>
      <c r="E12" s="545"/>
      <c r="F12" s="545"/>
      <c r="G12" s="545"/>
      <c r="H12" s="546">
        <v>29792000</v>
      </c>
      <c r="I12" s="546">
        <f>95792000*70%</f>
        <v>67054399.999999993</v>
      </c>
      <c r="J12" s="546">
        <f>95792000*70%</f>
        <v>67054399.999999993</v>
      </c>
      <c r="K12" s="546">
        <f>95792000*70%</f>
        <v>67054399.999999993</v>
      </c>
      <c r="L12" s="546">
        <f t="shared" si="0"/>
        <v>0</v>
      </c>
    </row>
    <row r="13" spans="1:13" ht="30.95" customHeight="1">
      <c r="A13" s="284" t="s">
        <v>488</v>
      </c>
      <c r="B13" s="284" t="s">
        <v>1149</v>
      </c>
      <c r="C13" s="545"/>
      <c r="D13" s="545"/>
      <c r="E13" s="545"/>
      <c r="F13" s="545"/>
      <c r="G13" s="545"/>
      <c r="H13" s="546"/>
      <c r="I13" s="546"/>
      <c r="J13" s="546">
        <v>0</v>
      </c>
      <c r="K13" s="546">
        <v>360000000</v>
      </c>
      <c r="L13" s="546">
        <f t="shared" si="0"/>
        <v>360000000</v>
      </c>
    </row>
    <row r="14" spans="1:13" ht="30.95" customHeight="1">
      <c r="A14" s="284" t="s">
        <v>271</v>
      </c>
      <c r="B14" s="284" t="s">
        <v>154</v>
      </c>
      <c r="C14" s="545"/>
      <c r="D14" s="545"/>
      <c r="E14" s="545"/>
      <c r="F14" s="545"/>
      <c r="G14" s="545"/>
      <c r="H14" s="546">
        <v>19379696</v>
      </c>
      <c r="I14" s="546">
        <f>19379696*70%</f>
        <v>13565787.199999999</v>
      </c>
      <c r="J14" s="546">
        <v>0</v>
      </c>
      <c r="K14" s="546">
        <v>0</v>
      </c>
      <c r="L14" s="546">
        <f t="shared" si="0"/>
        <v>0</v>
      </c>
    </row>
    <row r="15" spans="1:13" ht="30.95" customHeight="1">
      <c r="A15" s="284" t="s">
        <v>274</v>
      </c>
      <c r="B15" s="284" t="s">
        <v>164</v>
      </c>
      <c r="C15" s="545"/>
      <c r="D15" s="545"/>
      <c r="E15" s="545"/>
      <c r="F15" s="545"/>
      <c r="G15" s="545"/>
      <c r="H15" s="546">
        <v>3724000</v>
      </c>
      <c r="I15" s="546">
        <f>3724000*70%</f>
        <v>2606800</v>
      </c>
      <c r="J15" s="546">
        <f>3724000*70%</f>
        <v>2606800</v>
      </c>
      <c r="K15" s="546">
        <f>3724000*70%</f>
        <v>2606800</v>
      </c>
      <c r="L15" s="546">
        <f t="shared" si="0"/>
        <v>0</v>
      </c>
    </row>
    <row r="16" spans="1:13" ht="30.95" customHeight="1">
      <c r="A16" s="284" t="s">
        <v>275</v>
      </c>
      <c r="B16" s="284" t="s">
        <v>40</v>
      </c>
      <c r="C16" s="545"/>
      <c r="D16" s="545"/>
      <c r="E16" s="545"/>
      <c r="F16" s="545"/>
      <c r="G16" s="545"/>
      <c r="H16" s="546">
        <v>5958400</v>
      </c>
      <c r="I16" s="546">
        <f>5958400*70%</f>
        <v>4170879.9999999995</v>
      </c>
      <c r="J16" s="546">
        <f>5958400*70%</f>
        <v>4170879.9999999995</v>
      </c>
      <c r="K16" s="546">
        <f>5958400*70%</f>
        <v>4170879.9999999995</v>
      </c>
      <c r="L16" s="546">
        <f t="shared" si="0"/>
        <v>0</v>
      </c>
    </row>
    <row r="17" spans="1:12" ht="30.95" customHeight="1">
      <c r="A17" s="284" t="s">
        <v>277</v>
      </c>
      <c r="B17" s="284" t="s">
        <v>724</v>
      </c>
      <c r="C17" s="545"/>
      <c r="D17" s="545"/>
      <c r="E17" s="545"/>
      <c r="F17" s="545"/>
      <c r="G17" s="545"/>
      <c r="H17" s="546">
        <f>589000000</f>
        <v>589000000</v>
      </c>
      <c r="I17" s="546">
        <f>589000000+600000000+130000000</f>
        <v>1319000000</v>
      </c>
      <c r="J17" s="546">
        <f>I17</f>
        <v>1319000000</v>
      </c>
      <c r="K17" s="546">
        <v>1519000000</v>
      </c>
      <c r="L17" s="546">
        <f t="shared" si="0"/>
        <v>200000000</v>
      </c>
    </row>
    <row r="18" spans="1:12" ht="30.95" customHeight="1">
      <c r="A18" s="284" t="s">
        <v>561</v>
      </c>
      <c r="B18" s="284" t="s">
        <v>562</v>
      </c>
      <c r="C18" s="545"/>
      <c r="D18" s="545"/>
      <c r="E18" s="545"/>
      <c r="F18" s="545"/>
      <c r="G18" s="545"/>
      <c r="H18" s="546">
        <v>0</v>
      </c>
      <c r="I18" s="546">
        <f>3711115980</f>
        <v>3711115980</v>
      </c>
      <c r="J18" s="546">
        <f>3711115980</f>
        <v>3711115980</v>
      </c>
      <c r="K18" s="546">
        <v>2054145600</v>
      </c>
      <c r="L18" s="546">
        <f t="shared" si="0"/>
        <v>-1656970380</v>
      </c>
    </row>
    <row r="19" spans="1:12" ht="30.95" customHeight="1">
      <c r="A19" s="284" t="s">
        <v>733</v>
      </c>
      <c r="B19" s="284" t="s">
        <v>1265</v>
      </c>
      <c r="C19" s="545"/>
      <c r="D19" s="545"/>
      <c r="E19" s="545"/>
      <c r="F19" s="545"/>
      <c r="G19" s="545"/>
      <c r="H19" s="546"/>
      <c r="I19" s="546"/>
      <c r="J19" s="546">
        <v>0</v>
      </c>
      <c r="K19" s="546">
        <v>720768500</v>
      </c>
      <c r="L19" s="546">
        <f t="shared" si="0"/>
        <v>720768500</v>
      </c>
    </row>
    <row r="20" spans="1:12" ht="30.95" customHeight="1">
      <c r="A20" s="284" t="s">
        <v>1165</v>
      </c>
      <c r="B20" s="284" t="s">
        <v>889</v>
      </c>
      <c r="C20" s="545"/>
      <c r="D20" s="545"/>
      <c r="E20" s="545"/>
      <c r="F20" s="545"/>
      <c r="G20" s="545"/>
      <c r="H20" s="546"/>
      <c r="I20" s="546"/>
      <c r="J20" s="546">
        <v>2000000000</v>
      </c>
      <c r="K20" s="546">
        <v>2101548960</v>
      </c>
      <c r="L20" s="546">
        <f t="shared" si="0"/>
        <v>101548960</v>
      </c>
    </row>
    <row r="21" spans="1:12" ht="30.95" customHeight="1">
      <c r="A21" s="284"/>
      <c r="B21" s="292" t="s">
        <v>119</v>
      </c>
      <c r="C21" s="545"/>
      <c r="D21" s="545"/>
      <c r="E21" s="545"/>
      <c r="F21" s="545"/>
      <c r="G21" s="545"/>
      <c r="H21" s="548">
        <f>SUM(H11:H18)</f>
        <v>662750096</v>
      </c>
      <c r="I21" s="548">
        <f>SUM(I11:I18)</f>
        <v>5127941047.1999998</v>
      </c>
      <c r="J21" s="548">
        <f>SUM(J11:J20)</f>
        <v>7114375260</v>
      </c>
      <c r="K21" s="548">
        <f>SUM(K11:K20)</f>
        <v>6869722340</v>
      </c>
      <c r="L21" s="548">
        <f t="shared" si="0"/>
        <v>-244652920</v>
      </c>
    </row>
    <row r="22" spans="1:12" ht="30.95" customHeight="1">
      <c r="A22" s="292" t="s">
        <v>279</v>
      </c>
      <c r="B22" s="292" t="s">
        <v>278</v>
      </c>
      <c r="C22" s="545"/>
      <c r="D22" s="545"/>
      <c r="E22" s="545"/>
      <c r="F22" s="545"/>
      <c r="G22" s="545"/>
      <c r="H22" s="546"/>
      <c r="I22" s="546"/>
      <c r="J22" s="546"/>
      <c r="K22" s="546"/>
      <c r="L22" s="546">
        <f t="shared" si="0"/>
        <v>0</v>
      </c>
    </row>
    <row r="23" spans="1:12" ht="30.95" customHeight="1">
      <c r="A23" s="284" t="s">
        <v>280</v>
      </c>
      <c r="B23" s="284" t="s">
        <v>160</v>
      </c>
      <c r="C23" s="551"/>
      <c r="D23" s="551"/>
      <c r="E23" s="551"/>
      <c r="F23" s="551"/>
      <c r="G23" s="552"/>
      <c r="H23" s="546">
        <v>0</v>
      </c>
      <c r="I23" s="546">
        <v>0</v>
      </c>
      <c r="J23" s="546">
        <v>0</v>
      </c>
      <c r="K23" s="546">
        <v>0</v>
      </c>
      <c r="L23" s="546">
        <f t="shared" si="0"/>
        <v>0</v>
      </c>
    </row>
    <row r="24" spans="1:12" ht="30.95" customHeight="1" thickBot="1">
      <c r="A24" s="284" t="s">
        <v>281</v>
      </c>
      <c r="B24" s="284" t="s">
        <v>161</v>
      </c>
      <c r="C24" s="553"/>
      <c r="D24" s="553"/>
      <c r="E24" s="553"/>
      <c r="F24" s="553"/>
      <c r="G24" s="553"/>
      <c r="H24" s="554">
        <v>520000000</v>
      </c>
      <c r="I24" s="554">
        <f>570000000*70%+37583218</f>
        <v>436583218</v>
      </c>
      <c r="J24" s="554">
        <f>I24*80%</f>
        <v>349266574.40000004</v>
      </c>
      <c r="K24" s="554">
        <v>750000000</v>
      </c>
      <c r="L24" s="554">
        <f t="shared" si="0"/>
        <v>400733425.59999996</v>
      </c>
    </row>
    <row r="25" spans="1:12" ht="30.95" customHeight="1">
      <c r="A25" s="284" t="s">
        <v>282</v>
      </c>
      <c r="B25" s="284" t="s">
        <v>155</v>
      </c>
      <c r="C25" s="390"/>
      <c r="D25" s="390"/>
      <c r="E25" s="390"/>
      <c r="F25" s="390"/>
      <c r="G25" s="390"/>
      <c r="H25" s="555">
        <v>11172000</v>
      </c>
      <c r="I25" s="555">
        <f>11172000*70%</f>
        <v>7820399.9999999991</v>
      </c>
      <c r="J25" s="555">
        <f>11172000*70%</f>
        <v>7820399.9999999991</v>
      </c>
      <c r="K25" s="555">
        <f>11172000*70%</f>
        <v>7820399.9999999991</v>
      </c>
      <c r="L25" s="555">
        <f t="shared" si="0"/>
        <v>0</v>
      </c>
    </row>
    <row r="26" spans="1:12" ht="30.95" customHeight="1">
      <c r="A26" s="284" t="s">
        <v>283</v>
      </c>
      <c r="B26" s="284" t="s">
        <v>156</v>
      </c>
      <c r="C26" s="390"/>
      <c r="D26" s="390"/>
      <c r="E26" s="390"/>
      <c r="F26" s="390"/>
      <c r="G26" s="390"/>
      <c r="H26" s="334">
        <v>4841200</v>
      </c>
      <c r="I26" s="334">
        <f>4841200*70%</f>
        <v>3388840</v>
      </c>
      <c r="J26" s="334">
        <f>4841200*70%</f>
        <v>3388840</v>
      </c>
      <c r="K26" s="334">
        <f>4841200*70%</f>
        <v>3388840</v>
      </c>
      <c r="L26" s="334">
        <f t="shared" si="0"/>
        <v>0</v>
      </c>
    </row>
    <row r="27" spans="1:12" ht="30.95" customHeight="1">
      <c r="A27" s="284" t="s">
        <v>298</v>
      </c>
      <c r="B27" s="284" t="s">
        <v>219</v>
      </c>
      <c r="C27" s="545"/>
      <c r="D27" s="545"/>
      <c r="E27" s="545"/>
      <c r="F27" s="545"/>
      <c r="G27" s="545"/>
      <c r="H27" s="546">
        <v>7448000</v>
      </c>
      <c r="I27" s="546">
        <f>7448000*70%</f>
        <v>5213600</v>
      </c>
      <c r="J27" s="546">
        <v>0</v>
      </c>
      <c r="K27" s="546">
        <v>0</v>
      </c>
      <c r="L27" s="546">
        <f t="shared" si="0"/>
        <v>0</v>
      </c>
    </row>
    <row r="28" spans="1:12" ht="30.95" customHeight="1">
      <c r="A28" s="284"/>
      <c r="B28" s="292" t="s">
        <v>119</v>
      </c>
      <c r="C28" s="390"/>
      <c r="D28" s="390"/>
      <c r="E28" s="390"/>
      <c r="F28" s="390"/>
      <c r="G28" s="390"/>
      <c r="H28" s="465">
        <f>SUM(H24:H26)</f>
        <v>536013200</v>
      </c>
      <c r="I28" s="465">
        <f>SUM(I24:I26)</f>
        <v>447792458</v>
      </c>
      <c r="J28" s="402">
        <f>J27+J26+J25+J24+J23</f>
        <v>360475814.40000004</v>
      </c>
      <c r="K28" s="402">
        <f>SUM(K23:K27)</f>
        <v>761209240</v>
      </c>
      <c r="L28" s="402">
        <f t="shared" si="0"/>
        <v>400733425.59999996</v>
      </c>
    </row>
    <row r="29" spans="1:12" ht="30.95" customHeight="1">
      <c r="A29" s="292" t="s">
        <v>285</v>
      </c>
      <c r="B29" s="292" t="s">
        <v>158</v>
      </c>
      <c r="C29" s="390"/>
      <c r="D29" s="390"/>
      <c r="E29" s="390"/>
      <c r="F29" s="390"/>
      <c r="G29" s="390"/>
      <c r="H29" s="375"/>
      <c r="I29" s="375"/>
      <c r="J29" s="334"/>
      <c r="K29" s="334"/>
      <c r="L29" s="334">
        <f t="shared" si="0"/>
        <v>0</v>
      </c>
    </row>
    <row r="30" spans="1:12" ht="30.95" customHeight="1">
      <c r="A30" s="284" t="s">
        <v>286</v>
      </c>
      <c r="B30" s="284" t="s">
        <v>55</v>
      </c>
      <c r="C30" s="390"/>
      <c r="D30" s="390"/>
      <c r="E30" s="390"/>
      <c r="F30" s="390"/>
      <c r="G30" s="390"/>
      <c r="H30" s="479">
        <v>22344000</v>
      </c>
      <c r="I30" s="479">
        <f>22344000*70%</f>
        <v>15640799.999999998</v>
      </c>
      <c r="J30" s="334">
        <v>115640800</v>
      </c>
      <c r="K30" s="334">
        <v>115640800</v>
      </c>
      <c r="L30" s="334">
        <f t="shared" si="0"/>
        <v>0</v>
      </c>
    </row>
    <row r="31" spans="1:12" ht="30.95" customHeight="1">
      <c r="A31" s="284" t="s">
        <v>288</v>
      </c>
      <c r="B31" s="284" t="s">
        <v>287</v>
      </c>
      <c r="C31" s="390"/>
      <c r="D31" s="390"/>
      <c r="E31" s="390"/>
      <c r="F31" s="390"/>
      <c r="G31" s="556"/>
      <c r="H31" s="375">
        <v>0</v>
      </c>
      <c r="I31" s="375">
        <v>0</v>
      </c>
      <c r="J31" s="334">
        <v>0</v>
      </c>
      <c r="K31" s="334">
        <v>0</v>
      </c>
      <c r="L31" s="334">
        <f t="shared" si="0"/>
        <v>0</v>
      </c>
    </row>
    <row r="32" spans="1:12" ht="30.95" customHeight="1">
      <c r="A32" s="284" t="s">
        <v>289</v>
      </c>
      <c r="B32" s="284" t="s">
        <v>290</v>
      </c>
      <c r="C32" s="379"/>
      <c r="D32" s="379"/>
      <c r="E32" s="379"/>
      <c r="F32" s="379"/>
      <c r="G32" s="467"/>
      <c r="H32" s="375">
        <v>0</v>
      </c>
      <c r="I32" s="375">
        <v>0</v>
      </c>
      <c r="J32" s="334">
        <v>0</v>
      </c>
      <c r="K32" s="334">
        <v>0</v>
      </c>
      <c r="L32" s="334">
        <f t="shared" si="0"/>
        <v>0</v>
      </c>
    </row>
    <row r="33" spans="1:12" ht="30.95" customHeight="1">
      <c r="A33" s="284"/>
      <c r="B33" s="292" t="s">
        <v>119</v>
      </c>
      <c r="C33" s="379"/>
      <c r="D33" s="379"/>
      <c r="E33" s="379"/>
      <c r="F33" s="379"/>
      <c r="G33" s="379"/>
      <c r="H33" s="482">
        <f>SUM(H30:H32)</f>
        <v>22344000</v>
      </c>
      <c r="I33" s="482">
        <f>SUM(I30:I32)</f>
        <v>15640799.999999998</v>
      </c>
      <c r="J33" s="402">
        <f>SUM(J30:J32)</f>
        <v>115640800</v>
      </c>
      <c r="K33" s="402">
        <f>SUM(K30:K32)</f>
        <v>115640800</v>
      </c>
      <c r="L33" s="402">
        <f t="shared" si="0"/>
        <v>0</v>
      </c>
    </row>
    <row r="34" spans="1:12" ht="30.95" customHeight="1">
      <c r="A34" s="292" t="s">
        <v>293</v>
      </c>
      <c r="B34" s="292" t="s">
        <v>292</v>
      </c>
      <c r="C34" s="379"/>
      <c r="D34" s="379"/>
      <c r="E34" s="379"/>
      <c r="F34" s="379"/>
      <c r="G34" s="379"/>
      <c r="H34" s="375"/>
      <c r="I34" s="375"/>
      <c r="J34" s="334"/>
      <c r="K34" s="334"/>
      <c r="L34" s="334">
        <f t="shared" si="0"/>
        <v>0</v>
      </c>
    </row>
    <row r="35" spans="1:12" ht="30.95" customHeight="1">
      <c r="A35" s="292" t="s">
        <v>294</v>
      </c>
      <c r="B35" s="292" t="s">
        <v>291</v>
      </c>
      <c r="C35" s="379"/>
      <c r="D35" s="379"/>
      <c r="E35" s="379"/>
      <c r="F35" s="379"/>
      <c r="G35" s="379"/>
      <c r="H35" s="375"/>
      <c r="I35" s="375"/>
      <c r="J35" s="334"/>
      <c r="K35" s="334"/>
      <c r="L35" s="334">
        <f t="shared" si="0"/>
        <v>0</v>
      </c>
    </row>
    <row r="36" spans="1:12" ht="30.95" customHeight="1">
      <c r="A36" s="284" t="s">
        <v>389</v>
      </c>
      <c r="B36" s="284" t="s">
        <v>307</v>
      </c>
      <c r="C36" s="379"/>
      <c r="D36" s="379"/>
      <c r="E36" s="379"/>
      <c r="F36" s="379"/>
      <c r="G36" s="379"/>
      <c r="H36" s="375">
        <v>0</v>
      </c>
      <c r="I36" s="375">
        <v>0</v>
      </c>
      <c r="J36" s="334">
        <v>0</v>
      </c>
      <c r="K36" s="334">
        <v>0</v>
      </c>
      <c r="L36" s="334">
        <f t="shared" si="0"/>
        <v>0</v>
      </c>
    </row>
    <row r="37" spans="1:12" ht="30.95" customHeight="1">
      <c r="A37" s="284" t="s">
        <v>388</v>
      </c>
      <c r="B37" s="284" t="s">
        <v>728</v>
      </c>
      <c r="C37" s="379"/>
      <c r="D37" s="379"/>
      <c r="E37" s="379"/>
      <c r="F37" s="379"/>
      <c r="G37" s="379"/>
      <c r="H37" s="479">
        <v>428854998</v>
      </c>
      <c r="I37" s="479">
        <f>170000000*70%</f>
        <v>118999999.99999999</v>
      </c>
      <c r="J37" s="334">
        <v>0</v>
      </c>
      <c r="K37" s="334">
        <v>42000000</v>
      </c>
      <c r="L37" s="334">
        <f t="shared" si="0"/>
        <v>42000000</v>
      </c>
    </row>
    <row r="38" spans="1:12" ht="30.95" customHeight="1">
      <c r="A38" s="284" t="s">
        <v>295</v>
      </c>
      <c r="B38" s="284" t="s">
        <v>176</v>
      </c>
      <c r="C38" s="379"/>
      <c r="D38" s="379"/>
      <c r="E38" s="379"/>
      <c r="F38" s="379"/>
      <c r="G38" s="379"/>
      <c r="H38" s="334">
        <v>12021072</v>
      </c>
      <c r="I38" s="334">
        <f>12021072*70%</f>
        <v>8414750.4000000004</v>
      </c>
      <c r="J38" s="334">
        <v>0</v>
      </c>
      <c r="K38" s="334">
        <v>0</v>
      </c>
      <c r="L38" s="334">
        <f t="shared" si="0"/>
        <v>0</v>
      </c>
    </row>
    <row r="39" spans="1:12" ht="30.95" customHeight="1">
      <c r="A39" s="284" t="s">
        <v>296</v>
      </c>
      <c r="B39" s="284" t="s">
        <v>177</v>
      </c>
      <c r="C39" s="379"/>
      <c r="D39" s="379"/>
      <c r="E39" s="379"/>
      <c r="F39" s="379"/>
      <c r="G39" s="379"/>
      <c r="H39" s="375">
        <v>0</v>
      </c>
      <c r="I39" s="375">
        <v>0</v>
      </c>
      <c r="J39" s="334">
        <v>0</v>
      </c>
      <c r="K39" s="334">
        <v>0</v>
      </c>
      <c r="L39" s="334">
        <f t="shared" si="0"/>
        <v>0</v>
      </c>
    </row>
    <row r="40" spans="1:12" ht="30.95" customHeight="1">
      <c r="A40" s="284" t="s">
        <v>372</v>
      </c>
      <c r="B40" s="284" t="s">
        <v>560</v>
      </c>
      <c r="C40" s="379"/>
      <c r="D40" s="379"/>
      <c r="E40" s="379"/>
      <c r="F40" s="379"/>
      <c r="G40" s="379"/>
      <c r="H40" s="479">
        <v>528000000</v>
      </c>
      <c r="I40" s="479">
        <f>528000000+435000000</f>
        <v>963000000</v>
      </c>
      <c r="J40" s="334">
        <v>1263000000</v>
      </c>
      <c r="K40" s="334">
        <v>1463000000</v>
      </c>
      <c r="L40" s="334">
        <f t="shared" si="0"/>
        <v>200000000</v>
      </c>
    </row>
    <row r="41" spans="1:12" ht="30.95" customHeight="1">
      <c r="A41" s="389"/>
      <c r="B41" s="394" t="s">
        <v>119</v>
      </c>
      <c r="C41" s="379"/>
      <c r="D41" s="379"/>
      <c r="E41" s="379"/>
      <c r="F41" s="379"/>
      <c r="G41" s="379"/>
      <c r="H41" s="557">
        <f>SUM(H37:H40)</f>
        <v>968876070</v>
      </c>
      <c r="I41" s="557">
        <f>SUM(I37:I40)</f>
        <v>1090414750.4000001</v>
      </c>
      <c r="J41" s="558">
        <f>SUM(J36:J40)</f>
        <v>1263000000</v>
      </c>
      <c r="K41" s="558">
        <f>SUM(K36:K40)</f>
        <v>1505000000</v>
      </c>
      <c r="L41" s="558">
        <f t="shared" si="0"/>
        <v>242000000</v>
      </c>
    </row>
    <row r="42" spans="1:12" ht="30.95" customHeight="1">
      <c r="A42" s="394" t="s">
        <v>338</v>
      </c>
      <c r="B42" s="394" t="s">
        <v>731</v>
      </c>
      <c r="C42" s="379"/>
      <c r="D42" s="379"/>
      <c r="E42" s="379"/>
      <c r="F42" s="379"/>
      <c r="G42" s="379"/>
      <c r="H42" s="559"/>
      <c r="I42" s="559"/>
      <c r="J42" s="560"/>
      <c r="K42" s="560"/>
      <c r="L42" s="560"/>
    </row>
    <row r="43" spans="1:12" ht="30.95" customHeight="1">
      <c r="A43" s="389" t="s">
        <v>446</v>
      </c>
      <c r="B43" s="389" t="s">
        <v>1246</v>
      </c>
      <c r="C43" s="379"/>
      <c r="D43" s="379"/>
      <c r="E43" s="379"/>
      <c r="F43" s="379"/>
      <c r="G43" s="379"/>
      <c r="H43" s="559"/>
      <c r="I43" s="559"/>
      <c r="J43" s="560">
        <v>0</v>
      </c>
      <c r="K43" s="560">
        <v>120000000</v>
      </c>
      <c r="L43" s="560"/>
    </row>
    <row r="44" spans="1:12" ht="30.95" customHeight="1">
      <c r="A44" s="394"/>
      <c r="B44" s="394" t="s">
        <v>119</v>
      </c>
      <c r="C44" s="379"/>
      <c r="D44" s="379"/>
      <c r="E44" s="379"/>
      <c r="F44" s="379"/>
      <c r="G44" s="379"/>
      <c r="H44" s="559"/>
      <c r="I44" s="559"/>
      <c r="J44" s="560">
        <f>SUM(J43)</f>
        <v>0</v>
      </c>
      <c r="K44" s="558">
        <f>SUM(K43)</f>
        <v>120000000</v>
      </c>
      <c r="L44" s="560"/>
    </row>
    <row r="45" spans="1:12" ht="30.95" customHeight="1">
      <c r="A45" s="284"/>
      <c r="B45" s="292" t="s">
        <v>42</v>
      </c>
      <c r="C45" s="335"/>
      <c r="D45" s="335"/>
      <c r="E45" s="335"/>
      <c r="F45" s="335"/>
      <c r="G45" s="335"/>
      <c r="H45" s="361">
        <f>H41+H33+H28+H21+H8</f>
        <v>2954623366</v>
      </c>
      <c r="I45" s="361">
        <f>I41+I33+I28+I21+I8</f>
        <v>8873433055.6000004</v>
      </c>
      <c r="J45" s="292">
        <f>J41+J33+J28+J21+J8+J44</f>
        <v>17085350274.4</v>
      </c>
      <c r="K45" s="292">
        <f>K41+K33+K28+K21+K8+K44</f>
        <v>15591636540</v>
      </c>
      <c r="L45" s="292">
        <f t="shared" si="0"/>
        <v>-1493713734.3999996</v>
      </c>
    </row>
    <row r="46" spans="1:12" ht="30.95" customHeight="1">
      <c r="I46" s="561"/>
    </row>
    <row r="47" spans="1:12" ht="30.95" customHeight="1">
      <c r="I47" s="537"/>
    </row>
    <row r="49" spans="9:9" ht="30.95" customHeight="1">
      <c r="I49" s="537"/>
    </row>
  </sheetData>
  <phoneticPr fontId="0" type="noConversion"/>
  <pageMargins left="0.64" right="0.25" top="0.73" bottom="0.68" header="0.25" footer="0.33"/>
  <pageSetup scale="49" orientation="portrait" r:id="rId1"/>
  <headerFooter alignWithMargins="0">
    <oddHeader>&amp;C&amp;"Times New Roman,Bold"&amp;24SOMALILAND &amp;"Arial Narrow,Bold"NATIONAL T.V.</oddHeader>
    <oddFooter>&amp;R&amp;"Times New Roman,Bold"&amp;14 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58" zoomScaleSheetLayoutView="58" workbookViewId="0">
      <selection activeCell="B55" sqref="B55"/>
    </sheetView>
  </sheetViews>
  <sheetFormatPr defaultRowHeight="18.600000000000001" customHeight="1"/>
  <cols>
    <col min="1" max="1" width="9.33203125" style="730"/>
    <col min="2" max="2" width="68.83203125" style="730" bestFit="1" customWidth="1"/>
    <col min="3" max="3" width="33.1640625" style="730" bestFit="1" customWidth="1"/>
    <col min="4" max="5" width="31" style="730" bestFit="1" customWidth="1"/>
    <col min="6" max="6" width="27.5" style="730" bestFit="1" customWidth="1"/>
    <col min="7" max="7" width="29.33203125" style="730" bestFit="1" customWidth="1"/>
    <col min="8" max="8" width="30.6640625" style="730" bestFit="1" customWidth="1"/>
    <col min="9" max="9" width="30.33203125" style="730" bestFit="1" customWidth="1"/>
    <col min="10" max="11" width="31.5" style="730" customWidth="1"/>
    <col min="12" max="16384" width="9.33203125" style="730"/>
  </cols>
  <sheetData>
    <row r="1" spans="1:11" ht="18.600000000000001" customHeight="1">
      <c r="A1" s="729" t="s">
        <v>73</v>
      </c>
      <c r="B1" s="615" t="s">
        <v>51</v>
      </c>
      <c r="C1" s="615" t="s">
        <v>476</v>
      </c>
      <c r="D1" s="615" t="s">
        <v>265</v>
      </c>
      <c r="E1" s="615" t="s">
        <v>279</v>
      </c>
      <c r="F1" s="615" t="s">
        <v>285</v>
      </c>
      <c r="G1" s="615" t="s">
        <v>294</v>
      </c>
      <c r="H1" s="615" t="s">
        <v>381</v>
      </c>
      <c r="I1" s="615" t="s">
        <v>620</v>
      </c>
      <c r="J1" s="615" t="s">
        <v>807</v>
      </c>
      <c r="K1" s="615" t="s">
        <v>66</v>
      </c>
    </row>
    <row r="2" spans="1:11" ht="18.600000000000001" customHeight="1">
      <c r="A2" s="729">
        <v>1</v>
      </c>
      <c r="B2" s="347" t="s">
        <v>110</v>
      </c>
      <c r="C2" s="346">
        <f>'1-1A'!K7</f>
        <v>819000000</v>
      </c>
      <c r="D2" s="346"/>
      <c r="E2" s="346"/>
      <c r="F2" s="346"/>
      <c r="G2" s="346"/>
      <c r="H2" s="346"/>
      <c r="I2" s="346"/>
      <c r="J2" s="346"/>
      <c r="K2" s="346">
        <f>SUM(C2:J2)</f>
        <v>819000000</v>
      </c>
    </row>
    <row r="3" spans="1:11" ht="18.600000000000001" customHeight="1">
      <c r="A3" s="729" t="s">
        <v>7</v>
      </c>
      <c r="B3" s="347" t="s">
        <v>111</v>
      </c>
      <c r="C3" s="346">
        <f>'1-1A'!K21</f>
        <v>585000000</v>
      </c>
      <c r="D3" s="346"/>
      <c r="E3" s="346"/>
      <c r="F3" s="346"/>
      <c r="G3" s="346"/>
      <c r="H3" s="346"/>
      <c r="I3" s="346"/>
      <c r="J3" s="346"/>
      <c r="K3" s="346">
        <f>SUM(C3:J3)</f>
        <v>585000000</v>
      </c>
    </row>
    <row r="4" spans="1:11" ht="18.600000000000001" customHeight="1">
      <c r="A4" s="729" t="s">
        <v>85</v>
      </c>
      <c r="B4" s="347" t="s">
        <v>86</v>
      </c>
      <c r="C4" s="346">
        <f>'1B'!J10</f>
        <v>377140800</v>
      </c>
      <c r="D4" s="346">
        <f>'1B'!J22</f>
        <v>193270892</v>
      </c>
      <c r="E4" s="346">
        <f>'1B'!J28</f>
        <v>85096428.200000003</v>
      </c>
      <c r="F4" s="346">
        <f>'1B'!J33</f>
        <v>14000000</v>
      </c>
      <c r="G4" s="346">
        <f>'1B'!J39</f>
        <v>0</v>
      </c>
      <c r="H4" s="346">
        <v>0</v>
      </c>
      <c r="I4" s="346">
        <v>0</v>
      </c>
      <c r="J4" s="346">
        <v>0</v>
      </c>
      <c r="K4" s="346">
        <f>SUM(C4:I4)</f>
        <v>669508120.20000005</v>
      </c>
    </row>
    <row r="5" spans="1:11" ht="18.600000000000001" customHeight="1">
      <c r="A5" s="729">
        <v>2</v>
      </c>
      <c r="B5" s="347" t="s">
        <v>8</v>
      </c>
      <c r="C5" s="346">
        <f>'2'!O12</f>
        <v>9553116000</v>
      </c>
      <c r="D5" s="346">
        <f>'2'!O30</f>
        <v>4931776800</v>
      </c>
      <c r="E5" s="346">
        <f>'2'!O37</f>
        <v>550000000</v>
      </c>
      <c r="F5" s="346">
        <f>'2'!O42</f>
        <v>110000000</v>
      </c>
      <c r="G5" s="346">
        <f>'2'!O48</f>
        <v>220000000</v>
      </c>
      <c r="H5" s="346">
        <f>'2'!O51</f>
        <v>0</v>
      </c>
      <c r="I5" s="346"/>
      <c r="J5" s="346"/>
      <c r="K5" s="346">
        <f t="shared" ref="K5:K20" si="0">SUM(C5:I5)</f>
        <v>15364892800</v>
      </c>
    </row>
    <row r="6" spans="1:11" ht="18.600000000000001" customHeight="1">
      <c r="A6" s="729">
        <v>3</v>
      </c>
      <c r="B6" s="347" t="s">
        <v>9</v>
      </c>
      <c r="C6" s="346">
        <f>'3'!N12</f>
        <v>8835432000</v>
      </c>
      <c r="D6" s="346">
        <f>'3'!N30</f>
        <v>4377110400</v>
      </c>
      <c r="E6" s="346">
        <f>'3'!N37</f>
        <v>940000000</v>
      </c>
      <c r="F6" s="346">
        <f>'3'!N42</f>
        <v>200000000</v>
      </c>
      <c r="G6" s="346">
        <f>'3'!N49</f>
        <v>487000000</v>
      </c>
      <c r="H6" s="346">
        <f>'3'!N52</f>
        <v>800000000</v>
      </c>
      <c r="I6" s="346">
        <v>0</v>
      </c>
      <c r="J6" s="346">
        <v>0</v>
      </c>
      <c r="K6" s="346">
        <f t="shared" si="0"/>
        <v>15639542400</v>
      </c>
    </row>
    <row r="7" spans="1:11" ht="18.600000000000001" customHeight="1">
      <c r="A7" s="729">
        <v>4</v>
      </c>
      <c r="B7" s="347" t="s">
        <v>10</v>
      </c>
      <c r="C7" s="346">
        <f>'4'!N10</f>
        <v>1404403200</v>
      </c>
      <c r="D7" s="346">
        <f>'4'!N27</f>
        <v>206335480</v>
      </c>
      <c r="E7" s="346">
        <f>'4'!N35</f>
        <v>146274240</v>
      </c>
      <c r="F7" s="346">
        <f>'4'!N40</f>
        <v>175827200</v>
      </c>
      <c r="G7" s="346">
        <f>'4'!N47</f>
        <v>30000000</v>
      </c>
      <c r="H7" s="346">
        <v>0</v>
      </c>
      <c r="I7" s="346">
        <v>0</v>
      </c>
      <c r="J7" s="346">
        <v>0</v>
      </c>
      <c r="K7" s="346">
        <f t="shared" si="0"/>
        <v>1962840120</v>
      </c>
    </row>
    <row r="8" spans="1:11" ht="18.600000000000001" customHeight="1">
      <c r="A8" s="729">
        <v>5</v>
      </c>
      <c r="B8" s="347" t="s">
        <v>109</v>
      </c>
      <c r="C8" s="346">
        <f>'5'!N11</f>
        <v>1820630400</v>
      </c>
      <c r="D8" s="346">
        <f>'5'!N28</f>
        <v>179450000</v>
      </c>
      <c r="E8" s="346">
        <f>'5'!N36</f>
        <v>173000000</v>
      </c>
      <c r="F8" s="346">
        <f>'5'!N41</f>
        <v>47000000</v>
      </c>
      <c r="G8" s="346">
        <f>'5'!N49</f>
        <v>0</v>
      </c>
      <c r="H8" s="346">
        <v>0</v>
      </c>
      <c r="I8" s="346">
        <v>0</v>
      </c>
      <c r="J8" s="346">
        <v>0</v>
      </c>
      <c r="K8" s="346">
        <f t="shared" si="0"/>
        <v>2220080400</v>
      </c>
    </row>
    <row r="9" spans="1:11" ht="18.600000000000001" customHeight="1">
      <c r="A9" s="729">
        <v>6</v>
      </c>
      <c r="B9" s="347" t="s">
        <v>108</v>
      </c>
      <c r="C9" s="346">
        <f>'6'!N13</f>
        <v>5507425600</v>
      </c>
      <c r="D9" s="346">
        <f>'6'!N26</f>
        <v>1290150120</v>
      </c>
      <c r="E9" s="346">
        <f>'6'!N34</f>
        <v>79588560</v>
      </c>
      <c r="F9" s="346">
        <f>'6'!N39</f>
        <v>3890685.4</v>
      </c>
      <c r="G9" s="346">
        <f>'6'!N46</f>
        <v>138000000</v>
      </c>
      <c r="H9" s="346">
        <v>0</v>
      </c>
      <c r="I9" s="346">
        <f>'6'!N49</f>
        <v>251665200</v>
      </c>
      <c r="J9" s="346">
        <v>0</v>
      </c>
      <c r="K9" s="346">
        <f t="shared" si="0"/>
        <v>7270720165.3999996</v>
      </c>
    </row>
    <row r="10" spans="1:11" ht="18.600000000000001" customHeight="1">
      <c r="A10" s="729">
        <v>7</v>
      </c>
      <c r="B10" s="347" t="s">
        <v>107</v>
      </c>
      <c r="C10" s="346">
        <f>'7'!O11</f>
        <v>1262510400</v>
      </c>
      <c r="D10" s="346">
        <f>'7'!O26</f>
        <v>350778344</v>
      </c>
      <c r="E10" s="346">
        <f>'7'!O34</f>
        <v>239921920</v>
      </c>
      <c r="F10" s="346">
        <f>'7'!O39</f>
        <v>46623360</v>
      </c>
      <c r="G10" s="346">
        <f>'7'!O46</f>
        <v>0</v>
      </c>
      <c r="H10" s="346"/>
      <c r="I10" s="346"/>
      <c r="J10" s="346"/>
      <c r="K10" s="346">
        <f t="shared" si="0"/>
        <v>1899834024</v>
      </c>
    </row>
    <row r="11" spans="1:11" ht="18.600000000000001" customHeight="1">
      <c r="A11" s="729">
        <v>8</v>
      </c>
      <c r="B11" s="347" t="s">
        <v>106</v>
      </c>
      <c r="C11" s="346">
        <f>'8'!M12</f>
        <v>2724669200</v>
      </c>
      <c r="D11" s="346">
        <f>'8'!M32</f>
        <v>29924883105</v>
      </c>
      <c r="E11" s="346">
        <f>'8'!M40</f>
        <v>1611655874</v>
      </c>
      <c r="F11" s="346">
        <f>'8'!M44</f>
        <v>142557645</v>
      </c>
      <c r="G11" s="346">
        <f>'8'!M51</f>
        <v>848147000</v>
      </c>
      <c r="H11" s="346">
        <f>'8'!M57</f>
        <v>600000000</v>
      </c>
      <c r="I11" s="346">
        <f>'8'!M54</f>
        <v>0</v>
      </c>
      <c r="J11" s="346">
        <v>0</v>
      </c>
      <c r="K11" s="346">
        <f t="shared" si="0"/>
        <v>35851912824</v>
      </c>
    </row>
    <row r="12" spans="1:11" ht="18.600000000000001" customHeight="1">
      <c r="A12" s="729" t="s">
        <v>14</v>
      </c>
      <c r="B12" s="347" t="s">
        <v>220</v>
      </c>
      <c r="C12" s="346">
        <f>'8A'!O11</f>
        <v>2356495800</v>
      </c>
      <c r="D12" s="346">
        <f>'8A'!O25</f>
        <v>651440999</v>
      </c>
      <c r="E12" s="346">
        <f>'8A'!O35</f>
        <v>5172227895</v>
      </c>
      <c r="F12" s="346">
        <f>'8A'!O40</f>
        <v>153412500</v>
      </c>
      <c r="G12" s="346">
        <f>'8A'!O48</f>
        <v>700000000</v>
      </c>
      <c r="H12" s="346"/>
      <c r="I12" s="346"/>
      <c r="J12" s="346"/>
      <c r="K12" s="346">
        <f t="shared" si="0"/>
        <v>9033577194</v>
      </c>
    </row>
    <row r="13" spans="1:11" ht="18.600000000000001" customHeight="1">
      <c r="A13" s="729" t="s">
        <v>786</v>
      </c>
      <c r="B13" s="347" t="s">
        <v>663</v>
      </c>
      <c r="C13" s="346">
        <f>'8B'!E7</f>
        <v>198981600</v>
      </c>
      <c r="D13" s="346">
        <f>'8B'!E25</f>
        <v>124150000</v>
      </c>
      <c r="E13" s="346">
        <f>'8B'!E34</f>
        <v>56600000</v>
      </c>
      <c r="F13" s="346">
        <f>'8B'!E38</f>
        <v>6500000</v>
      </c>
      <c r="G13" s="346">
        <f>'8B'!E46</f>
        <v>42000000</v>
      </c>
      <c r="H13" s="346">
        <v>0</v>
      </c>
      <c r="I13" s="346">
        <v>0</v>
      </c>
      <c r="J13" s="346">
        <v>0</v>
      </c>
      <c r="K13" s="346">
        <f t="shared" si="0"/>
        <v>428231600</v>
      </c>
    </row>
    <row r="14" spans="1:11" ht="18.600000000000001" customHeight="1">
      <c r="A14" s="729" t="s">
        <v>1206</v>
      </c>
      <c r="B14" s="347" t="s">
        <v>1273</v>
      </c>
      <c r="C14" s="346">
        <f>'8C'!O6</f>
        <v>3951840000</v>
      </c>
      <c r="D14" s="346">
        <f>'8C'!O20</f>
        <v>645000000</v>
      </c>
      <c r="E14" s="346">
        <f>'8C'!O29</f>
        <v>1841825380</v>
      </c>
      <c r="F14" s="346">
        <f>'8C'!O34</f>
        <v>325000000</v>
      </c>
      <c r="G14" s="346">
        <f>'8C'!O41</f>
        <v>180000000</v>
      </c>
      <c r="H14" s="346">
        <v>0</v>
      </c>
      <c r="I14" s="346">
        <v>0</v>
      </c>
      <c r="J14" s="346">
        <v>0</v>
      </c>
      <c r="K14" s="346">
        <f t="shared" si="0"/>
        <v>6943665380</v>
      </c>
    </row>
    <row r="15" spans="1:11" ht="18.600000000000001" customHeight="1">
      <c r="A15" s="729" t="s">
        <v>1208</v>
      </c>
      <c r="B15" s="347" t="s">
        <v>1276</v>
      </c>
      <c r="C15" s="346">
        <f>'8D'!Q8</f>
        <v>500000000</v>
      </c>
      <c r="D15" s="346">
        <f>'8D'!Q19</f>
        <v>300000000</v>
      </c>
      <c r="E15" s="346">
        <f>'8D'!Q25</f>
        <v>0</v>
      </c>
      <c r="F15" s="346">
        <f>'8D'!Q32</f>
        <v>0</v>
      </c>
      <c r="G15" s="346">
        <f>'8D'!Q40</f>
        <v>0</v>
      </c>
      <c r="H15" s="346">
        <v>0</v>
      </c>
      <c r="I15" s="346">
        <v>0</v>
      </c>
      <c r="J15" s="346">
        <v>0</v>
      </c>
      <c r="K15" s="346">
        <f t="shared" si="0"/>
        <v>800000000</v>
      </c>
    </row>
    <row r="16" spans="1:11" ht="18.600000000000001" customHeight="1">
      <c r="A16" s="729">
        <v>9</v>
      </c>
      <c r="B16" s="347" t="s">
        <v>105</v>
      </c>
      <c r="C16" s="346">
        <f>'9'!O11</f>
        <v>827932800</v>
      </c>
      <c r="D16" s="346">
        <f>'9'!O32</f>
        <v>9972730288</v>
      </c>
      <c r="E16" s="346">
        <f>'9'!O38</f>
        <v>214928200</v>
      </c>
      <c r="F16" s="346">
        <f>'9'!O43</f>
        <v>91000000</v>
      </c>
      <c r="G16" s="346">
        <f>'9'!O50</f>
        <v>240000000</v>
      </c>
      <c r="H16" s="346">
        <v>0</v>
      </c>
      <c r="I16" s="346">
        <v>0</v>
      </c>
      <c r="J16" s="346">
        <v>0</v>
      </c>
      <c r="K16" s="346">
        <f t="shared" si="0"/>
        <v>11346591288</v>
      </c>
    </row>
    <row r="17" spans="1:11" ht="18.600000000000001" customHeight="1">
      <c r="A17" s="729">
        <v>10</v>
      </c>
      <c r="B17" s="347" t="s">
        <v>104</v>
      </c>
      <c r="C17" s="346">
        <f>'10'!O13</f>
        <v>784255200</v>
      </c>
      <c r="D17" s="346">
        <f>'10'!O26</f>
        <v>267072000</v>
      </c>
      <c r="E17" s="346">
        <f>'10'!O32</f>
        <v>274040000</v>
      </c>
      <c r="F17" s="346">
        <f>'10'!O36</f>
        <v>24500000</v>
      </c>
      <c r="G17" s="346">
        <f>'10'!O43</f>
        <v>75000000</v>
      </c>
      <c r="H17" s="346">
        <f>'10'!O46</f>
        <v>360000000</v>
      </c>
      <c r="I17" s="346">
        <v>0</v>
      </c>
      <c r="J17" s="346">
        <v>0</v>
      </c>
      <c r="K17" s="346">
        <f t="shared" si="0"/>
        <v>1784867200</v>
      </c>
    </row>
    <row r="18" spans="1:11" ht="18.600000000000001" customHeight="1">
      <c r="A18" s="729" t="s">
        <v>18</v>
      </c>
      <c r="B18" s="347" t="s">
        <v>19</v>
      </c>
      <c r="C18" s="346">
        <f>'10a'!O11</f>
        <v>14329001600</v>
      </c>
      <c r="D18" s="346">
        <f>'10a'!O26</f>
        <v>2177162942</v>
      </c>
      <c r="E18" s="346">
        <f>'10a'!O36</f>
        <v>13463833440</v>
      </c>
      <c r="F18" s="346">
        <f>'10a'!O40</f>
        <v>318596470</v>
      </c>
      <c r="G18" s="346">
        <f>'10a'!O48</f>
        <v>206000000</v>
      </c>
      <c r="H18" s="346">
        <v>0</v>
      </c>
      <c r="I18" s="346">
        <v>0</v>
      </c>
      <c r="J18" s="346">
        <v>0</v>
      </c>
      <c r="K18" s="346">
        <f t="shared" si="0"/>
        <v>30494594452</v>
      </c>
    </row>
    <row r="19" spans="1:11" ht="18.600000000000001" customHeight="1">
      <c r="A19" s="729" t="s">
        <v>20</v>
      </c>
      <c r="B19" s="347" t="s">
        <v>21</v>
      </c>
      <c r="C19" s="346">
        <f>'10b'!N13</f>
        <v>7903704000</v>
      </c>
      <c r="D19" s="346">
        <f>'10b'!N28</f>
        <v>243149800</v>
      </c>
      <c r="E19" s="346">
        <f>'10b'!N34</f>
        <v>326500000</v>
      </c>
      <c r="F19" s="346">
        <f>'10b'!N39</f>
        <v>17500000</v>
      </c>
      <c r="G19" s="346">
        <v>0</v>
      </c>
      <c r="H19" s="346">
        <v>0</v>
      </c>
      <c r="I19" s="346">
        <v>0</v>
      </c>
      <c r="J19" s="346">
        <v>0</v>
      </c>
      <c r="K19" s="346">
        <f t="shared" si="0"/>
        <v>8490853800</v>
      </c>
    </row>
    <row r="20" spans="1:11" ht="18.600000000000001" customHeight="1">
      <c r="A20" s="729" t="s">
        <v>237</v>
      </c>
      <c r="B20" s="347" t="s">
        <v>225</v>
      </c>
      <c r="C20" s="346">
        <f>'10c'!O11</f>
        <v>1131950400</v>
      </c>
      <c r="D20" s="346">
        <f>'10c'!O22</f>
        <v>135400000</v>
      </c>
      <c r="E20" s="346">
        <f>'10c'!O29</f>
        <v>98100000</v>
      </c>
      <c r="F20" s="346">
        <f>'10c'!O34</f>
        <v>25000000</v>
      </c>
      <c r="G20" s="346">
        <f>'10c'!O38</f>
        <v>150000000</v>
      </c>
      <c r="H20" s="346">
        <v>0</v>
      </c>
      <c r="I20" s="346">
        <v>0</v>
      </c>
      <c r="J20" s="346">
        <v>0</v>
      </c>
      <c r="K20" s="346">
        <f t="shared" si="0"/>
        <v>1540450400</v>
      </c>
    </row>
    <row r="21" spans="1:11" ht="18.600000000000001" customHeight="1">
      <c r="A21" s="729" t="s">
        <v>239</v>
      </c>
      <c r="B21" s="347" t="s">
        <v>226</v>
      </c>
      <c r="C21" s="346">
        <f>'10d'!P9</f>
        <v>247581600</v>
      </c>
      <c r="D21" s="346">
        <f>'10d'!P16</f>
        <v>13200000</v>
      </c>
      <c r="E21" s="346">
        <f>'10d'!P21</f>
        <v>43400000</v>
      </c>
      <c r="F21" s="346">
        <f>'10d'!P26</f>
        <v>12000000</v>
      </c>
      <c r="G21" s="346">
        <v>0</v>
      </c>
      <c r="H21" s="346">
        <v>0</v>
      </c>
      <c r="I21" s="346">
        <v>0</v>
      </c>
      <c r="J21" s="346">
        <v>0</v>
      </c>
      <c r="K21" s="346">
        <f>SUM(C21:J21)</f>
        <v>316181600</v>
      </c>
    </row>
    <row r="22" spans="1:11" ht="18.600000000000001" customHeight="1">
      <c r="A22" s="729">
        <v>11</v>
      </c>
      <c r="B22" s="347" t="s">
        <v>103</v>
      </c>
      <c r="C22" s="346">
        <f>'11'!O9</f>
        <v>7008088800</v>
      </c>
      <c r="D22" s="346">
        <f>'11'!O26</f>
        <v>7527589265</v>
      </c>
      <c r="E22" s="346">
        <f>'11'!O33</f>
        <v>748923680</v>
      </c>
      <c r="F22" s="346">
        <f>'11'!O38</f>
        <v>50030745</v>
      </c>
      <c r="G22" s="346">
        <f>'11'!O45</f>
        <v>0</v>
      </c>
      <c r="H22" s="346">
        <f>'11'!O48</f>
        <v>0</v>
      </c>
      <c r="I22" s="346">
        <f>'11'!O51</f>
        <v>0</v>
      </c>
      <c r="J22" s="346"/>
      <c r="K22" s="346">
        <f t="shared" ref="K22:K63" si="1">SUM(C22:J22)</f>
        <v>15334632490</v>
      </c>
    </row>
    <row r="23" spans="1:11" ht="18.600000000000001" customHeight="1">
      <c r="A23" s="729" t="s">
        <v>22</v>
      </c>
      <c r="B23" s="347" t="s">
        <v>23</v>
      </c>
      <c r="C23" s="346">
        <f>'11a'!Q7</f>
        <v>40548817600</v>
      </c>
      <c r="D23" s="346">
        <f>'11a'!Q26</f>
        <v>3327138363</v>
      </c>
      <c r="E23" s="346">
        <f>'11a'!Q36</f>
        <v>16102372160</v>
      </c>
      <c r="F23" s="346">
        <f>'11a'!Q41</f>
        <v>660000000</v>
      </c>
      <c r="G23" s="346">
        <f>'11a'!Q48</f>
        <v>0</v>
      </c>
      <c r="H23" s="346">
        <v>0</v>
      </c>
      <c r="I23" s="346">
        <v>0</v>
      </c>
      <c r="J23" s="346">
        <v>0</v>
      </c>
      <c r="K23" s="346">
        <f t="shared" si="1"/>
        <v>60638328123</v>
      </c>
    </row>
    <row r="24" spans="1:11" ht="18.600000000000001" customHeight="1">
      <c r="A24" s="729" t="s">
        <v>80</v>
      </c>
      <c r="B24" s="347" t="s">
        <v>79</v>
      </c>
      <c r="C24" s="346">
        <f>'11b'!K9</f>
        <v>4432057500</v>
      </c>
      <c r="D24" s="346">
        <f>'11b'!K21</f>
        <v>186742187</v>
      </c>
      <c r="E24" s="346">
        <f>'11b'!K31</f>
        <v>1609224400</v>
      </c>
      <c r="F24" s="346">
        <f>'11b'!K35</f>
        <v>47385066.399999999</v>
      </c>
      <c r="G24" s="346">
        <f>'11a'!Q48</f>
        <v>0</v>
      </c>
      <c r="H24" s="346">
        <v>0</v>
      </c>
      <c r="I24" s="346">
        <v>0</v>
      </c>
      <c r="J24" s="346">
        <v>0</v>
      </c>
      <c r="K24" s="346">
        <f t="shared" si="1"/>
        <v>6275409153.3999996</v>
      </c>
    </row>
    <row r="25" spans="1:11" ht="18.600000000000001" customHeight="1">
      <c r="A25" s="729" t="s">
        <v>240</v>
      </c>
      <c r="B25" s="347" t="s">
        <v>241</v>
      </c>
      <c r="C25" s="346">
        <f>'11c'!O8</f>
        <v>264328800</v>
      </c>
      <c r="D25" s="346">
        <f>'11c'!O23</f>
        <v>49908200</v>
      </c>
      <c r="E25" s="346">
        <f>'11c'!O28</f>
        <v>36400000</v>
      </c>
      <c r="F25" s="346">
        <f>'11c'!O34</f>
        <v>7000000</v>
      </c>
      <c r="G25" s="346">
        <f>'11c'!O41</f>
        <v>6000000</v>
      </c>
      <c r="H25" s="346">
        <v>0</v>
      </c>
      <c r="I25" s="346">
        <v>0</v>
      </c>
      <c r="J25" s="346">
        <v>0</v>
      </c>
      <c r="K25" s="346">
        <f t="shared" si="1"/>
        <v>363637000</v>
      </c>
    </row>
    <row r="26" spans="1:11" ht="18.600000000000001" customHeight="1">
      <c r="A26" s="729" t="s">
        <v>610</v>
      </c>
      <c r="B26" s="347" t="s">
        <v>167</v>
      </c>
      <c r="C26" s="620">
        <f>'11d'!M9</f>
        <v>1857017600</v>
      </c>
      <c r="D26" s="346">
        <f>'11d'!M23</f>
        <v>209900000</v>
      </c>
      <c r="E26" s="346">
        <f>'11d'!M32</f>
        <v>949216926</v>
      </c>
      <c r="F26" s="346">
        <f>'11d'!M36</f>
        <v>8400000</v>
      </c>
      <c r="G26" s="346">
        <f>'11d'!M43</f>
        <v>24000000</v>
      </c>
      <c r="H26" s="346">
        <v>0</v>
      </c>
      <c r="I26" s="346">
        <v>0</v>
      </c>
      <c r="J26" s="346">
        <v>0</v>
      </c>
      <c r="K26" s="346">
        <f t="shared" si="1"/>
        <v>3048534526</v>
      </c>
    </row>
    <row r="27" spans="1:11" ht="18.600000000000001" customHeight="1">
      <c r="A27" s="729">
        <v>12</v>
      </c>
      <c r="B27" s="347" t="s">
        <v>102</v>
      </c>
      <c r="C27" s="346">
        <f>'12'!O8</f>
        <v>3145719200</v>
      </c>
      <c r="D27" s="346">
        <f>'12'!O22</f>
        <v>1217175600</v>
      </c>
      <c r="E27" s="346">
        <f>'12'!O30</f>
        <v>1636495200</v>
      </c>
      <c r="F27" s="346">
        <f>'12'!O34</f>
        <v>250000000</v>
      </c>
      <c r="G27" s="346">
        <f>'12'!O42</f>
        <v>622764000</v>
      </c>
      <c r="H27" s="346">
        <f>'12'!O45</f>
        <v>0</v>
      </c>
      <c r="I27" s="346">
        <f>'12'!O48</f>
        <v>1298125600</v>
      </c>
      <c r="J27" s="346">
        <v>0</v>
      </c>
      <c r="K27" s="346">
        <f t="shared" si="1"/>
        <v>8170279600</v>
      </c>
    </row>
    <row r="28" spans="1:11" ht="18.600000000000001" customHeight="1">
      <c r="A28" s="729" t="s">
        <v>81</v>
      </c>
      <c r="B28" s="347" t="s">
        <v>82</v>
      </c>
      <c r="C28" s="346">
        <f>'12a'!K8</f>
        <v>6220064160</v>
      </c>
      <c r="D28" s="346">
        <f>'12a'!K21</f>
        <v>6869722340</v>
      </c>
      <c r="E28" s="346">
        <f>'12a'!K28</f>
        <v>761209240</v>
      </c>
      <c r="F28" s="346">
        <f>'12a'!K33</f>
        <v>115640800</v>
      </c>
      <c r="G28" s="346">
        <f>'12a'!K41</f>
        <v>1505000000</v>
      </c>
      <c r="H28" s="346">
        <f>'12a'!K44</f>
        <v>120000000</v>
      </c>
      <c r="I28" s="346">
        <v>0</v>
      </c>
      <c r="J28" s="346">
        <v>0</v>
      </c>
      <c r="K28" s="346">
        <f t="shared" si="1"/>
        <v>15591636540</v>
      </c>
    </row>
    <row r="29" spans="1:11" ht="18.600000000000001" customHeight="1">
      <c r="A29" s="729">
        <v>13</v>
      </c>
      <c r="B29" s="347" t="s">
        <v>101</v>
      </c>
      <c r="C29" s="346">
        <f>'13'!O10</f>
        <v>1019692800</v>
      </c>
      <c r="D29" s="346">
        <f>'13'!O24</f>
        <v>331552640</v>
      </c>
      <c r="E29" s="346">
        <f>'13'!O31</f>
        <v>183471589.69999999</v>
      </c>
      <c r="F29" s="346">
        <f>'13'!O35</f>
        <v>37416080</v>
      </c>
      <c r="G29" s="346">
        <f>'13'!O41</f>
        <v>120000000</v>
      </c>
      <c r="H29" s="346">
        <f>'13'!O44</f>
        <v>0</v>
      </c>
      <c r="I29" s="346">
        <v>0</v>
      </c>
      <c r="J29" s="346">
        <v>0</v>
      </c>
      <c r="K29" s="346">
        <f t="shared" si="1"/>
        <v>1692133109.7</v>
      </c>
    </row>
    <row r="30" spans="1:11" ht="18.600000000000001" customHeight="1">
      <c r="A30" s="729" t="s">
        <v>24</v>
      </c>
      <c r="B30" s="347" t="s">
        <v>25</v>
      </c>
      <c r="C30" s="346">
        <f>'13A'!O8</f>
        <v>100140452400</v>
      </c>
      <c r="D30" s="346">
        <f>'13A'!O22</f>
        <v>9836934417.0100002</v>
      </c>
      <c r="E30" s="346">
        <f>'13A'!O32</f>
        <v>31167890516.700001</v>
      </c>
      <c r="F30" s="346">
        <f>'13A'!O37</f>
        <v>1142000000</v>
      </c>
      <c r="G30" s="346">
        <f>'13A'!O44</f>
        <v>0</v>
      </c>
      <c r="H30" s="346">
        <v>0</v>
      </c>
      <c r="I30" s="346">
        <v>0</v>
      </c>
      <c r="J30" s="346">
        <v>0</v>
      </c>
      <c r="K30" s="346">
        <f t="shared" si="1"/>
        <v>142287277333.70999</v>
      </c>
    </row>
    <row r="31" spans="1:11" ht="18.600000000000001" customHeight="1">
      <c r="A31" s="729">
        <v>14</v>
      </c>
      <c r="B31" s="347" t="s">
        <v>100</v>
      </c>
      <c r="C31" s="346">
        <f>'14'!O8</f>
        <v>1287770400</v>
      </c>
      <c r="D31" s="346">
        <f>'14'!O24</f>
        <v>554008320</v>
      </c>
      <c r="E31" s="346">
        <f>'14'!O30</f>
        <v>289708800</v>
      </c>
      <c r="F31" s="346">
        <f>'14'!O35</f>
        <v>38500000</v>
      </c>
      <c r="G31" s="346">
        <f>'14'!O43</f>
        <v>84000000</v>
      </c>
      <c r="H31" s="346">
        <v>0</v>
      </c>
      <c r="I31" s="346">
        <v>0</v>
      </c>
      <c r="J31" s="346">
        <v>0</v>
      </c>
      <c r="K31" s="346">
        <f t="shared" si="1"/>
        <v>2253987520</v>
      </c>
    </row>
    <row r="32" spans="1:11" ht="18.600000000000001" customHeight="1">
      <c r="A32" s="729">
        <v>15</v>
      </c>
      <c r="B32" s="347" t="s">
        <v>99</v>
      </c>
      <c r="C32" s="346">
        <f>'15'!O11</f>
        <v>22428110400</v>
      </c>
      <c r="D32" s="346">
        <f>'15'!O34</f>
        <v>9598376000</v>
      </c>
      <c r="E32" s="346">
        <f>'15'!O45</f>
        <v>3645000000</v>
      </c>
      <c r="F32" s="346">
        <f>'15'!O50</f>
        <v>500000000</v>
      </c>
      <c r="G32" s="346">
        <f>'15'!O58</f>
        <v>2920000000</v>
      </c>
      <c r="H32" s="346">
        <f>'15'!O61</f>
        <v>1500000000</v>
      </c>
      <c r="I32" s="346">
        <f>'15'!O65</f>
        <v>650000000</v>
      </c>
      <c r="J32" s="346">
        <v>0</v>
      </c>
      <c r="K32" s="346">
        <f t="shared" si="1"/>
        <v>41241486400</v>
      </c>
    </row>
    <row r="33" spans="1:11" ht="18.600000000000001" customHeight="1">
      <c r="A33" s="729" t="s">
        <v>1156</v>
      </c>
      <c r="B33" s="347" t="s">
        <v>1274</v>
      </c>
      <c r="C33" s="346">
        <v>0</v>
      </c>
      <c r="D33" s="346">
        <f>'15A'!Q15</f>
        <v>52140400000</v>
      </c>
      <c r="E33" s="346">
        <f>'15A'!Q22</f>
        <v>11972000000</v>
      </c>
      <c r="F33" s="346">
        <v>0</v>
      </c>
      <c r="G33" s="346">
        <f>'15A'!Q31</f>
        <v>18000000000</v>
      </c>
      <c r="H33" s="346">
        <f>'15A'!Q35</f>
        <v>15600000000</v>
      </c>
      <c r="I33" s="346">
        <f>'15A'!Q39</f>
        <v>1680000000</v>
      </c>
      <c r="J33" s="346">
        <f>'15A'!Q43</f>
        <v>34039602385</v>
      </c>
      <c r="K33" s="346">
        <f t="shared" si="1"/>
        <v>133432002385</v>
      </c>
    </row>
    <row r="34" spans="1:11" ht="18.600000000000001" customHeight="1">
      <c r="A34" s="729">
        <v>16</v>
      </c>
      <c r="B34" s="347" t="s">
        <v>134</v>
      </c>
      <c r="C34" s="346">
        <f>'16'!O8</f>
        <v>1893436800</v>
      </c>
      <c r="D34" s="346">
        <f>'16'!O23</f>
        <v>691685554</v>
      </c>
      <c r="E34" s="346">
        <f>'16'!O30</f>
        <v>398571020</v>
      </c>
      <c r="F34" s="346">
        <f>'16'!O37</f>
        <v>56736266.5</v>
      </c>
      <c r="G34" s="346">
        <f>'16'!O45</f>
        <v>120000000</v>
      </c>
      <c r="H34" s="346">
        <v>0</v>
      </c>
      <c r="I34" s="346">
        <f>'16'!O48</f>
        <v>0</v>
      </c>
      <c r="J34" s="346"/>
      <c r="K34" s="346">
        <f t="shared" si="1"/>
        <v>3160429640.5</v>
      </c>
    </row>
    <row r="35" spans="1:11" ht="18.600000000000001" customHeight="1">
      <c r="A35" s="729">
        <v>17</v>
      </c>
      <c r="B35" s="347" t="s">
        <v>98</v>
      </c>
      <c r="C35" s="346">
        <f>'17'!P9</f>
        <v>1357692000</v>
      </c>
      <c r="D35" s="346">
        <f>'17'!P26</f>
        <v>251687555.09999999</v>
      </c>
      <c r="E35" s="346">
        <f>'17'!P33</f>
        <v>191155940.5</v>
      </c>
      <c r="F35" s="346">
        <f>'17'!P41</f>
        <v>1010897120</v>
      </c>
      <c r="G35" s="346">
        <f>'17'!P46</f>
        <v>96000000</v>
      </c>
      <c r="H35" s="346">
        <v>0</v>
      </c>
      <c r="I35" s="346">
        <v>0</v>
      </c>
      <c r="J35" s="346">
        <v>0</v>
      </c>
      <c r="K35" s="346">
        <f t="shared" si="1"/>
        <v>2907432615.5999999</v>
      </c>
    </row>
    <row r="36" spans="1:11" ht="18.600000000000001" customHeight="1">
      <c r="A36" s="729">
        <v>18</v>
      </c>
      <c r="B36" s="347" t="s">
        <v>97</v>
      </c>
      <c r="C36" s="346">
        <f>'18'!O9</f>
        <v>942903200</v>
      </c>
      <c r="D36" s="346">
        <f>'18'!O23</f>
        <v>658148788</v>
      </c>
      <c r="E36" s="346">
        <f>'18'!O28</f>
        <v>321862514</v>
      </c>
      <c r="F36" s="346">
        <f>'18'!O34</f>
        <v>114213600</v>
      </c>
      <c r="G36" s="346">
        <f>'18'!O41</f>
        <v>162000000</v>
      </c>
      <c r="H36" s="346">
        <f>'18'!O44</f>
        <v>0</v>
      </c>
      <c r="I36" s="346">
        <v>0</v>
      </c>
      <c r="J36" s="346">
        <v>0</v>
      </c>
      <c r="K36" s="346">
        <f t="shared" si="1"/>
        <v>2199128102</v>
      </c>
    </row>
    <row r="37" spans="1:11" ht="18.600000000000001" customHeight="1">
      <c r="A37" s="729">
        <v>19</v>
      </c>
      <c r="B37" s="347" t="s">
        <v>96</v>
      </c>
      <c r="C37" s="346">
        <f>'19'!O8</f>
        <v>1707950400</v>
      </c>
      <c r="D37" s="346">
        <f>'19'!O24</f>
        <v>370299613</v>
      </c>
      <c r="E37" s="346">
        <f>'19'!O32</f>
        <v>471988560</v>
      </c>
      <c r="F37" s="346">
        <f>'19'!O38</f>
        <v>60000000</v>
      </c>
      <c r="G37" s="346">
        <f>'19'!O46</f>
        <v>2085439.9999999998</v>
      </c>
      <c r="H37" s="346">
        <v>0</v>
      </c>
      <c r="I37" s="346">
        <v>0</v>
      </c>
      <c r="J37" s="346">
        <v>0</v>
      </c>
      <c r="K37" s="346">
        <f t="shared" si="1"/>
        <v>2612324013</v>
      </c>
    </row>
    <row r="38" spans="1:11" ht="18.600000000000001" customHeight="1">
      <c r="A38" s="729">
        <v>20</v>
      </c>
      <c r="B38" s="347" t="s">
        <v>89</v>
      </c>
      <c r="C38" s="346">
        <f>'20'!O8</f>
        <v>2436957600</v>
      </c>
      <c r="D38" s="346">
        <f>'20'!O26</f>
        <v>1217176200</v>
      </c>
      <c r="E38" s="346">
        <f>'20'!O33</f>
        <v>674507901</v>
      </c>
      <c r="F38" s="346">
        <f>'20'!O39</f>
        <v>55854400</v>
      </c>
      <c r="G38" s="346">
        <f>'20'!O46</f>
        <v>120000000</v>
      </c>
      <c r="H38" s="346">
        <f>'20'!O49</f>
        <v>1200000000</v>
      </c>
      <c r="I38" s="346">
        <f>'20'!O52</f>
        <v>60000000</v>
      </c>
      <c r="J38" s="346">
        <v>0</v>
      </c>
      <c r="K38" s="346">
        <f t="shared" si="1"/>
        <v>5764496101</v>
      </c>
    </row>
    <row r="39" spans="1:11" ht="18.600000000000001" customHeight="1">
      <c r="A39" s="729">
        <v>21</v>
      </c>
      <c r="B39" s="347" t="s">
        <v>95</v>
      </c>
      <c r="C39" s="346">
        <f>'21'!O9</f>
        <v>976108800</v>
      </c>
      <c r="D39" s="346">
        <f>'21'!O23</f>
        <v>337499040</v>
      </c>
      <c r="E39" s="346">
        <f>'21'!O31</f>
        <v>236292240</v>
      </c>
      <c r="F39" s="346">
        <f>'21'!O37</f>
        <v>160000000</v>
      </c>
      <c r="G39" s="346">
        <f>'21'!O44</f>
        <v>2691910200</v>
      </c>
      <c r="H39" s="346">
        <v>0</v>
      </c>
      <c r="I39" s="346">
        <v>0</v>
      </c>
      <c r="J39" s="346">
        <v>0</v>
      </c>
      <c r="K39" s="346">
        <f t="shared" si="1"/>
        <v>4401810280</v>
      </c>
    </row>
    <row r="40" spans="1:11" ht="18.600000000000001" customHeight="1">
      <c r="A40" s="729">
        <v>22</v>
      </c>
      <c r="B40" s="347" t="s">
        <v>626</v>
      </c>
      <c r="C40" s="346">
        <f>'22'!N10</f>
        <v>48225679600</v>
      </c>
      <c r="D40" s="346">
        <f>'22'!N25</f>
        <v>654687658</v>
      </c>
      <c r="E40" s="346">
        <f>'22'!N33</f>
        <v>602427200</v>
      </c>
      <c r="F40" s="346">
        <f>'22'!N39</f>
        <v>249174800</v>
      </c>
      <c r="G40" s="346">
        <f>'22'!N44</f>
        <v>21564080</v>
      </c>
      <c r="H40" s="346">
        <f>'22'!N49</f>
        <v>600000000</v>
      </c>
      <c r="I40" s="346">
        <f>'22'!N52</f>
        <v>60000000</v>
      </c>
      <c r="J40" s="346"/>
      <c r="K40" s="346">
        <f t="shared" si="1"/>
        <v>50413533338</v>
      </c>
    </row>
    <row r="41" spans="1:11" ht="18.600000000000001" customHeight="1">
      <c r="A41" s="729" t="s">
        <v>685</v>
      </c>
      <c r="B41" s="347" t="s">
        <v>852</v>
      </c>
      <c r="C41" s="346">
        <f>'22A'!E9</f>
        <v>66513600</v>
      </c>
      <c r="D41" s="346">
        <f>'22A'!E22</f>
        <v>99300000</v>
      </c>
      <c r="E41" s="346">
        <f>'22A'!E29</f>
        <v>131000000</v>
      </c>
      <c r="F41" s="346">
        <f>'22A'!E35</f>
        <v>65000000</v>
      </c>
      <c r="G41" s="346">
        <f>'22A'!E42</f>
        <v>0</v>
      </c>
      <c r="H41" s="346">
        <f>'22A'!E41</f>
        <v>0</v>
      </c>
      <c r="I41" s="346">
        <f>'22A'!E46</f>
        <v>2005714285.7142859</v>
      </c>
      <c r="J41" s="346">
        <v>0</v>
      </c>
      <c r="K41" s="346">
        <f t="shared" si="1"/>
        <v>2367527885.7142859</v>
      </c>
    </row>
    <row r="42" spans="1:11" ht="18.600000000000001" customHeight="1">
      <c r="A42" s="729" t="s">
        <v>851</v>
      </c>
      <c r="B42" s="347" t="s">
        <v>787</v>
      </c>
      <c r="C42" s="346">
        <f>'22B'!E8</f>
        <v>426610400</v>
      </c>
      <c r="D42" s="346">
        <f>'22B'!E23</f>
        <v>107200000</v>
      </c>
      <c r="E42" s="346">
        <f>'22B'!E30</f>
        <v>47000000</v>
      </c>
      <c r="F42" s="346">
        <f>'22B'!E36</f>
        <v>10000000</v>
      </c>
      <c r="G42" s="346">
        <f>'22B'!E43</f>
        <v>0</v>
      </c>
      <c r="H42" s="346">
        <v>0</v>
      </c>
      <c r="I42" s="346">
        <v>0</v>
      </c>
      <c r="J42" s="346">
        <v>0</v>
      </c>
      <c r="K42" s="346">
        <f t="shared" si="1"/>
        <v>590810400</v>
      </c>
    </row>
    <row r="43" spans="1:11" ht="18.600000000000001" customHeight="1">
      <c r="A43" s="729">
        <v>23</v>
      </c>
      <c r="B43" s="347" t="s">
        <v>412</v>
      </c>
      <c r="C43" s="346">
        <f>'23'!M9</f>
        <v>17329444800</v>
      </c>
      <c r="D43" s="346">
        <f>'23'!M23</f>
        <v>4183343408</v>
      </c>
      <c r="E43" s="346">
        <f>'23'!M31</f>
        <v>1436968829.7142859</v>
      </c>
      <c r="F43" s="346">
        <f>'23'!M36</f>
        <v>227695200</v>
      </c>
      <c r="G43" s="346">
        <f>'23'!M42</f>
        <v>120000000</v>
      </c>
      <c r="H43" s="346">
        <f>'23'!M53</f>
        <v>1530000000</v>
      </c>
      <c r="I43" s="346">
        <f>'23'!M49</f>
        <v>767000000</v>
      </c>
      <c r="J43" s="346"/>
      <c r="K43" s="346">
        <f t="shared" si="1"/>
        <v>25594452237.714287</v>
      </c>
    </row>
    <row r="44" spans="1:11" ht="18.600000000000001" customHeight="1">
      <c r="A44" s="729">
        <v>24</v>
      </c>
      <c r="B44" s="347" t="s">
        <v>94</v>
      </c>
      <c r="C44" s="346">
        <f>'24'!N9</f>
        <v>955433600</v>
      </c>
      <c r="D44" s="346">
        <f>'24'!N25</f>
        <v>683770000</v>
      </c>
      <c r="E44" s="346">
        <f>'24'!N31</f>
        <v>105000000</v>
      </c>
      <c r="F44" s="346">
        <f>'24'!N37</f>
        <v>73606800</v>
      </c>
      <c r="G44" s="346">
        <f>'24'!N42</f>
        <v>0</v>
      </c>
      <c r="H44" s="346">
        <f>'24'!N46</f>
        <v>400000000</v>
      </c>
      <c r="I44" s="346">
        <v>0</v>
      </c>
      <c r="J44" s="346">
        <v>0</v>
      </c>
      <c r="K44" s="346">
        <f t="shared" si="1"/>
        <v>2217810400</v>
      </c>
    </row>
    <row r="45" spans="1:11" ht="18.600000000000001" customHeight="1">
      <c r="A45" s="729">
        <v>25</v>
      </c>
      <c r="B45" s="347" t="s">
        <v>93</v>
      </c>
      <c r="C45" s="346">
        <f>'25'!O9</f>
        <v>1779609600</v>
      </c>
      <c r="D45" s="346">
        <f>'25'!O20</f>
        <v>428921784</v>
      </c>
      <c r="E45" s="346">
        <f>'25'!O26</f>
        <v>293193920</v>
      </c>
      <c r="F45" s="346">
        <f>'25'!O32</f>
        <v>55213600</v>
      </c>
      <c r="G45" s="346">
        <f>'25'!O39</f>
        <v>162000000</v>
      </c>
      <c r="H45" s="346">
        <f>'25'!O44</f>
        <v>0</v>
      </c>
      <c r="I45" s="346">
        <v>0</v>
      </c>
      <c r="J45" s="346">
        <v>0</v>
      </c>
      <c r="K45" s="346">
        <f t="shared" si="1"/>
        <v>2718938904</v>
      </c>
    </row>
    <row r="46" spans="1:11" ht="18.600000000000001" customHeight="1">
      <c r="A46" s="729">
        <v>26</v>
      </c>
      <c r="B46" s="347" t="s">
        <v>92</v>
      </c>
      <c r="C46" s="346">
        <f>'26'!O11</f>
        <v>2423625600</v>
      </c>
      <c r="D46" s="346">
        <f>'26'!O25</f>
        <v>701858960.79999995</v>
      </c>
      <c r="E46" s="346">
        <f>'26'!O32</f>
        <v>876831200</v>
      </c>
      <c r="F46" s="346">
        <f>'26'!O38</f>
        <v>169742800</v>
      </c>
      <c r="G46" s="346">
        <f>'26'!O44</f>
        <v>120000000</v>
      </c>
      <c r="H46" s="346">
        <f>'26'!O51</f>
        <v>1650000000</v>
      </c>
      <c r="I46" s="346">
        <f>'26'!O47</f>
        <v>0</v>
      </c>
      <c r="J46" s="346"/>
      <c r="K46" s="346">
        <f t="shared" si="1"/>
        <v>5942058560.8000002</v>
      </c>
    </row>
    <row r="47" spans="1:11" ht="18.600000000000001" customHeight="1">
      <c r="A47" s="729">
        <v>27</v>
      </c>
      <c r="B47" s="347" t="s">
        <v>26</v>
      </c>
      <c r="C47" s="346">
        <f>'27'!O11</f>
        <v>24278376000</v>
      </c>
      <c r="D47" s="346">
        <f>'27'!O26</f>
        <v>4070305671</v>
      </c>
      <c r="E47" s="346">
        <f>'27'!O35</f>
        <v>5772307685</v>
      </c>
      <c r="F47" s="346">
        <f>'27'!O41</f>
        <v>44205000</v>
      </c>
      <c r="G47" s="346">
        <f>'27'!O48</f>
        <v>78000000</v>
      </c>
      <c r="H47" s="346">
        <v>0</v>
      </c>
      <c r="I47" s="346">
        <v>0</v>
      </c>
      <c r="J47" s="346">
        <v>0</v>
      </c>
      <c r="K47" s="346">
        <f t="shared" si="1"/>
        <v>34243194356</v>
      </c>
    </row>
    <row r="48" spans="1:11" ht="18.600000000000001" customHeight="1">
      <c r="A48" s="729">
        <v>28</v>
      </c>
      <c r="B48" s="347" t="s">
        <v>91</v>
      </c>
      <c r="C48" s="731">
        <f>'28'!O8</f>
        <v>336703200</v>
      </c>
      <c r="D48" s="346">
        <f>'28'!O24</f>
        <v>22000000</v>
      </c>
      <c r="E48" s="346">
        <f>'28'!O31</f>
        <v>79384480</v>
      </c>
      <c r="F48" s="346">
        <f>'28'!O42</f>
        <v>17968250</v>
      </c>
      <c r="G48" s="346">
        <f>'28'!O38</f>
        <v>0</v>
      </c>
      <c r="H48" s="346">
        <v>0</v>
      </c>
      <c r="I48" s="346">
        <v>0</v>
      </c>
      <c r="J48" s="346">
        <v>0</v>
      </c>
      <c r="K48" s="346">
        <f t="shared" si="1"/>
        <v>456055930</v>
      </c>
    </row>
    <row r="49" spans="1:11" ht="18.600000000000001" customHeight="1">
      <c r="A49" s="729">
        <v>29</v>
      </c>
      <c r="B49" s="347" t="s">
        <v>1284</v>
      </c>
      <c r="C49" s="346">
        <f>'29'!O9</f>
        <v>305611200</v>
      </c>
      <c r="D49" s="346">
        <f>'29'!O24</f>
        <v>78927200</v>
      </c>
      <c r="E49" s="346">
        <f>'29'!O31</f>
        <v>118979424</v>
      </c>
      <c r="F49" s="346">
        <f>'29'!O44</f>
        <v>30869600</v>
      </c>
      <c r="G49" s="346">
        <f>'29'!O39</f>
        <v>138000000</v>
      </c>
      <c r="H49" s="346">
        <v>0</v>
      </c>
      <c r="I49" s="346">
        <v>0</v>
      </c>
      <c r="J49" s="346">
        <v>0</v>
      </c>
      <c r="K49" s="346">
        <f t="shared" si="1"/>
        <v>672387424</v>
      </c>
    </row>
    <row r="50" spans="1:11" ht="18.600000000000001" customHeight="1">
      <c r="A50" s="729">
        <v>30</v>
      </c>
      <c r="B50" s="347" t="s">
        <v>1275</v>
      </c>
      <c r="C50" s="346">
        <f>'30'!M8</f>
        <v>1380331200</v>
      </c>
      <c r="D50" s="346">
        <f>'30'!M18</f>
        <v>243654354.40000001</v>
      </c>
      <c r="E50" s="346">
        <f>'30'!M25</f>
        <v>600798240</v>
      </c>
      <c r="F50" s="346">
        <f>'30'!M30</f>
        <v>46749423.700000003</v>
      </c>
      <c r="G50" s="346">
        <f>'30'!M37</f>
        <v>0</v>
      </c>
      <c r="H50" s="346">
        <v>0</v>
      </c>
      <c r="I50" s="346">
        <v>0</v>
      </c>
      <c r="J50" s="346">
        <v>0</v>
      </c>
      <c r="K50" s="346">
        <f t="shared" si="1"/>
        <v>2271533218.0999999</v>
      </c>
    </row>
    <row r="51" spans="1:11" ht="18.600000000000001" customHeight="1">
      <c r="A51" s="729">
        <v>31</v>
      </c>
      <c r="B51" s="347" t="s">
        <v>1277</v>
      </c>
      <c r="C51" s="346">
        <f>'31'!O9</f>
        <v>1601812800</v>
      </c>
      <c r="D51" s="346">
        <f>'31'!O23</f>
        <v>765425410</v>
      </c>
      <c r="E51" s="346">
        <f>'31'!O30</f>
        <v>306496320</v>
      </c>
      <c r="F51" s="346">
        <f>'31'!O34</f>
        <v>49747040</v>
      </c>
      <c r="G51" s="346">
        <f>'31'!O40</f>
        <v>0</v>
      </c>
      <c r="H51" s="346">
        <v>0</v>
      </c>
      <c r="I51" s="346">
        <v>0</v>
      </c>
      <c r="J51" s="346">
        <v>0</v>
      </c>
      <c r="K51" s="346">
        <f t="shared" si="1"/>
        <v>2723481570</v>
      </c>
    </row>
    <row r="52" spans="1:11" ht="18.600000000000001" customHeight="1">
      <c r="A52" s="732">
        <v>32</v>
      </c>
      <c r="B52" s="733" t="s">
        <v>90</v>
      </c>
      <c r="C52" s="346">
        <f>'32'!P8</f>
        <v>1135938274</v>
      </c>
      <c r="D52" s="346">
        <f>'32'!P24</f>
        <v>213133254.13999999</v>
      </c>
      <c r="E52" s="346">
        <f>'32'!P30</f>
        <v>157819830</v>
      </c>
      <c r="F52" s="346">
        <f>'32'!P39</f>
        <v>99736800</v>
      </c>
      <c r="G52" s="346">
        <f>'32'!P35</f>
        <v>0</v>
      </c>
      <c r="H52" s="346">
        <f>'32'!P42</f>
        <v>0</v>
      </c>
      <c r="I52" s="346">
        <v>0</v>
      </c>
      <c r="J52" s="346">
        <v>0</v>
      </c>
      <c r="K52" s="346">
        <f t="shared" si="1"/>
        <v>1606628158.1399999</v>
      </c>
    </row>
    <row r="53" spans="1:11" ht="18.600000000000001" customHeight="1">
      <c r="A53" s="732">
        <v>33</v>
      </c>
      <c r="B53" s="594" t="s">
        <v>87</v>
      </c>
      <c r="C53" s="346">
        <f>'33'!O8</f>
        <v>469089600</v>
      </c>
      <c r="D53" s="346">
        <f>'33'!O19</f>
        <v>140558031.19999999</v>
      </c>
      <c r="E53" s="346">
        <f>'33'!O26</f>
        <v>127124160</v>
      </c>
      <c r="F53" s="346">
        <f>'33'!O31</f>
        <v>83500000</v>
      </c>
      <c r="G53" s="346">
        <f>'33'!O38</f>
        <v>120000000</v>
      </c>
      <c r="H53" s="346">
        <v>0</v>
      </c>
      <c r="I53" s="346">
        <v>0</v>
      </c>
      <c r="J53" s="346">
        <v>0</v>
      </c>
      <c r="K53" s="346">
        <f t="shared" si="1"/>
        <v>940271791.20000005</v>
      </c>
    </row>
    <row r="54" spans="1:11" ht="18.600000000000001" customHeight="1">
      <c r="A54" s="732">
        <v>34</v>
      </c>
      <c r="B54" s="734" t="s">
        <v>56</v>
      </c>
      <c r="C54" s="346">
        <f>'34'!P7</f>
        <v>257898800</v>
      </c>
      <c r="D54" s="346">
        <f>'34'!P17</f>
        <v>104968632</v>
      </c>
      <c r="E54" s="346">
        <f>'34'!P23</f>
        <v>158427200</v>
      </c>
      <c r="F54" s="346">
        <f>'34'!P34</f>
        <v>55420400</v>
      </c>
      <c r="G54" s="346">
        <f>'34'!P30</f>
        <v>0</v>
      </c>
      <c r="H54" s="346">
        <v>0</v>
      </c>
      <c r="I54" s="346">
        <v>0</v>
      </c>
      <c r="J54" s="346">
        <v>0</v>
      </c>
      <c r="K54" s="346">
        <f t="shared" si="1"/>
        <v>576715032</v>
      </c>
    </row>
    <row r="55" spans="1:11" ht="18.600000000000001" customHeight="1">
      <c r="A55" s="735">
        <v>35</v>
      </c>
      <c r="B55" s="734" t="s">
        <v>400</v>
      </c>
      <c r="C55" s="346">
        <f>'35'!F8</f>
        <v>168566400</v>
      </c>
      <c r="D55" s="346">
        <f>'35'!F23</f>
        <v>107580000</v>
      </c>
      <c r="E55" s="346">
        <f>'35'!F30</f>
        <v>39000000</v>
      </c>
      <c r="F55" s="346">
        <f>'35'!F35</f>
        <v>5400000</v>
      </c>
      <c r="G55" s="346">
        <f>'35'!F42</f>
        <v>42000000</v>
      </c>
      <c r="H55" s="346">
        <v>0</v>
      </c>
      <c r="I55" s="346">
        <v>0</v>
      </c>
      <c r="J55" s="346">
        <v>0</v>
      </c>
      <c r="K55" s="346">
        <f t="shared" si="1"/>
        <v>362546400</v>
      </c>
    </row>
    <row r="56" spans="1:11" ht="18.600000000000001" customHeight="1">
      <c r="A56" s="735">
        <v>36</v>
      </c>
      <c r="B56" s="734" t="s">
        <v>414</v>
      </c>
      <c r="C56" s="346">
        <f>'36'!M8</f>
        <v>112156800</v>
      </c>
      <c r="D56" s="346">
        <f>'36'!M18</f>
        <v>54900000</v>
      </c>
      <c r="E56" s="346">
        <f>'36'!M25</f>
        <v>101100000</v>
      </c>
      <c r="F56" s="346">
        <f>'36'!M30</f>
        <v>10500000</v>
      </c>
      <c r="G56" s="346">
        <f>'36'!M37</f>
        <v>0</v>
      </c>
      <c r="H56" s="346">
        <v>0</v>
      </c>
      <c r="I56" s="346">
        <v>0</v>
      </c>
      <c r="J56" s="346">
        <v>0</v>
      </c>
      <c r="K56" s="346">
        <f t="shared" si="1"/>
        <v>278656800</v>
      </c>
    </row>
    <row r="57" spans="1:11" ht="18.600000000000001" customHeight="1">
      <c r="A57" s="732">
        <v>37</v>
      </c>
      <c r="B57" s="734" t="s">
        <v>415</v>
      </c>
      <c r="C57" s="346">
        <f>'37'!F8</f>
        <v>195676600</v>
      </c>
      <c r="D57" s="346">
        <f>'37'!F24</f>
        <v>109884000</v>
      </c>
      <c r="E57" s="346">
        <f>'37'!F31</f>
        <v>47720000</v>
      </c>
      <c r="F57" s="346">
        <f>'37'!F36</f>
        <v>11000000</v>
      </c>
      <c r="G57" s="346">
        <f>'37'!F43</f>
        <v>0</v>
      </c>
      <c r="H57" s="346">
        <v>0</v>
      </c>
      <c r="I57" s="346">
        <v>0</v>
      </c>
      <c r="J57" s="346">
        <v>0</v>
      </c>
      <c r="K57" s="346">
        <f t="shared" si="1"/>
        <v>364280600</v>
      </c>
    </row>
    <row r="58" spans="1:11" ht="18.600000000000001" customHeight="1">
      <c r="A58" s="735">
        <v>38</v>
      </c>
      <c r="B58" s="734" t="s">
        <v>548</v>
      </c>
      <c r="C58" s="346">
        <f>'38'!F9</f>
        <v>698503200</v>
      </c>
      <c r="D58" s="346">
        <f>'38'!F25</f>
        <v>216100000</v>
      </c>
      <c r="E58" s="346">
        <f>'38'!F33</f>
        <v>138620000</v>
      </c>
      <c r="F58" s="346">
        <f>'38'!F38</f>
        <v>22680000</v>
      </c>
      <c r="G58" s="346">
        <f>'38'!F45</f>
        <v>0</v>
      </c>
      <c r="H58" s="346">
        <v>0</v>
      </c>
      <c r="I58" s="346">
        <v>0</v>
      </c>
      <c r="J58" s="346">
        <v>0</v>
      </c>
      <c r="K58" s="346">
        <f t="shared" si="1"/>
        <v>1075903200</v>
      </c>
    </row>
    <row r="59" spans="1:11" ht="18.600000000000001" customHeight="1">
      <c r="A59" s="735">
        <v>39</v>
      </c>
      <c r="B59" s="734" t="s">
        <v>601</v>
      </c>
      <c r="C59" s="346">
        <f>'39'!M9</f>
        <v>625418400</v>
      </c>
      <c r="D59" s="346">
        <f>'39'!M23</f>
        <v>392416000</v>
      </c>
      <c r="E59" s="346">
        <f>'39'!M30</f>
        <v>230500000</v>
      </c>
      <c r="F59" s="346">
        <f>'39'!M35</f>
        <v>25000000</v>
      </c>
      <c r="G59" s="346">
        <f>'39'!M42</f>
        <v>42000000</v>
      </c>
      <c r="H59" s="346">
        <v>0</v>
      </c>
      <c r="I59" s="346">
        <v>0</v>
      </c>
      <c r="J59" s="346">
        <v>0</v>
      </c>
      <c r="K59" s="346">
        <f t="shared" si="1"/>
        <v>1315334400</v>
      </c>
    </row>
    <row r="60" spans="1:11" ht="18.600000000000001" customHeight="1">
      <c r="A60" s="736">
        <v>40</v>
      </c>
      <c r="B60" s="737" t="s">
        <v>788</v>
      </c>
      <c r="C60" s="731">
        <f>'40'!O10</f>
        <v>707414400</v>
      </c>
      <c r="D60" s="731">
        <f>'40'!O23</f>
        <v>560944638</v>
      </c>
      <c r="E60" s="731">
        <f>'40'!O31</f>
        <v>279458000</v>
      </c>
      <c r="F60" s="731">
        <f>'40'!O36</f>
        <v>76586876</v>
      </c>
      <c r="G60" s="731">
        <f>'40'!O44</f>
        <v>266000000</v>
      </c>
      <c r="H60" s="731">
        <f>'40'!O47</f>
        <v>0</v>
      </c>
      <c r="I60" s="731">
        <v>0</v>
      </c>
      <c r="J60" s="731">
        <v>0</v>
      </c>
      <c r="K60" s="346">
        <f t="shared" si="1"/>
        <v>1890403914</v>
      </c>
    </row>
    <row r="61" spans="1:11" ht="18.600000000000001" customHeight="1">
      <c r="A61" s="735">
        <v>41</v>
      </c>
      <c r="B61" s="734" t="s">
        <v>790</v>
      </c>
      <c r="C61" s="346">
        <f>'41'!E7</f>
        <v>1754704800</v>
      </c>
      <c r="D61" s="346">
        <f>'41'!E25</f>
        <v>616575300</v>
      </c>
      <c r="E61" s="346">
        <f>'41'!E32</f>
        <v>283213600</v>
      </c>
      <c r="F61" s="346">
        <f>'41'!E37</f>
        <v>59877680</v>
      </c>
      <c r="G61" s="346">
        <f>'41'!E45</f>
        <v>96000000</v>
      </c>
      <c r="H61" s="346">
        <f>'41'!E48</f>
        <v>0</v>
      </c>
      <c r="I61" s="346">
        <v>0</v>
      </c>
      <c r="J61" s="346">
        <v>0</v>
      </c>
      <c r="K61" s="346">
        <f t="shared" si="1"/>
        <v>2810371380</v>
      </c>
    </row>
    <row r="62" spans="1:11" ht="18.600000000000001" customHeight="1">
      <c r="A62" s="735">
        <v>42</v>
      </c>
      <c r="B62" s="734" t="s">
        <v>789</v>
      </c>
      <c r="C62" s="346">
        <f>'42'!E7</f>
        <v>1326600000</v>
      </c>
      <c r="D62" s="346">
        <f>'42'!E23</f>
        <v>731584000</v>
      </c>
      <c r="E62" s="346">
        <f>'42'!E33</f>
        <v>220000000</v>
      </c>
      <c r="F62" s="346">
        <f>'42'!E38</f>
        <v>20000000</v>
      </c>
      <c r="G62" s="346">
        <f>'42'!E45</f>
        <v>11941000</v>
      </c>
      <c r="H62" s="346">
        <v>0</v>
      </c>
      <c r="I62" s="346">
        <v>0</v>
      </c>
      <c r="J62" s="346">
        <v>0</v>
      </c>
      <c r="K62" s="346">
        <f t="shared" si="1"/>
        <v>2310125000</v>
      </c>
    </row>
    <row r="63" spans="1:11" ht="18.600000000000001" customHeight="1">
      <c r="A63" s="732">
        <v>43</v>
      </c>
      <c r="B63" s="734" t="s">
        <v>1148</v>
      </c>
      <c r="C63" s="346">
        <f>'43'!P8</f>
        <v>778670400</v>
      </c>
      <c r="D63" s="346">
        <f>'43'!P19</f>
        <v>131000000</v>
      </c>
      <c r="E63" s="346">
        <f>'43'!P25</f>
        <v>270000000</v>
      </c>
      <c r="F63" s="346">
        <f>'43'!P32</f>
        <v>100000000</v>
      </c>
      <c r="G63" s="346">
        <f>'43'!P40</f>
        <v>140000000</v>
      </c>
      <c r="H63" s="346">
        <v>0</v>
      </c>
      <c r="I63" s="346">
        <v>0</v>
      </c>
      <c r="J63" s="346">
        <v>0</v>
      </c>
      <c r="K63" s="346">
        <f t="shared" si="1"/>
        <v>1419670400</v>
      </c>
    </row>
    <row r="64" spans="1:11" ht="18.600000000000001" customHeight="1">
      <c r="A64" s="594"/>
      <c r="B64" s="594" t="s">
        <v>27</v>
      </c>
      <c r="C64" s="346">
        <f>SUM(C2:C63)</f>
        <v>370128628334</v>
      </c>
      <c r="D64" s="346">
        <f t="shared" ref="D64:J64" si="2">SUM(D2:D63)</f>
        <v>166778043553.65002</v>
      </c>
      <c r="E64" s="346">
        <f t="shared" si="2"/>
        <v>109136652713.81427</v>
      </c>
      <c r="F64" s="346">
        <f t="shared" si="2"/>
        <v>7637156208</v>
      </c>
      <c r="G64" s="346">
        <f t="shared" si="2"/>
        <v>31147411720</v>
      </c>
      <c r="H64" s="346">
        <f t="shared" si="2"/>
        <v>24360000000</v>
      </c>
      <c r="I64" s="346">
        <f t="shared" si="2"/>
        <v>6772505085.7142859</v>
      </c>
      <c r="J64" s="346">
        <f t="shared" si="2"/>
        <v>34039602385</v>
      </c>
      <c r="K64" s="346">
        <f>SUM(C64:J64)</f>
        <v>750000000000.17859</v>
      </c>
    </row>
  </sheetData>
  <pageMargins left="0.24" right="0.21" top="0.75" bottom="0.75" header="0.3" footer="0.3"/>
  <pageSetup scale="4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="60" workbookViewId="0">
      <selection sqref="A1:XFD1048576"/>
    </sheetView>
  </sheetViews>
  <sheetFormatPr defaultRowHeight="12.75"/>
  <cols>
    <col min="1" max="1" width="16.6640625" style="386" bestFit="1" customWidth="1"/>
    <col min="2" max="2" width="80.5" style="386" bestFit="1" customWidth="1"/>
    <col min="3" max="11" width="0" style="386" hidden="1" customWidth="1"/>
    <col min="12" max="13" width="27.33203125" style="386" hidden="1" customWidth="1"/>
    <col min="14" max="14" width="35.33203125" style="386" customWidth="1"/>
    <col min="15" max="15" width="29.6640625" style="386" customWidth="1"/>
    <col min="16" max="16" width="27.33203125" style="386" customWidth="1"/>
    <col min="17" max="16384" width="9.33203125" style="386"/>
  </cols>
  <sheetData>
    <row r="1" spans="1:16" ht="26.45" customHeight="1">
      <c r="A1" s="562" t="s">
        <v>45</v>
      </c>
      <c r="B1" s="563" t="s">
        <v>1232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564"/>
      <c r="O1" s="564"/>
      <c r="P1" s="564"/>
    </row>
    <row r="2" spans="1:16" ht="26.45" customHeight="1">
      <c r="A2" s="565" t="s">
        <v>248</v>
      </c>
      <c r="B2" s="565" t="s">
        <v>165</v>
      </c>
      <c r="C2" s="361" t="s">
        <v>43</v>
      </c>
      <c r="D2" s="566" t="s">
        <v>2</v>
      </c>
      <c r="E2" s="566" t="s">
        <v>48</v>
      </c>
      <c r="F2" s="566" t="s">
        <v>52</v>
      </c>
      <c r="G2" s="566" t="s">
        <v>62</v>
      </c>
      <c r="H2" s="566" t="s">
        <v>69</v>
      </c>
      <c r="I2" s="566" t="s">
        <v>138</v>
      </c>
      <c r="J2" s="566" t="s">
        <v>137</v>
      </c>
      <c r="K2" s="566" t="s">
        <v>145</v>
      </c>
      <c r="L2" s="566" t="s">
        <v>180</v>
      </c>
      <c r="M2" s="566" t="s">
        <v>331</v>
      </c>
      <c r="N2" s="567" t="s">
        <v>643</v>
      </c>
      <c r="O2" s="567" t="s">
        <v>1111</v>
      </c>
      <c r="P2" s="567" t="s">
        <v>63</v>
      </c>
    </row>
    <row r="3" spans="1:16" ht="26.45" customHeight="1">
      <c r="A3" s="565" t="s">
        <v>249</v>
      </c>
      <c r="B3" s="565" t="s">
        <v>250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564"/>
      <c r="O3" s="564"/>
      <c r="P3" s="564"/>
    </row>
    <row r="4" spans="1:16" ht="26.45" customHeight="1">
      <c r="A4" s="568" t="s">
        <v>247</v>
      </c>
      <c r="B4" s="568" t="s">
        <v>32</v>
      </c>
      <c r="C4" s="284">
        <v>81679000</v>
      </c>
      <c r="D4" s="284">
        <v>60243000</v>
      </c>
      <c r="E4" s="284">
        <v>56880000</v>
      </c>
      <c r="F4" s="284">
        <v>52968000</v>
      </c>
      <c r="G4" s="284">
        <v>61800000</v>
      </c>
      <c r="H4" s="284">
        <f>SUM(12720000,61800000)</f>
        <v>74520000</v>
      </c>
      <c r="I4" s="284">
        <v>96876000</v>
      </c>
      <c r="J4" s="284">
        <f>96876000+4149600+54000000+6000000</f>
        <v>161025600</v>
      </c>
      <c r="K4" s="284">
        <v>8504548800</v>
      </c>
      <c r="L4" s="284">
        <v>8504548800</v>
      </c>
      <c r="M4" s="284">
        <f>'shaq,3'!H26+16663046400+3744000+36000000</f>
        <v>16840944000</v>
      </c>
      <c r="N4" s="569">
        <v>189009600</v>
      </c>
      <c r="O4" s="569">
        <v>206668800</v>
      </c>
      <c r="P4" s="569">
        <f>O4-N4</f>
        <v>17659200</v>
      </c>
    </row>
    <row r="5" spans="1:16" ht="26.45" customHeight="1">
      <c r="A5" s="568" t="s">
        <v>251</v>
      </c>
      <c r="B5" s="568" t="s">
        <v>812</v>
      </c>
      <c r="C5" s="284"/>
      <c r="D5" s="284"/>
      <c r="E5" s="284"/>
      <c r="F5" s="284"/>
      <c r="G5" s="284">
        <v>6176304000</v>
      </c>
      <c r="H5" s="284">
        <f>SUM(6176304000,137088000)</f>
        <v>6313392000</v>
      </c>
      <c r="I5" s="284">
        <v>8207409600</v>
      </c>
      <c r="J5" s="284">
        <v>8283787200</v>
      </c>
      <c r="K5" s="284">
        <v>0</v>
      </c>
      <c r="L5" s="284">
        <v>0</v>
      </c>
      <c r="M5" s="284">
        <v>0</v>
      </c>
      <c r="N5" s="569">
        <v>97200000</v>
      </c>
      <c r="O5" s="569">
        <v>97200000</v>
      </c>
      <c r="P5" s="569">
        <f t="shared" ref="P5:P45" si="0">O5-N5</f>
        <v>0</v>
      </c>
    </row>
    <row r="6" spans="1:16" ht="26.45" customHeight="1">
      <c r="A6" s="568" t="s">
        <v>252</v>
      </c>
      <c r="B6" s="568" t="s">
        <v>34</v>
      </c>
      <c r="C6" s="284">
        <v>1383000</v>
      </c>
      <c r="D6" s="284">
        <v>0</v>
      </c>
      <c r="E6" s="284">
        <v>0</v>
      </c>
      <c r="F6" s="284">
        <v>0</v>
      </c>
      <c r="G6" s="284">
        <v>0</v>
      </c>
      <c r="H6" s="284">
        <v>0</v>
      </c>
      <c r="I6" s="284">
        <v>0</v>
      </c>
      <c r="J6" s="284">
        <v>0</v>
      </c>
      <c r="K6" s="284">
        <v>470552956</v>
      </c>
      <c r="L6" s="284">
        <f>470552956+44304000+3600000</f>
        <v>518456956</v>
      </c>
      <c r="M6" s="284">
        <f>470552956+44304000+3600000</f>
        <v>518456956</v>
      </c>
      <c r="N6" s="569">
        <v>547256956</v>
      </c>
      <c r="O6" s="569">
        <v>697824000</v>
      </c>
      <c r="P6" s="569">
        <f t="shared" si="0"/>
        <v>150567044</v>
      </c>
    </row>
    <row r="7" spans="1:16" ht="26.45" customHeight="1">
      <c r="A7" s="568" t="s">
        <v>676</v>
      </c>
      <c r="B7" s="568" t="s">
        <v>667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>
        <v>0</v>
      </c>
      <c r="N7" s="569">
        <v>0</v>
      </c>
      <c r="O7" s="569">
        <v>18000000</v>
      </c>
      <c r="P7" s="569">
        <f t="shared" si="0"/>
        <v>18000000</v>
      </c>
    </row>
    <row r="8" spans="1:16" ht="26.45" customHeight="1">
      <c r="A8" s="565" t="s">
        <v>255</v>
      </c>
      <c r="B8" s="565" t="s">
        <v>256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569">
        <v>0</v>
      </c>
      <c r="O8" s="569">
        <v>0</v>
      </c>
      <c r="P8" s="569">
        <f t="shared" si="0"/>
        <v>0</v>
      </c>
    </row>
    <row r="9" spans="1:16" ht="26.45" customHeight="1">
      <c r="A9" s="568" t="s">
        <v>259</v>
      </c>
      <c r="B9" s="568" t="s">
        <v>591</v>
      </c>
      <c r="C9" s="284"/>
      <c r="D9" s="284"/>
      <c r="E9" s="284"/>
      <c r="F9" s="284"/>
      <c r="G9" s="284"/>
      <c r="H9" s="284"/>
      <c r="I9" s="284"/>
      <c r="J9" s="284"/>
      <c r="K9" s="284"/>
      <c r="L9" s="284">
        <v>0</v>
      </c>
      <c r="M9" s="284">
        <f>6357000+5878600</f>
        <v>12235600</v>
      </c>
      <c r="N9" s="569">
        <v>0</v>
      </c>
      <c r="O9" s="569">
        <v>0</v>
      </c>
      <c r="P9" s="569">
        <f t="shared" si="0"/>
        <v>0</v>
      </c>
    </row>
    <row r="10" spans="1:16" ht="26.45" customHeight="1">
      <c r="A10" s="568"/>
      <c r="B10" s="565" t="s">
        <v>119</v>
      </c>
      <c r="C10" s="284">
        <v>35640000</v>
      </c>
      <c r="D10" s="284">
        <v>46700000</v>
      </c>
      <c r="E10" s="284">
        <v>46700000</v>
      </c>
      <c r="F10" s="284">
        <v>46700000</v>
      </c>
      <c r="G10" s="284">
        <v>75024000</v>
      </c>
      <c r="H10" s="284">
        <v>93780000</v>
      </c>
      <c r="I10" s="284">
        <v>93780000</v>
      </c>
      <c r="J10" s="284">
        <v>150000000</v>
      </c>
      <c r="K10" s="284">
        <v>14764915</v>
      </c>
      <c r="L10" s="292">
        <f>SUM(L4:L9)</f>
        <v>9023005756</v>
      </c>
      <c r="M10" s="292">
        <f>SUM(M4:M9)</f>
        <v>17371636556</v>
      </c>
      <c r="N10" s="570">
        <f>SUM(N4:N9)</f>
        <v>833466556</v>
      </c>
      <c r="O10" s="570">
        <f>SUM(O4:O9)</f>
        <v>1019692800</v>
      </c>
      <c r="P10" s="570">
        <f>O10-N10</f>
        <v>186226244</v>
      </c>
    </row>
    <row r="11" spans="1:16" ht="26.45" customHeight="1">
      <c r="A11" s="565" t="s">
        <v>262</v>
      </c>
      <c r="B11" s="565" t="s">
        <v>263</v>
      </c>
      <c r="C11" s="284"/>
      <c r="D11" s="284"/>
      <c r="E11" s="284"/>
      <c r="F11" s="284"/>
      <c r="G11" s="284">
        <v>30600000</v>
      </c>
      <c r="H11" s="284">
        <v>30600000</v>
      </c>
      <c r="I11" s="284">
        <v>27349056</v>
      </c>
      <c r="J11" s="284">
        <v>27349056</v>
      </c>
      <c r="K11" s="284">
        <v>0</v>
      </c>
      <c r="L11" s="284"/>
      <c r="M11" s="284"/>
      <c r="N11" s="569"/>
      <c r="O11" s="569"/>
      <c r="P11" s="569">
        <f t="shared" si="0"/>
        <v>0</v>
      </c>
    </row>
    <row r="12" spans="1:16" ht="26.45" customHeight="1">
      <c r="A12" s="565" t="s">
        <v>265</v>
      </c>
      <c r="B12" s="565" t="s">
        <v>264</v>
      </c>
      <c r="C12" s="284"/>
      <c r="D12" s="284"/>
      <c r="E12" s="284"/>
      <c r="F12" s="284"/>
      <c r="G12" s="284"/>
      <c r="H12" s="284"/>
      <c r="I12" s="284"/>
      <c r="J12" s="284"/>
      <c r="K12" s="284">
        <v>3724000</v>
      </c>
      <c r="L12" s="284"/>
      <c r="M12" s="284"/>
      <c r="N12" s="569"/>
      <c r="O12" s="569"/>
      <c r="P12" s="569">
        <f t="shared" si="0"/>
        <v>0</v>
      </c>
    </row>
    <row r="13" spans="1:16" ht="26.45" customHeight="1">
      <c r="A13" s="568" t="s">
        <v>266</v>
      </c>
      <c r="B13" s="568" t="s">
        <v>38</v>
      </c>
      <c r="C13" s="284">
        <v>7546500</v>
      </c>
      <c r="D13" s="284">
        <v>4440000</v>
      </c>
      <c r="E13" s="284">
        <v>4440000</v>
      </c>
      <c r="F13" s="284">
        <v>4440000</v>
      </c>
      <c r="G13" s="284">
        <v>4800000</v>
      </c>
      <c r="H13" s="284">
        <v>6000000</v>
      </c>
      <c r="I13" s="284">
        <v>7448000</v>
      </c>
      <c r="J13" s="284">
        <v>15000000</v>
      </c>
      <c r="K13" s="284">
        <v>3724000</v>
      </c>
      <c r="L13" s="284">
        <v>14896000</v>
      </c>
      <c r="M13" s="284">
        <f>14896000*70%</f>
        <v>10427200</v>
      </c>
      <c r="N13" s="569">
        <f>14896000*70%</f>
        <v>10427200</v>
      </c>
      <c r="O13" s="569">
        <f>14896000*70%</f>
        <v>10427200</v>
      </c>
      <c r="P13" s="569">
        <f t="shared" si="0"/>
        <v>0</v>
      </c>
    </row>
    <row r="14" spans="1:16" ht="26.45" customHeight="1">
      <c r="A14" s="568" t="s">
        <v>269</v>
      </c>
      <c r="B14" s="568" t="s">
        <v>186</v>
      </c>
      <c r="C14" s="284">
        <v>3325000</v>
      </c>
      <c r="D14" s="284">
        <v>1560000</v>
      </c>
      <c r="E14" s="284">
        <v>1560000</v>
      </c>
      <c r="F14" s="284">
        <v>3560000</v>
      </c>
      <c r="G14" s="284">
        <v>3840000</v>
      </c>
      <c r="H14" s="284">
        <v>4800000</v>
      </c>
      <c r="I14" s="284">
        <v>7448000</v>
      </c>
      <c r="J14" s="284">
        <v>12000000</v>
      </c>
      <c r="K14" s="284">
        <v>2681280</v>
      </c>
      <c r="L14" s="284">
        <v>45000000</v>
      </c>
      <c r="M14" s="284">
        <f>L14*70%</f>
        <v>31499999.999999996</v>
      </c>
      <c r="N14" s="569">
        <v>40500000</v>
      </c>
      <c r="O14" s="569">
        <v>40500000</v>
      </c>
      <c r="P14" s="569">
        <f t="shared" si="0"/>
        <v>0</v>
      </c>
    </row>
    <row r="15" spans="1:16" ht="26.45" customHeight="1">
      <c r="A15" s="568" t="s">
        <v>271</v>
      </c>
      <c r="B15" s="568" t="s">
        <v>154</v>
      </c>
      <c r="C15" s="284"/>
      <c r="D15" s="284"/>
      <c r="E15" s="284"/>
      <c r="F15" s="284"/>
      <c r="G15" s="284"/>
      <c r="H15" s="284"/>
      <c r="I15" s="284"/>
      <c r="J15" s="284"/>
      <c r="K15" s="284">
        <v>2979200</v>
      </c>
      <c r="L15" s="284">
        <v>3724000</v>
      </c>
      <c r="M15" s="284">
        <f>22924000*70%</f>
        <v>16046799.999999998</v>
      </c>
      <c r="N15" s="569">
        <v>0</v>
      </c>
      <c r="O15" s="569">
        <v>0</v>
      </c>
      <c r="P15" s="569">
        <f t="shared" si="0"/>
        <v>0</v>
      </c>
    </row>
    <row r="16" spans="1:16" ht="26.45" customHeight="1">
      <c r="A16" s="568" t="s">
        <v>272</v>
      </c>
      <c r="B16" s="568" t="s">
        <v>54</v>
      </c>
      <c r="C16" s="284">
        <v>10663000</v>
      </c>
      <c r="D16" s="284">
        <v>15000000</v>
      </c>
      <c r="E16" s="284">
        <v>0</v>
      </c>
      <c r="F16" s="284">
        <v>0</v>
      </c>
      <c r="G16" s="284">
        <f>2400000+30000000</f>
        <v>32400000</v>
      </c>
      <c r="H16" s="284">
        <v>32400000</v>
      </c>
      <c r="I16" s="284">
        <v>24131520</v>
      </c>
      <c r="J16" s="284">
        <v>40000000</v>
      </c>
      <c r="K16" s="284">
        <v>24131520</v>
      </c>
      <c r="L16" s="284">
        <v>30000000</v>
      </c>
      <c r="M16" s="284">
        <f>30000000*70%</f>
        <v>21000000</v>
      </c>
      <c r="N16" s="569">
        <f>M16*70%</f>
        <v>14699999.999999998</v>
      </c>
      <c r="O16" s="569">
        <v>24700000</v>
      </c>
      <c r="P16" s="569">
        <f t="shared" si="0"/>
        <v>10000000.000000002</v>
      </c>
    </row>
    <row r="17" spans="1:16" ht="26.45" customHeight="1">
      <c r="A17" s="568" t="s">
        <v>273</v>
      </c>
      <c r="B17" s="568" t="s">
        <v>120</v>
      </c>
      <c r="C17" s="284"/>
      <c r="D17" s="284"/>
      <c r="E17" s="284"/>
      <c r="F17" s="284"/>
      <c r="G17" s="284"/>
      <c r="H17" s="284"/>
      <c r="I17" s="284"/>
      <c r="J17" s="284"/>
      <c r="K17" s="284">
        <v>450000000</v>
      </c>
      <c r="L17" s="284">
        <v>100000000</v>
      </c>
      <c r="M17" s="284">
        <f>100000000*70%</f>
        <v>70000000</v>
      </c>
      <c r="N17" s="569">
        <f>M17</f>
        <v>70000000</v>
      </c>
      <c r="O17" s="569">
        <v>88840000</v>
      </c>
      <c r="P17" s="569">
        <f t="shared" si="0"/>
        <v>18840000</v>
      </c>
    </row>
    <row r="18" spans="1:16" ht="26.45" customHeight="1">
      <c r="A18" s="568" t="s">
        <v>274</v>
      </c>
      <c r="B18" s="568" t="s">
        <v>164</v>
      </c>
      <c r="C18" s="284">
        <v>3753000</v>
      </c>
      <c r="D18" s="284">
        <v>3753000</v>
      </c>
      <c r="E18" s="284">
        <v>0</v>
      </c>
      <c r="F18" s="284">
        <f>SUM(F16:F16)</f>
        <v>0</v>
      </c>
      <c r="G18" s="284">
        <v>0</v>
      </c>
      <c r="H18" s="284">
        <v>0</v>
      </c>
      <c r="I18" s="284">
        <v>0</v>
      </c>
      <c r="J18" s="284">
        <v>0</v>
      </c>
      <c r="K18" s="292">
        <f>SUM(K10:K17)</f>
        <v>502004915</v>
      </c>
      <c r="L18" s="284">
        <v>9000000</v>
      </c>
      <c r="M18" s="284">
        <f>9000000*70%</f>
        <v>6300000</v>
      </c>
      <c r="N18" s="569">
        <f>9000000*70%</f>
        <v>6300000</v>
      </c>
      <c r="O18" s="569">
        <f>9000000*70%</f>
        <v>6300000</v>
      </c>
      <c r="P18" s="569">
        <f t="shared" si="0"/>
        <v>0</v>
      </c>
    </row>
    <row r="19" spans="1:16" ht="26.45" customHeight="1">
      <c r="A19" s="568" t="s">
        <v>275</v>
      </c>
      <c r="B19" s="568" t="s">
        <v>40</v>
      </c>
      <c r="C19" s="292">
        <f t="shared" ref="C19:J19" si="1">SUM(C10:C18)</f>
        <v>60927500</v>
      </c>
      <c r="D19" s="292">
        <f t="shared" si="1"/>
        <v>71453000</v>
      </c>
      <c r="E19" s="292">
        <f t="shared" si="1"/>
        <v>52700000</v>
      </c>
      <c r="F19" s="292">
        <f t="shared" si="1"/>
        <v>54700000</v>
      </c>
      <c r="G19" s="292">
        <f t="shared" si="1"/>
        <v>146664000</v>
      </c>
      <c r="H19" s="292">
        <f t="shared" si="1"/>
        <v>167580000</v>
      </c>
      <c r="I19" s="292">
        <f t="shared" si="1"/>
        <v>160156576</v>
      </c>
      <c r="J19" s="292">
        <f t="shared" si="1"/>
        <v>244349056</v>
      </c>
      <c r="K19" s="292"/>
      <c r="L19" s="284">
        <v>6000000</v>
      </c>
      <c r="M19" s="284">
        <f>L19*70%</f>
        <v>4200000</v>
      </c>
      <c r="N19" s="569">
        <v>24200000</v>
      </c>
      <c r="O19" s="569">
        <v>24200000</v>
      </c>
      <c r="P19" s="569">
        <f t="shared" si="0"/>
        <v>0</v>
      </c>
    </row>
    <row r="20" spans="1:16" ht="26.45" customHeight="1">
      <c r="A20" s="568" t="s">
        <v>311</v>
      </c>
      <c r="B20" s="568" t="s">
        <v>332</v>
      </c>
      <c r="C20" s="284"/>
      <c r="D20" s="284">
        <v>0</v>
      </c>
      <c r="E20" s="284">
        <v>0</v>
      </c>
      <c r="F20" s="284">
        <v>0</v>
      </c>
      <c r="G20" s="284"/>
      <c r="H20" s="284"/>
      <c r="I20" s="284"/>
      <c r="J20" s="284"/>
      <c r="K20" s="284">
        <v>0</v>
      </c>
      <c r="L20" s="284">
        <v>120000000</v>
      </c>
      <c r="M20" s="284">
        <f>120000000*70%+36000000</f>
        <v>120000000</v>
      </c>
      <c r="N20" s="569">
        <f>120000000*70%+36000000</f>
        <v>120000000</v>
      </c>
      <c r="O20" s="569">
        <f>120000000*70%+36000000</f>
        <v>120000000</v>
      </c>
      <c r="P20" s="569">
        <f t="shared" si="0"/>
        <v>0</v>
      </c>
    </row>
    <row r="21" spans="1:16" ht="26.45" customHeight="1">
      <c r="A21" s="568" t="s">
        <v>333</v>
      </c>
      <c r="B21" s="568" t="s">
        <v>334</v>
      </c>
      <c r="C21" s="284">
        <v>0</v>
      </c>
      <c r="D21" s="284">
        <v>6000000</v>
      </c>
      <c r="E21" s="284">
        <v>0</v>
      </c>
      <c r="F21" s="284">
        <v>0</v>
      </c>
      <c r="G21" s="284">
        <v>0</v>
      </c>
      <c r="H21" s="284">
        <v>35000000</v>
      </c>
      <c r="I21" s="284">
        <v>0</v>
      </c>
      <c r="J21" s="284">
        <v>15000000</v>
      </c>
      <c r="K21" s="284">
        <f>93780000+27349056</f>
        <v>121129056</v>
      </c>
      <c r="L21" s="284">
        <v>2979200</v>
      </c>
      <c r="M21" s="284">
        <f>2979200*70%</f>
        <v>2085439.9999999998</v>
      </c>
      <c r="N21" s="569">
        <f>2979200*70%</f>
        <v>2085439.9999999998</v>
      </c>
      <c r="O21" s="569">
        <f>2979200*70%</f>
        <v>2085439.9999999998</v>
      </c>
      <c r="P21" s="569">
        <f t="shared" si="0"/>
        <v>0</v>
      </c>
    </row>
    <row r="22" spans="1:16" ht="26.45" customHeight="1">
      <c r="A22" s="571" t="s">
        <v>340</v>
      </c>
      <c r="B22" s="568" t="s">
        <v>353</v>
      </c>
      <c r="C22" s="292">
        <f>SUM(C21:C21)</f>
        <v>0</v>
      </c>
      <c r="D22" s="292">
        <f>SUM(D20:D21)</f>
        <v>6000000</v>
      </c>
      <c r="E22" s="292">
        <f>SUM(E20:E21)</f>
        <v>0</v>
      </c>
      <c r="F22" s="292">
        <f>SUM(F20:F21)</f>
        <v>0</v>
      </c>
      <c r="G22" s="292">
        <f>SUM(G21:G21)</f>
        <v>0</v>
      </c>
      <c r="H22" s="292">
        <f>SUM(H21:H21)</f>
        <v>35000000</v>
      </c>
      <c r="I22" s="292">
        <f>SUM(I21:I21)</f>
        <v>0</v>
      </c>
      <c r="J22" s="292">
        <f>SUM(J21:J21)</f>
        <v>15000000</v>
      </c>
      <c r="K22" s="292">
        <f>SUM(K20:K21)</f>
        <v>121129056</v>
      </c>
      <c r="L22" s="284">
        <v>225000000</v>
      </c>
      <c r="M22" s="284">
        <f>225000000-36000000</f>
        <v>189000000</v>
      </c>
      <c r="N22" s="569">
        <v>0</v>
      </c>
      <c r="O22" s="569">
        <v>0</v>
      </c>
      <c r="P22" s="569">
        <f t="shared" si="0"/>
        <v>0</v>
      </c>
    </row>
    <row r="23" spans="1:16" ht="26.45" customHeight="1">
      <c r="A23" s="571" t="s">
        <v>733</v>
      </c>
      <c r="B23" s="568" t="s">
        <v>1191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84"/>
      <c r="M23" s="284">
        <v>0</v>
      </c>
      <c r="N23" s="569">
        <v>66372100</v>
      </c>
      <c r="O23" s="569">
        <v>14500000</v>
      </c>
      <c r="P23" s="569">
        <f t="shared" si="0"/>
        <v>-51872100</v>
      </c>
    </row>
    <row r="24" spans="1:16" ht="26.45" customHeight="1">
      <c r="A24" s="568"/>
      <c r="B24" s="565" t="s">
        <v>119</v>
      </c>
      <c r="C24" s="284">
        <v>9000000</v>
      </c>
      <c r="D24" s="284">
        <v>9000000</v>
      </c>
      <c r="E24" s="284">
        <v>9000000</v>
      </c>
      <c r="F24" s="284">
        <v>10000000</v>
      </c>
      <c r="G24" s="284">
        <v>8000000</v>
      </c>
      <c r="H24" s="284">
        <v>27000000</v>
      </c>
      <c r="I24" s="284">
        <v>29792000</v>
      </c>
      <c r="J24" s="284">
        <v>40000000</v>
      </c>
      <c r="K24" s="284"/>
      <c r="L24" s="292">
        <f>SUM(L13:L22)</f>
        <v>556599200</v>
      </c>
      <c r="M24" s="292">
        <f>SUM(M13:M22)</f>
        <v>470559440</v>
      </c>
      <c r="N24" s="570">
        <f>SUM(N13:N23)</f>
        <v>354584740</v>
      </c>
      <c r="O24" s="570">
        <f>SUM(O13:O23)</f>
        <v>331552640</v>
      </c>
      <c r="P24" s="570">
        <f t="shared" si="0"/>
        <v>-23032100</v>
      </c>
    </row>
    <row r="25" spans="1:16" ht="26.45" customHeight="1">
      <c r="A25" s="565" t="s">
        <v>279</v>
      </c>
      <c r="B25" s="565" t="s">
        <v>278</v>
      </c>
      <c r="C25" s="284">
        <v>2000000</v>
      </c>
      <c r="D25" s="284">
        <v>2000000</v>
      </c>
      <c r="E25" s="284">
        <v>2000000</v>
      </c>
      <c r="F25" s="284">
        <v>2000000</v>
      </c>
      <c r="G25" s="284">
        <v>1600000</v>
      </c>
      <c r="H25" s="284">
        <v>2000000</v>
      </c>
      <c r="I25" s="284">
        <v>0</v>
      </c>
      <c r="J25" s="284">
        <v>0</v>
      </c>
      <c r="K25" s="284">
        <v>0</v>
      </c>
      <c r="L25" s="284"/>
      <c r="M25" s="284"/>
      <c r="N25" s="569"/>
      <c r="O25" s="569"/>
      <c r="P25" s="569">
        <f t="shared" si="0"/>
        <v>0</v>
      </c>
    </row>
    <row r="26" spans="1:16" ht="26.45" customHeight="1">
      <c r="A26" s="568" t="s">
        <v>281</v>
      </c>
      <c r="B26" s="568" t="s">
        <v>161</v>
      </c>
      <c r="C26" s="284"/>
      <c r="D26" s="284"/>
      <c r="E26" s="284"/>
      <c r="F26" s="284"/>
      <c r="G26" s="284">
        <v>0</v>
      </c>
      <c r="H26" s="284">
        <v>50000000</v>
      </c>
      <c r="I26" s="284">
        <v>0</v>
      </c>
      <c r="J26" s="284">
        <v>0</v>
      </c>
      <c r="K26" s="284">
        <v>1489600</v>
      </c>
      <c r="L26" s="284">
        <v>300000000</v>
      </c>
      <c r="M26" s="284">
        <f>L26*70%</f>
        <v>210000000</v>
      </c>
      <c r="N26" s="569">
        <f>M26*80%</f>
        <v>168000000</v>
      </c>
      <c r="O26" s="569">
        <f>N26</f>
        <v>168000000</v>
      </c>
      <c r="P26" s="569">
        <f t="shared" si="0"/>
        <v>0</v>
      </c>
    </row>
    <row r="27" spans="1:16" ht="26.45" customHeight="1">
      <c r="A27" s="568" t="s">
        <v>282</v>
      </c>
      <c r="B27" s="568" t="s">
        <v>155</v>
      </c>
      <c r="C27" s="292">
        <f>SUM(C24:C25)</f>
        <v>11000000</v>
      </c>
      <c r="D27" s="292">
        <f>SUM(D24:D25)</f>
        <v>11000000</v>
      </c>
      <c r="E27" s="292">
        <f>SUM(E24:E25)</f>
        <v>11000000</v>
      </c>
      <c r="F27" s="292">
        <f>SUM(F24:F25)</f>
        <v>12000000</v>
      </c>
      <c r="G27" s="292">
        <f>SUM(G24:G26)</f>
        <v>9600000</v>
      </c>
      <c r="H27" s="292">
        <f>SUM(H24:H26)</f>
        <v>79000000</v>
      </c>
      <c r="I27" s="292">
        <f>SUM(I24:I26)</f>
        <v>29792000</v>
      </c>
      <c r="J27" s="292">
        <f>SUM(J24:J26)</f>
        <v>40000000</v>
      </c>
      <c r="K27" s="284">
        <v>0</v>
      </c>
      <c r="L27" s="284">
        <v>14654271</v>
      </c>
      <c r="M27" s="284">
        <f>14654271*70%</f>
        <v>10257989.699999999</v>
      </c>
      <c r="N27" s="569">
        <v>10257989.699999999</v>
      </c>
      <c r="O27" s="569">
        <f>14654271*70%</f>
        <v>10257989.699999999</v>
      </c>
      <c r="P27" s="569">
        <f t="shared" si="0"/>
        <v>0</v>
      </c>
    </row>
    <row r="28" spans="1:16" ht="26.45" customHeight="1">
      <c r="A28" s="568" t="s">
        <v>283</v>
      </c>
      <c r="B28" s="568" t="s">
        <v>156</v>
      </c>
      <c r="C28" s="284"/>
      <c r="D28" s="284"/>
      <c r="E28" s="284"/>
      <c r="F28" s="284"/>
      <c r="G28" s="284"/>
      <c r="H28" s="284"/>
      <c r="I28" s="284"/>
      <c r="J28" s="284"/>
      <c r="K28" s="292">
        <f>SUM(K25:K27)</f>
        <v>1489600</v>
      </c>
      <c r="L28" s="284">
        <v>7448000</v>
      </c>
      <c r="M28" s="284">
        <f>7448000*70%</f>
        <v>5213600</v>
      </c>
      <c r="N28" s="569">
        <f>7448000*70%</f>
        <v>5213600</v>
      </c>
      <c r="O28" s="569">
        <f>7448000*70%</f>
        <v>5213600</v>
      </c>
      <c r="P28" s="569">
        <f t="shared" si="0"/>
        <v>0</v>
      </c>
    </row>
    <row r="29" spans="1:16" ht="26.45" customHeight="1">
      <c r="A29" s="568" t="s">
        <v>316</v>
      </c>
      <c r="B29" s="568" t="s">
        <v>337</v>
      </c>
      <c r="C29" s="284"/>
      <c r="D29" s="284"/>
      <c r="E29" s="284"/>
      <c r="F29" s="284"/>
      <c r="G29" s="284"/>
      <c r="H29" s="284"/>
      <c r="I29" s="284"/>
      <c r="J29" s="284"/>
      <c r="K29" s="292"/>
      <c r="L29" s="284">
        <v>2069583410</v>
      </c>
      <c r="M29" s="284">
        <f>L29/3500*6000+1495310726+68493120</f>
        <v>5111661120.2857141</v>
      </c>
      <c r="N29" s="569">
        <v>0</v>
      </c>
      <c r="O29" s="569">
        <v>0</v>
      </c>
      <c r="P29" s="569">
        <f t="shared" si="0"/>
        <v>0</v>
      </c>
    </row>
    <row r="30" spans="1:16" ht="26.45" customHeight="1">
      <c r="A30" s="568" t="s">
        <v>298</v>
      </c>
      <c r="B30" s="568" t="s">
        <v>83</v>
      </c>
      <c r="C30" s="284">
        <v>0</v>
      </c>
      <c r="D30" s="284">
        <v>3247300</v>
      </c>
      <c r="E30" s="284">
        <v>3247300</v>
      </c>
      <c r="F30" s="284">
        <v>3247300</v>
      </c>
      <c r="G30" s="284">
        <v>4320000</v>
      </c>
      <c r="H30" s="284">
        <v>5400000</v>
      </c>
      <c r="I30" s="284">
        <v>7448000</v>
      </c>
      <c r="J30" s="284">
        <v>20000000</v>
      </c>
      <c r="K30" s="284"/>
      <c r="L30" s="284">
        <v>32131520</v>
      </c>
      <c r="M30" s="284">
        <f>32131520*70%</f>
        <v>22492064</v>
      </c>
      <c r="N30" s="569">
        <v>0</v>
      </c>
      <c r="O30" s="569">
        <v>0</v>
      </c>
      <c r="P30" s="569">
        <f t="shared" si="0"/>
        <v>0</v>
      </c>
    </row>
    <row r="31" spans="1:16" ht="26.45" customHeight="1">
      <c r="A31" s="568"/>
      <c r="B31" s="565" t="s">
        <v>119</v>
      </c>
      <c r="C31" s="284">
        <v>6000000</v>
      </c>
      <c r="D31" s="284">
        <v>18000000</v>
      </c>
      <c r="E31" s="284">
        <v>18000000</v>
      </c>
      <c r="F31" s="284">
        <v>18000000</v>
      </c>
      <c r="G31" s="284">
        <v>15859200</v>
      </c>
      <c r="H31" s="284">
        <v>19824000</v>
      </c>
      <c r="I31" s="284">
        <v>14764915</v>
      </c>
      <c r="J31" s="284">
        <v>35000000</v>
      </c>
      <c r="K31" s="284">
        <v>2234400</v>
      </c>
      <c r="L31" s="292">
        <f>SUM(L26:L30)</f>
        <v>2423817201</v>
      </c>
      <c r="M31" s="292">
        <f>SUM(M26:M30)</f>
        <v>5359624773.985714</v>
      </c>
      <c r="N31" s="570">
        <f>SUM(N26:N30)</f>
        <v>183471589.69999999</v>
      </c>
      <c r="O31" s="570">
        <f>SUM(O26:O30)</f>
        <v>183471589.69999999</v>
      </c>
      <c r="P31" s="569">
        <f t="shared" si="0"/>
        <v>0</v>
      </c>
    </row>
    <row r="32" spans="1:16" ht="26.45" customHeight="1">
      <c r="A32" s="565" t="s">
        <v>285</v>
      </c>
      <c r="B32" s="565" t="s">
        <v>158</v>
      </c>
      <c r="C32" s="284"/>
      <c r="D32" s="284"/>
      <c r="E32" s="284"/>
      <c r="F32" s="284"/>
      <c r="G32" s="284"/>
      <c r="H32" s="284"/>
      <c r="I32" s="284"/>
      <c r="J32" s="284"/>
      <c r="K32" s="292">
        <f>SUM(K31:K31)</f>
        <v>2234400</v>
      </c>
      <c r="L32" s="292"/>
      <c r="M32" s="292"/>
      <c r="N32" s="570"/>
      <c r="O32" s="570"/>
      <c r="P32" s="570">
        <f t="shared" si="0"/>
        <v>0</v>
      </c>
    </row>
    <row r="33" spans="1:21" ht="26.45" customHeight="1">
      <c r="A33" s="568" t="s">
        <v>286</v>
      </c>
      <c r="B33" s="568" t="s">
        <v>55</v>
      </c>
      <c r="C33" s="284">
        <v>13333000</v>
      </c>
      <c r="D33" s="284">
        <v>5000000</v>
      </c>
      <c r="E33" s="284">
        <v>0</v>
      </c>
      <c r="F33" s="284">
        <v>0</v>
      </c>
      <c r="G33" s="284">
        <v>0</v>
      </c>
      <c r="H33" s="284">
        <v>100000000</v>
      </c>
      <c r="I33" s="284">
        <v>70000000</v>
      </c>
      <c r="J33" s="284">
        <v>70000000</v>
      </c>
      <c r="K33" s="284"/>
      <c r="L33" s="284">
        <v>48360000</v>
      </c>
      <c r="M33" s="284">
        <f>L33*70%</f>
        <v>33852000</v>
      </c>
      <c r="N33" s="569">
        <f>M33</f>
        <v>33852000</v>
      </c>
      <c r="O33" s="569">
        <f>N33</f>
        <v>33852000</v>
      </c>
      <c r="P33" s="569">
        <f t="shared" si="0"/>
        <v>0</v>
      </c>
    </row>
    <row r="34" spans="1:21" ht="26.45" customHeight="1">
      <c r="A34" s="568" t="s">
        <v>289</v>
      </c>
      <c r="B34" s="568" t="s">
        <v>290</v>
      </c>
      <c r="C34" s="284">
        <v>27897000</v>
      </c>
      <c r="D34" s="284">
        <f>40000000-5000000</f>
        <v>35000000</v>
      </c>
      <c r="E34" s="284">
        <v>35000000</v>
      </c>
      <c r="F34" s="284">
        <v>35000000</v>
      </c>
      <c r="G34" s="284">
        <v>0</v>
      </c>
      <c r="H34" s="284">
        <v>0</v>
      </c>
      <c r="I34" s="284">
        <v>0</v>
      </c>
      <c r="J34" s="284">
        <v>0</v>
      </c>
      <c r="K34" s="292" t="e">
        <f>SUM(#REF!)</f>
        <v>#REF!</v>
      </c>
      <c r="L34" s="284">
        <v>2234400</v>
      </c>
      <c r="M34" s="284">
        <f>2234400*70%</f>
        <v>1564080</v>
      </c>
      <c r="N34" s="569">
        <f>2234400*70%</f>
        <v>1564080</v>
      </c>
      <c r="O34" s="569">
        <v>3564080</v>
      </c>
      <c r="P34" s="569">
        <f t="shared" si="0"/>
        <v>2000000</v>
      </c>
    </row>
    <row r="35" spans="1:21" ht="26.45" customHeight="1" thickBot="1">
      <c r="A35" s="568"/>
      <c r="B35" s="565" t="s">
        <v>119</v>
      </c>
      <c r="C35" s="404">
        <v>0</v>
      </c>
      <c r="D35" s="404">
        <v>0</v>
      </c>
      <c r="E35" s="404">
        <v>0</v>
      </c>
      <c r="F35" s="404">
        <v>0</v>
      </c>
      <c r="G35" s="404">
        <v>0</v>
      </c>
      <c r="H35" s="404">
        <v>0</v>
      </c>
      <c r="I35" s="404">
        <v>0</v>
      </c>
      <c r="J35" s="404">
        <v>0</v>
      </c>
      <c r="K35" s="405" t="e">
        <f>K34+K32+K28+K22+K18+#REF!</f>
        <v>#REF!</v>
      </c>
      <c r="L35" s="394">
        <f>SUM(L33:L34)</f>
        <v>50594400</v>
      </c>
      <c r="M35" s="394">
        <f>SUM(M33:M34)</f>
        <v>35416080</v>
      </c>
      <c r="N35" s="572">
        <f>SUM(N33:N34)</f>
        <v>35416080</v>
      </c>
      <c r="O35" s="572">
        <f>SUM(O33:O34)</f>
        <v>37416080</v>
      </c>
      <c r="P35" s="572">
        <f t="shared" si="0"/>
        <v>2000000</v>
      </c>
    </row>
    <row r="36" spans="1:21" ht="26.45" customHeight="1">
      <c r="A36" s="565" t="s">
        <v>293</v>
      </c>
      <c r="B36" s="565" t="s">
        <v>292</v>
      </c>
      <c r="C36" s="467"/>
      <c r="D36" s="467"/>
      <c r="E36" s="467"/>
      <c r="F36" s="467"/>
      <c r="G36" s="467"/>
      <c r="H36" s="467"/>
      <c r="I36" s="467"/>
      <c r="J36" s="467"/>
      <c r="K36" s="467"/>
      <c r="L36" s="336"/>
      <c r="M36" s="336"/>
      <c r="N36" s="564"/>
      <c r="O36" s="564"/>
      <c r="P36" s="564">
        <f t="shared" si="0"/>
        <v>0</v>
      </c>
    </row>
    <row r="37" spans="1:21" ht="26.45" customHeight="1">
      <c r="A37" s="565" t="s">
        <v>294</v>
      </c>
      <c r="B37" s="565" t="s">
        <v>291</v>
      </c>
      <c r="C37" s="467"/>
      <c r="D37" s="467"/>
      <c r="E37" s="467"/>
      <c r="F37" s="467"/>
      <c r="G37" s="467"/>
      <c r="H37" s="467"/>
      <c r="I37" s="467"/>
      <c r="J37" s="467"/>
      <c r="K37" s="467"/>
      <c r="L37" s="336"/>
      <c r="M37" s="336"/>
      <c r="N37" s="564"/>
      <c r="O37" s="564"/>
      <c r="P37" s="564">
        <f t="shared" si="0"/>
        <v>0</v>
      </c>
    </row>
    <row r="38" spans="1:21" ht="26.45" customHeight="1">
      <c r="A38" s="568" t="s">
        <v>389</v>
      </c>
      <c r="B38" s="568" t="s">
        <v>843</v>
      </c>
      <c r="C38" s="467"/>
      <c r="D38" s="467"/>
      <c r="E38" s="467"/>
      <c r="F38" s="467"/>
      <c r="G38" s="467"/>
      <c r="H38" s="467"/>
      <c r="I38" s="467"/>
      <c r="J38" s="467"/>
      <c r="K38" s="467"/>
      <c r="L38" s="336"/>
      <c r="M38" s="336">
        <v>0</v>
      </c>
      <c r="N38" s="564">
        <v>50000000</v>
      </c>
      <c r="O38" s="564"/>
      <c r="P38" s="564">
        <f t="shared" si="0"/>
        <v>-50000000</v>
      </c>
    </row>
    <row r="39" spans="1:21" ht="26.45" customHeight="1">
      <c r="A39" s="568" t="s">
        <v>388</v>
      </c>
      <c r="B39" s="568" t="s">
        <v>728</v>
      </c>
      <c r="C39" s="467"/>
      <c r="D39" s="467"/>
      <c r="E39" s="467"/>
      <c r="F39" s="467"/>
      <c r="G39" s="467"/>
      <c r="H39" s="467"/>
      <c r="I39" s="467"/>
      <c r="J39" s="467"/>
      <c r="K39" s="467"/>
      <c r="L39" s="336">
        <v>108000000</v>
      </c>
      <c r="M39" s="336">
        <v>96000000</v>
      </c>
      <c r="N39" s="564">
        <v>42000000</v>
      </c>
      <c r="O39" s="564">
        <v>120000000</v>
      </c>
      <c r="P39" s="564">
        <f t="shared" si="0"/>
        <v>78000000</v>
      </c>
    </row>
    <row r="40" spans="1:21" ht="26.45" customHeight="1">
      <c r="A40" s="568" t="s">
        <v>295</v>
      </c>
      <c r="B40" s="568" t="s">
        <v>176</v>
      </c>
      <c r="C40" s="467"/>
      <c r="D40" s="467"/>
      <c r="E40" s="467"/>
      <c r="F40" s="467"/>
      <c r="G40" s="467"/>
      <c r="H40" s="467"/>
      <c r="I40" s="467"/>
      <c r="J40" s="467"/>
      <c r="K40" s="467"/>
      <c r="L40" s="336">
        <v>5489600</v>
      </c>
      <c r="M40" s="336">
        <f>5489600*70%</f>
        <v>3842719.9999999995</v>
      </c>
      <c r="N40" s="564">
        <v>0</v>
      </c>
      <c r="O40" s="564">
        <v>0</v>
      </c>
      <c r="P40" s="564">
        <f t="shared" si="0"/>
        <v>0</v>
      </c>
    </row>
    <row r="41" spans="1:21" ht="26.45" customHeight="1">
      <c r="A41" s="573"/>
      <c r="B41" s="574" t="s">
        <v>119</v>
      </c>
      <c r="C41" s="467"/>
      <c r="D41" s="467"/>
      <c r="E41" s="467"/>
      <c r="F41" s="467"/>
      <c r="G41" s="467"/>
      <c r="H41" s="467"/>
      <c r="I41" s="467"/>
      <c r="J41" s="467"/>
      <c r="K41" s="467"/>
      <c r="L41" s="393">
        <f>SUM(L39:L40)</f>
        <v>113489600</v>
      </c>
      <c r="M41" s="393">
        <f>SUM(M39:M40)</f>
        <v>99842720</v>
      </c>
      <c r="N41" s="575">
        <f>SUM(N37:N40)</f>
        <v>92000000</v>
      </c>
      <c r="O41" s="575">
        <f>SUM(O37:O40)</f>
        <v>120000000</v>
      </c>
      <c r="P41" s="575">
        <f t="shared" si="0"/>
        <v>28000000</v>
      </c>
    </row>
    <row r="42" spans="1:21" ht="26.45" customHeight="1">
      <c r="A42" s="576" t="s">
        <v>338</v>
      </c>
      <c r="B42" s="576" t="s">
        <v>301</v>
      </c>
      <c r="C42" s="335"/>
      <c r="D42" s="335"/>
      <c r="E42" s="335"/>
      <c r="F42" s="336"/>
      <c r="G42" s="336"/>
      <c r="H42" s="336"/>
      <c r="I42" s="336"/>
      <c r="J42" s="336"/>
      <c r="K42" s="336"/>
      <c r="L42" s="336"/>
      <c r="M42" s="336"/>
      <c r="N42" s="564"/>
      <c r="O42" s="564"/>
      <c r="P42" s="564">
        <f t="shared" si="0"/>
        <v>0</v>
      </c>
    </row>
    <row r="43" spans="1:21" ht="26.45" customHeight="1">
      <c r="A43" s="577" t="s">
        <v>446</v>
      </c>
      <c r="B43" s="577" t="s">
        <v>464</v>
      </c>
      <c r="C43" s="335"/>
      <c r="D43" s="335"/>
      <c r="E43" s="335"/>
      <c r="F43" s="336"/>
      <c r="G43" s="336"/>
      <c r="H43" s="336"/>
      <c r="I43" s="336"/>
      <c r="J43" s="336"/>
      <c r="K43" s="336"/>
      <c r="L43" s="336">
        <v>179057970</v>
      </c>
      <c r="M43" s="336">
        <v>100000000</v>
      </c>
      <c r="N43" s="564">
        <v>0</v>
      </c>
      <c r="O43" s="564">
        <v>0</v>
      </c>
      <c r="P43" s="564">
        <f t="shared" si="0"/>
        <v>0</v>
      </c>
      <c r="U43" s="578"/>
    </row>
    <row r="44" spans="1:21" ht="26.45" customHeight="1">
      <c r="A44" s="579"/>
      <c r="B44" s="580" t="s">
        <v>119</v>
      </c>
      <c r="C44" s="467"/>
      <c r="D44" s="467"/>
      <c r="E44" s="467"/>
      <c r="F44" s="467"/>
      <c r="G44" s="467"/>
      <c r="H44" s="467"/>
      <c r="I44" s="467"/>
      <c r="J44" s="467"/>
      <c r="K44" s="467"/>
      <c r="L44" s="581">
        <f>SUM(L43)</f>
        <v>179057970</v>
      </c>
      <c r="M44" s="581">
        <f>SUM(M43)</f>
        <v>100000000</v>
      </c>
      <c r="N44" s="582">
        <f>SUM(N43)</f>
        <v>0</v>
      </c>
      <c r="O44" s="582">
        <f>SUM(O43)</f>
        <v>0</v>
      </c>
      <c r="P44" s="582">
        <f t="shared" si="0"/>
        <v>0</v>
      </c>
    </row>
    <row r="45" spans="1:21" ht="26.45" customHeight="1">
      <c r="A45" s="565"/>
      <c r="B45" s="565" t="s">
        <v>401</v>
      </c>
      <c r="C45" s="467"/>
      <c r="D45" s="467"/>
      <c r="E45" s="467"/>
      <c r="F45" s="467"/>
      <c r="G45" s="467"/>
      <c r="H45" s="467"/>
      <c r="I45" s="467"/>
      <c r="J45" s="467"/>
      <c r="K45" s="467"/>
      <c r="L45" s="361">
        <f>L44+L41+L35+L31+L24+L10</f>
        <v>12346564127</v>
      </c>
      <c r="M45" s="361">
        <f>M44+M41+M35+M31+M24+M10</f>
        <v>23437079569.985714</v>
      </c>
      <c r="N45" s="583">
        <f>N44+N41+N35+N31+N24+N10</f>
        <v>1498938965.7</v>
      </c>
      <c r="O45" s="583">
        <f>O44+O41+O35+O31+O24+O10</f>
        <v>1692133109.7</v>
      </c>
      <c r="P45" s="583">
        <f t="shared" si="0"/>
        <v>193194144</v>
      </c>
    </row>
    <row r="47" spans="1:21" ht="18.75">
      <c r="N47" s="584"/>
      <c r="O47" s="584"/>
      <c r="P47" s="584"/>
    </row>
  </sheetData>
  <pageMargins left="0.53" right="0.25" top="0.79" bottom="0.28000000000000003" header="0.17" footer="0.17"/>
  <pageSetup scale="58" orientation="portrait" r:id="rId1"/>
  <headerFooter>
    <oddHeader>&amp;C&amp;"Times New Roman,Bold"&amp;26Wasaaradda Gaashaandhiga.</oddHeader>
    <oddFooter xml:space="preserve">&amp;R
&amp;"Times New Roman,Bold"&amp;14 &amp;"Times New Roman,Regular"&amp;10
&amp;"Times New Roman,Bold"&amp;12 25&amp;"Times New Roman,Regular"&amp;10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60" zoomScaleNormal="60" zoomScalePageLayoutView="85" workbookViewId="0">
      <selection sqref="A1:XFD1048576"/>
    </sheetView>
  </sheetViews>
  <sheetFormatPr defaultRowHeight="30.95" customHeight="1"/>
  <cols>
    <col min="1" max="1" width="16.5" style="386" bestFit="1" customWidth="1"/>
    <col min="2" max="2" width="92.33203125" style="386" customWidth="1"/>
    <col min="3" max="3" width="1.1640625" style="386" hidden="1" customWidth="1"/>
    <col min="4" max="4" width="1.6640625" style="386" hidden="1" customWidth="1"/>
    <col min="5" max="5" width="1" style="386" hidden="1" customWidth="1"/>
    <col min="6" max="6" width="1.33203125" style="386" hidden="1" customWidth="1"/>
    <col min="7" max="7" width="1.5" style="386" hidden="1" customWidth="1"/>
    <col min="8" max="8" width="1.83203125" style="386" hidden="1" customWidth="1"/>
    <col min="9" max="9" width="1.33203125" style="386" hidden="1" customWidth="1"/>
    <col min="10" max="10" width="2.6640625" style="386" hidden="1" customWidth="1"/>
    <col min="11" max="11" width="3" style="386" hidden="1" customWidth="1"/>
    <col min="12" max="12" width="0.1640625" style="386" hidden="1" customWidth="1"/>
    <col min="13" max="13" width="27.1640625" style="386" hidden="1" customWidth="1"/>
    <col min="14" max="14" width="36" style="386" customWidth="1"/>
    <col min="15" max="15" width="38" style="386" customWidth="1"/>
    <col min="16" max="16" width="34.33203125" style="386" customWidth="1"/>
    <col min="17" max="16384" width="9.33203125" style="386"/>
  </cols>
  <sheetData>
    <row r="1" spans="1:16" ht="30.95" customHeight="1">
      <c r="A1" s="373" t="s">
        <v>45</v>
      </c>
      <c r="B1" s="443" t="s">
        <v>236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86"/>
      <c r="O1" s="486"/>
      <c r="P1" s="486"/>
    </row>
    <row r="2" spans="1:16" ht="30.95" customHeight="1">
      <c r="A2" s="292" t="s">
        <v>248</v>
      </c>
      <c r="B2" s="292" t="s">
        <v>165</v>
      </c>
      <c r="C2" s="504" t="s">
        <v>43</v>
      </c>
      <c r="D2" s="508" t="s">
        <v>2</v>
      </c>
      <c r="E2" s="508" t="s">
        <v>48</v>
      </c>
      <c r="F2" s="508" t="s">
        <v>52</v>
      </c>
      <c r="G2" s="508" t="s">
        <v>62</v>
      </c>
      <c r="H2" s="508" t="s">
        <v>69</v>
      </c>
      <c r="I2" s="508" t="s">
        <v>130</v>
      </c>
      <c r="J2" s="508" t="s">
        <v>135</v>
      </c>
      <c r="K2" s="508" t="s">
        <v>143</v>
      </c>
      <c r="L2" s="508" t="s">
        <v>180</v>
      </c>
      <c r="M2" s="508" t="s">
        <v>297</v>
      </c>
      <c r="N2" s="490" t="s">
        <v>641</v>
      </c>
      <c r="O2" s="490" t="s">
        <v>1111</v>
      </c>
      <c r="P2" s="490" t="s">
        <v>63</v>
      </c>
    </row>
    <row r="3" spans="1:16" ht="30.95" customHeight="1">
      <c r="A3" s="292" t="s">
        <v>249</v>
      </c>
      <c r="B3" s="292" t="s">
        <v>250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488"/>
      <c r="O3" s="488"/>
      <c r="P3" s="488"/>
    </row>
    <row r="4" spans="1:16" ht="30.95" customHeight="1">
      <c r="A4" s="284" t="s">
        <v>247</v>
      </c>
      <c r="B4" s="284" t="s">
        <v>32</v>
      </c>
      <c r="C4" s="510">
        <v>17112000000</v>
      </c>
      <c r="D4" s="510">
        <v>15624000000</v>
      </c>
      <c r="E4" s="510">
        <v>18332364000</v>
      </c>
      <c r="F4" s="510">
        <v>20250384000</v>
      </c>
      <c r="G4" s="510">
        <f>23444496000+1713600000</f>
        <v>25158096000</v>
      </c>
      <c r="H4" s="510">
        <v>24364944000</v>
      </c>
      <c r="I4" s="510">
        <v>31674427200</v>
      </c>
      <c r="J4" s="510">
        <v>41713838400</v>
      </c>
      <c r="K4" s="510">
        <v>42736449600</v>
      </c>
      <c r="L4" s="510">
        <f>42736449600+212160000</f>
        <v>42948609600</v>
      </c>
      <c r="M4" s="510">
        <f>53798472000+32902833600</f>
        <v>86701305600</v>
      </c>
      <c r="N4" s="339">
        <v>85122835200</v>
      </c>
      <c r="O4" s="339">
        <v>90876614400</v>
      </c>
      <c r="P4" s="339">
        <f>O4-N4</f>
        <v>5753779200</v>
      </c>
    </row>
    <row r="5" spans="1:16" ht="30.95" customHeight="1">
      <c r="A5" s="284" t="s">
        <v>251</v>
      </c>
      <c r="B5" s="284" t="s">
        <v>754</v>
      </c>
      <c r="C5" s="510"/>
      <c r="D5" s="510"/>
      <c r="E5" s="510"/>
      <c r="F5" s="510"/>
      <c r="G5" s="510">
        <v>1</v>
      </c>
      <c r="H5" s="510"/>
      <c r="I5" s="510">
        <v>0</v>
      </c>
      <c r="J5" s="510">
        <v>261192818</v>
      </c>
      <c r="K5" s="510">
        <v>0</v>
      </c>
      <c r="L5" s="510">
        <v>0</v>
      </c>
      <c r="M5" s="510">
        <v>0</v>
      </c>
      <c r="N5" s="339">
        <v>216000000</v>
      </c>
      <c r="O5" s="339">
        <v>216000000</v>
      </c>
      <c r="P5" s="339">
        <f t="shared" ref="P5:P45" si="0">O5-N5</f>
        <v>0</v>
      </c>
    </row>
    <row r="6" spans="1:16" ht="30.95" customHeight="1">
      <c r="A6" s="284" t="s">
        <v>252</v>
      </c>
      <c r="B6" s="284" t="s">
        <v>34</v>
      </c>
      <c r="C6" s="510">
        <v>720000000</v>
      </c>
      <c r="D6" s="510">
        <v>936000000</v>
      </c>
      <c r="E6" s="510">
        <v>936000000</v>
      </c>
      <c r="F6" s="510">
        <v>1056312000</v>
      </c>
      <c r="G6" s="510">
        <v>1634880000</v>
      </c>
      <c r="H6" s="510">
        <v>1560696000</v>
      </c>
      <c r="I6" s="510">
        <v>1560696000</v>
      </c>
      <c r="J6" s="510">
        <v>1560696000</v>
      </c>
      <c r="K6" s="510">
        <v>1560696000</v>
      </c>
      <c r="L6" s="510">
        <v>1560696000</v>
      </c>
      <c r="M6" s="510">
        <f>1560696000+804270000</f>
        <v>2364966000</v>
      </c>
      <c r="N6" s="339">
        <f>1560696000+804270000</f>
        <v>2364966000</v>
      </c>
      <c r="O6" s="339">
        <f>1560696000+804270000</f>
        <v>2364966000</v>
      </c>
      <c r="P6" s="339">
        <f t="shared" si="0"/>
        <v>0</v>
      </c>
    </row>
    <row r="7" spans="1:16" ht="30.95" customHeight="1">
      <c r="A7" s="284" t="s">
        <v>254</v>
      </c>
      <c r="B7" s="284" t="s">
        <v>564</v>
      </c>
      <c r="C7" s="506">
        <f t="shared" ref="C7:K7" si="1">SUM(C4:C6)</f>
        <v>17832000000</v>
      </c>
      <c r="D7" s="506">
        <f t="shared" si="1"/>
        <v>16560000000</v>
      </c>
      <c r="E7" s="506">
        <f t="shared" si="1"/>
        <v>19268364000</v>
      </c>
      <c r="F7" s="586">
        <f t="shared" si="1"/>
        <v>21306696000</v>
      </c>
      <c r="G7" s="586">
        <f t="shared" si="1"/>
        <v>26792976001</v>
      </c>
      <c r="H7" s="586">
        <f t="shared" si="1"/>
        <v>25925640000</v>
      </c>
      <c r="I7" s="586">
        <f t="shared" si="1"/>
        <v>33235123200</v>
      </c>
      <c r="J7" s="586">
        <f t="shared" si="1"/>
        <v>43535727218</v>
      </c>
      <c r="K7" s="586">
        <f t="shared" si="1"/>
        <v>44297145600</v>
      </c>
      <c r="L7" s="510">
        <v>66000000</v>
      </c>
      <c r="M7" s="511">
        <v>4030872000</v>
      </c>
      <c r="N7" s="338">
        <f>M7</f>
        <v>4030872000</v>
      </c>
      <c r="O7" s="338">
        <v>6682872000</v>
      </c>
      <c r="P7" s="339">
        <f t="shared" si="0"/>
        <v>2652000000</v>
      </c>
    </row>
    <row r="8" spans="1:16" ht="30.95" customHeight="1">
      <c r="A8" s="284"/>
      <c r="B8" s="292" t="s">
        <v>119</v>
      </c>
      <c r="C8" s="510">
        <v>40000000</v>
      </c>
      <c r="D8" s="510">
        <v>20000000</v>
      </c>
      <c r="E8" s="510">
        <v>20000000</v>
      </c>
      <c r="F8" s="510">
        <v>20000000</v>
      </c>
      <c r="G8" s="510">
        <v>30000000</v>
      </c>
      <c r="H8" s="510">
        <v>30000000</v>
      </c>
      <c r="I8" s="510">
        <v>22344000</v>
      </c>
      <c r="J8" s="510">
        <v>22344000</v>
      </c>
      <c r="K8" s="510">
        <v>29792000</v>
      </c>
      <c r="L8" s="506">
        <f>SUM(L4:L7)</f>
        <v>44575305600</v>
      </c>
      <c r="M8" s="506">
        <f>SUM(M4:M7)</f>
        <v>93097143600</v>
      </c>
      <c r="N8" s="491">
        <f>SUM(N4:N7)</f>
        <v>91734673200</v>
      </c>
      <c r="O8" s="491">
        <f>SUM(O4:O7)</f>
        <v>100140452400</v>
      </c>
      <c r="P8" s="491">
        <f t="shared" si="0"/>
        <v>8405779200</v>
      </c>
    </row>
    <row r="9" spans="1:16" ht="30.95" customHeight="1">
      <c r="A9" s="292" t="s">
        <v>262</v>
      </c>
      <c r="B9" s="292" t="s">
        <v>263</v>
      </c>
      <c r="C9" s="510">
        <v>5216400000</v>
      </c>
      <c r="D9" s="510">
        <f>4614207444-321986144</f>
        <v>4292221300</v>
      </c>
      <c r="E9" s="510">
        <v>4429296000</v>
      </c>
      <c r="F9" s="510">
        <f>6233690400+62068300-62068300</f>
        <v>6233690400</v>
      </c>
      <c r="G9" s="510">
        <f>5338242000+382200000</f>
        <v>5720442000</v>
      </c>
      <c r="H9" s="510">
        <v>6097038948</v>
      </c>
      <c r="I9" s="510">
        <f>6097038948+1005126552</f>
        <v>7102165500</v>
      </c>
      <c r="J9" s="510">
        <v>12155102736</v>
      </c>
      <c r="K9" s="510">
        <v>0</v>
      </c>
      <c r="L9" s="510"/>
      <c r="M9" s="510"/>
      <c r="N9" s="339"/>
      <c r="O9" s="339"/>
      <c r="P9" s="339">
        <f t="shared" si="0"/>
        <v>0</v>
      </c>
    </row>
    <row r="10" spans="1:16" ht="30.95" customHeight="1">
      <c r="A10" s="292" t="s">
        <v>265</v>
      </c>
      <c r="B10" s="292" t="s">
        <v>264</v>
      </c>
      <c r="C10" s="510"/>
      <c r="D10" s="510"/>
      <c r="E10" s="510"/>
      <c r="F10" s="510"/>
      <c r="G10" s="510"/>
      <c r="H10" s="510">
        <v>0</v>
      </c>
      <c r="I10" s="510">
        <v>542579375</v>
      </c>
      <c r="J10" s="510">
        <v>786532500</v>
      </c>
      <c r="K10" s="510">
        <v>1620000000</v>
      </c>
      <c r="L10" s="510"/>
      <c r="M10" s="510"/>
      <c r="N10" s="339"/>
      <c r="O10" s="339"/>
      <c r="P10" s="339">
        <f t="shared" si="0"/>
        <v>0</v>
      </c>
    </row>
    <row r="11" spans="1:16" ht="30.95" customHeight="1">
      <c r="A11" s="284" t="s">
        <v>266</v>
      </c>
      <c r="B11" s="284" t="s">
        <v>38</v>
      </c>
      <c r="C11" s="510"/>
      <c r="D11" s="510"/>
      <c r="E11" s="510"/>
      <c r="F11" s="510"/>
      <c r="G11" s="510"/>
      <c r="H11" s="510">
        <v>0</v>
      </c>
      <c r="I11" s="510">
        <v>132000000</v>
      </c>
      <c r="J11" s="510">
        <v>132000000</v>
      </c>
      <c r="K11" s="510">
        <v>22344000</v>
      </c>
      <c r="L11" s="510">
        <v>63625600</v>
      </c>
      <c r="M11" s="510">
        <f>63625600*70%</f>
        <v>44537920</v>
      </c>
      <c r="N11" s="339">
        <f>63625600*70%</f>
        <v>44537920</v>
      </c>
      <c r="O11" s="339">
        <f>63625600*70%</f>
        <v>44537920</v>
      </c>
      <c r="P11" s="339">
        <f t="shared" si="0"/>
        <v>0</v>
      </c>
    </row>
    <row r="12" spans="1:16" ht="30.95" customHeight="1">
      <c r="A12" s="284" t="s">
        <v>267</v>
      </c>
      <c r="B12" s="284" t="s">
        <v>152</v>
      </c>
      <c r="C12" s="506">
        <f t="shared" ref="C12:J12" si="2">SUM(C8:C11)</f>
        <v>5256400000</v>
      </c>
      <c r="D12" s="506">
        <f t="shared" si="2"/>
        <v>4312221300</v>
      </c>
      <c r="E12" s="506">
        <f t="shared" si="2"/>
        <v>4449296000</v>
      </c>
      <c r="F12" s="586">
        <f t="shared" si="2"/>
        <v>6253690400</v>
      </c>
      <c r="G12" s="586">
        <f t="shared" si="2"/>
        <v>5750442000</v>
      </c>
      <c r="H12" s="586">
        <f t="shared" si="2"/>
        <v>6127038948</v>
      </c>
      <c r="I12" s="586">
        <f t="shared" si="2"/>
        <v>7799088875</v>
      </c>
      <c r="J12" s="586">
        <f t="shared" si="2"/>
        <v>13095979236</v>
      </c>
      <c r="K12" s="511">
        <v>172495680</v>
      </c>
      <c r="L12" s="511">
        <v>52136000</v>
      </c>
      <c r="M12" s="511">
        <f>52136000*70%</f>
        <v>36495200</v>
      </c>
      <c r="N12" s="338">
        <f>52136000*70%</f>
        <v>36495200</v>
      </c>
      <c r="O12" s="338">
        <f>52136000*70%</f>
        <v>36495200</v>
      </c>
      <c r="P12" s="339">
        <f t="shared" si="0"/>
        <v>0</v>
      </c>
    </row>
    <row r="13" spans="1:16" ht="30.95" customHeight="1">
      <c r="A13" s="284" t="s">
        <v>269</v>
      </c>
      <c r="B13" s="284" t="s">
        <v>186</v>
      </c>
      <c r="C13" s="510">
        <v>0</v>
      </c>
      <c r="D13" s="510">
        <v>0</v>
      </c>
      <c r="E13" s="510">
        <v>0</v>
      </c>
      <c r="F13" s="510">
        <v>0</v>
      </c>
      <c r="G13" s="510">
        <v>714000000</v>
      </c>
      <c r="H13" s="510">
        <v>1000000000</v>
      </c>
      <c r="I13" s="510">
        <v>744800000</v>
      </c>
      <c r="J13" s="510">
        <v>3250000000</v>
      </c>
      <c r="K13" s="510">
        <v>0</v>
      </c>
      <c r="L13" s="510">
        <v>29792000</v>
      </c>
      <c r="M13" s="510">
        <f>29792000*70%</f>
        <v>20854400</v>
      </c>
      <c r="N13" s="339">
        <f>29792000*70%</f>
        <v>20854400</v>
      </c>
      <c r="O13" s="339">
        <f>29792000*70%</f>
        <v>20854400</v>
      </c>
      <c r="P13" s="339">
        <f t="shared" si="0"/>
        <v>0</v>
      </c>
    </row>
    <row r="14" spans="1:16" ht="30.95" customHeight="1">
      <c r="A14" s="284" t="s">
        <v>271</v>
      </c>
      <c r="B14" s="284" t="s">
        <v>154</v>
      </c>
      <c r="C14" s="510"/>
      <c r="D14" s="510"/>
      <c r="E14" s="510"/>
      <c r="F14" s="510"/>
      <c r="G14" s="510"/>
      <c r="H14" s="510"/>
      <c r="I14" s="510"/>
      <c r="J14" s="510"/>
      <c r="K14" s="510">
        <v>12525496600</v>
      </c>
      <c r="L14" s="510">
        <v>1620000000</v>
      </c>
      <c r="M14" s="510">
        <f>1620000000</f>
        <v>1620000000</v>
      </c>
      <c r="N14" s="339">
        <f>M14</f>
        <v>1620000000</v>
      </c>
      <c r="O14" s="339">
        <f>N14</f>
        <v>1620000000</v>
      </c>
      <c r="P14" s="339">
        <f t="shared" si="0"/>
        <v>0</v>
      </c>
    </row>
    <row r="15" spans="1:16" ht="30.95" customHeight="1">
      <c r="A15" s="284" t="s">
        <v>272</v>
      </c>
      <c r="B15" s="284" t="s">
        <v>54</v>
      </c>
      <c r="C15" s="510">
        <v>80000000</v>
      </c>
      <c r="D15" s="510">
        <v>40000000</v>
      </c>
      <c r="E15" s="510">
        <v>40000000</v>
      </c>
      <c r="F15" s="510">
        <v>0</v>
      </c>
      <c r="G15" s="510">
        <v>0</v>
      </c>
      <c r="H15" s="510">
        <v>400000000</v>
      </c>
      <c r="I15" s="510">
        <v>297920000</v>
      </c>
      <c r="J15" s="510">
        <v>297920000</v>
      </c>
      <c r="K15" s="510">
        <v>55115200</v>
      </c>
      <c r="L15" s="510">
        <v>22344000</v>
      </c>
      <c r="M15" s="510">
        <f>22344000*70%</f>
        <v>15640799.999999998</v>
      </c>
      <c r="N15" s="339">
        <f>M15*70%</f>
        <v>10948559.999999998</v>
      </c>
      <c r="O15" s="339">
        <f>N15</f>
        <v>10948559.999999998</v>
      </c>
      <c r="P15" s="339">
        <f t="shared" si="0"/>
        <v>0</v>
      </c>
    </row>
    <row r="16" spans="1:16" ht="30.95" customHeight="1">
      <c r="A16" s="284" t="s">
        <v>275</v>
      </c>
      <c r="B16" s="284" t="s">
        <v>40</v>
      </c>
      <c r="C16" s="510"/>
      <c r="D16" s="510"/>
      <c r="E16" s="510"/>
      <c r="F16" s="510"/>
      <c r="G16" s="510"/>
      <c r="H16" s="510"/>
      <c r="I16" s="510"/>
      <c r="J16" s="510"/>
      <c r="K16" s="510"/>
      <c r="L16" s="510">
        <v>280000000</v>
      </c>
      <c r="M16" s="510">
        <f>280000000*70%</f>
        <v>196000000</v>
      </c>
      <c r="N16" s="339">
        <f>280000000*70%</f>
        <v>196000000</v>
      </c>
      <c r="O16" s="339">
        <f>280000000*70%</f>
        <v>196000000</v>
      </c>
      <c r="P16" s="339">
        <f t="shared" si="0"/>
        <v>0</v>
      </c>
    </row>
    <row r="17" spans="1:16" ht="30.95" customHeight="1">
      <c r="A17" s="284" t="s">
        <v>342</v>
      </c>
      <c r="B17" s="284" t="s">
        <v>343</v>
      </c>
      <c r="C17" s="510"/>
      <c r="D17" s="510"/>
      <c r="E17" s="510"/>
      <c r="F17" s="510"/>
      <c r="G17" s="510"/>
      <c r="H17" s="510"/>
      <c r="I17" s="510"/>
      <c r="J17" s="510"/>
      <c r="K17" s="510"/>
      <c r="L17" s="510">
        <v>12525496600</v>
      </c>
      <c r="M17" s="510">
        <v>0</v>
      </c>
      <c r="N17" s="339">
        <v>0</v>
      </c>
      <c r="O17" s="339">
        <v>0</v>
      </c>
      <c r="P17" s="339">
        <f t="shared" si="0"/>
        <v>0</v>
      </c>
    </row>
    <row r="18" spans="1:16" ht="30.95" customHeight="1">
      <c r="A18" s="284" t="s">
        <v>276</v>
      </c>
      <c r="B18" s="284" t="s">
        <v>339</v>
      </c>
      <c r="C18" s="506"/>
      <c r="D18" s="506"/>
      <c r="E18" s="506"/>
      <c r="F18" s="506"/>
      <c r="G18" s="506"/>
      <c r="H18" s="506"/>
      <c r="I18" s="506"/>
      <c r="J18" s="506"/>
      <c r="K18" s="510"/>
      <c r="L18" s="510">
        <v>2303624499</v>
      </c>
      <c r="M18" s="510">
        <f>2303624499*70%+107764475+243024000</f>
        <v>1963325624.3</v>
      </c>
      <c r="N18" s="339">
        <f>M18*70%</f>
        <v>1374327937.01</v>
      </c>
      <c r="O18" s="339">
        <f>N18</f>
        <v>1374327937.01</v>
      </c>
      <c r="P18" s="339">
        <f t="shared" si="0"/>
        <v>0</v>
      </c>
    </row>
    <row r="19" spans="1:16" ht="30.95" customHeight="1">
      <c r="A19" s="284" t="s">
        <v>335</v>
      </c>
      <c r="B19" s="284" t="s">
        <v>341</v>
      </c>
      <c r="C19" s="510"/>
      <c r="D19" s="510"/>
      <c r="E19" s="510"/>
      <c r="F19" s="510"/>
      <c r="G19" s="510"/>
      <c r="H19" s="510"/>
      <c r="I19" s="510"/>
      <c r="J19" s="510"/>
      <c r="K19" s="510">
        <v>22344000</v>
      </c>
      <c r="L19" s="510">
        <v>67032000</v>
      </c>
      <c r="M19" s="510">
        <f>67032000*70%</f>
        <v>46922400</v>
      </c>
      <c r="N19" s="339">
        <f>67032000*70%</f>
        <v>46922400</v>
      </c>
      <c r="O19" s="339">
        <f>67032000*70%</f>
        <v>46922400</v>
      </c>
      <c r="P19" s="339">
        <f t="shared" si="0"/>
        <v>0</v>
      </c>
    </row>
    <row r="20" spans="1:16" ht="30.95" customHeight="1">
      <c r="A20" s="284" t="s">
        <v>340</v>
      </c>
      <c r="B20" s="284" t="s">
        <v>353</v>
      </c>
      <c r="C20" s="506">
        <f t="shared" ref="C20:K20" si="3">SUM(C18:C19)</f>
        <v>0</v>
      </c>
      <c r="D20" s="506">
        <f t="shared" si="3"/>
        <v>0</v>
      </c>
      <c r="E20" s="506">
        <f t="shared" si="3"/>
        <v>0</v>
      </c>
      <c r="F20" s="506">
        <f t="shared" si="3"/>
        <v>0</v>
      </c>
      <c r="G20" s="506">
        <f t="shared" si="3"/>
        <v>0</v>
      </c>
      <c r="H20" s="506">
        <f t="shared" si="3"/>
        <v>0</v>
      </c>
      <c r="I20" s="506">
        <f t="shared" si="3"/>
        <v>0</v>
      </c>
      <c r="J20" s="506">
        <f t="shared" si="3"/>
        <v>0</v>
      </c>
      <c r="K20" s="506">
        <f t="shared" si="3"/>
        <v>22344000</v>
      </c>
      <c r="L20" s="510">
        <v>1167500000</v>
      </c>
      <c r="M20" s="510">
        <f>1167500000</f>
        <v>1167500000</v>
      </c>
      <c r="N20" s="339">
        <f>M20</f>
        <v>1167500000</v>
      </c>
      <c r="O20" s="339">
        <f>N20</f>
        <v>1167500000</v>
      </c>
      <c r="P20" s="339">
        <f t="shared" si="0"/>
        <v>0</v>
      </c>
    </row>
    <row r="21" spans="1:16" ht="30.95" customHeight="1">
      <c r="A21" s="284" t="s">
        <v>623</v>
      </c>
      <c r="B21" s="284" t="s">
        <v>1192</v>
      </c>
      <c r="C21" s="506"/>
      <c r="D21" s="506"/>
      <c r="E21" s="506"/>
      <c r="F21" s="506"/>
      <c r="G21" s="506"/>
      <c r="H21" s="506"/>
      <c r="I21" s="506"/>
      <c r="J21" s="506"/>
      <c r="K21" s="506"/>
      <c r="L21" s="510"/>
      <c r="M21" s="510"/>
      <c r="N21" s="339">
        <v>0</v>
      </c>
      <c r="O21" s="339">
        <v>5319348000</v>
      </c>
      <c r="P21" s="339">
        <f t="shared" si="0"/>
        <v>5319348000</v>
      </c>
    </row>
    <row r="22" spans="1:16" ht="30.95" customHeight="1">
      <c r="A22" s="284"/>
      <c r="B22" s="292" t="s">
        <v>427</v>
      </c>
      <c r="C22" s="510">
        <v>0</v>
      </c>
      <c r="D22" s="510">
        <v>0</v>
      </c>
      <c r="E22" s="510">
        <v>0</v>
      </c>
      <c r="F22" s="510">
        <v>0</v>
      </c>
      <c r="G22" s="510">
        <v>72000000</v>
      </c>
      <c r="H22" s="510">
        <v>72000000</v>
      </c>
      <c r="I22" s="510">
        <v>53625600</v>
      </c>
      <c r="J22" s="510">
        <v>53625600</v>
      </c>
      <c r="K22" s="510">
        <v>13058797840</v>
      </c>
      <c r="L22" s="506">
        <f>SUM(L11:L20)</f>
        <v>18131550699</v>
      </c>
      <c r="M22" s="506">
        <f>SUM(M11:M20)</f>
        <v>5111276344.3000002</v>
      </c>
      <c r="N22" s="491">
        <f>SUM(N11:N21)</f>
        <v>4517586417.0100002</v>
      </c>
      <c r="O22" s="491">
        <f>SUM(O11:O21)</f>
        <v>9836934417.0100002</v>
      </c>
      <c r="P22" s="491">
        <f>O22-N22</f>
        <v>5319348000</v>
      </c>
    </row>
    <row r="23" spans="1:16" ht="30.95" customHeight="1">
      <c r="A23" s="292" t="s">
        <v>279</v>
      </c>
      <c r="B23" s="292" t="s">
        <v>278</v>
      </c>
      <c r="C23" s="510">
        <v>100000000</v>
      </c>
      <c r="D23" s="510">
        <v>70000000</v>
      </c>
      <c r="E23" s="510">
        <v>70000000</v>
      </c>
      <c r="F23" s="510">
        <v>70000000</v>
      </c>
      <c r="G23" s="510">
        <v>70000000</v>
      </c>
      <c r="H23" s="510">
        <v>70000000</v>
      </c>
      <c r="I23" s="510">
        <v>52136000</v>
      </c>
      <c r="J23" s="510">
        <v>52136000</v>
      </c>
      <c r="K23" s="510">
        <v>82672800</v>
      </c>
      <c r="L23" s="510"/>
      <c r="M23" s="510"/>
      <c r="N23" s="339"/>
      <c r="O23" s="339"/>
      <c r="P23" s="339">
        <f t="shared" si="0"/>
        <v>0</v>
      </c>
    </row>
    <row r="24" spans="1:16" ht="30.95" customHeight="1">
      <c r="A24" s="284" t="s">
        <v>280</v>
      </c>
      <c r="B24" s="284" t="s">
        <v>160</v>
      </c>
      <c r="C24" s="510">
        <v>16104000</v>
      </c>
      <c r="D24" s="510">
        <v>0</v>
      </c>
      <c r="E24" s="510">
        <v>0</v>
      </c>
      <c r="F24" s="510">
        <v>40000000</v>
      </c>
      <c r="G24" s="510">
        <v>40000000</v>
      </c>
      <c r="H24" s="510">
        <v>40000000</v>
      </c>
      <c r="I24" s="510">
        <v>29792000</v>
      </c>
      <c r="J24" s="510">
        <v>29792000</v>
      </c>
      <c r="K24" s="510">
        <v>114991161</v>
      </c>
      <c r="L24" s="510">
        <v>0</v>
      </c>
      <c r="M24" s="510">
        <v>0</v>
      </c>
      <c r="N24" s="339">
        <v>0</v>
      </c>
      <c r="O24" s="339">
        <v>0</v>
      </c>
      <c r="P24" s="339">
        <f t="shared" si="0"/>
        <v>0</v>
      </c>
    </row>
    <row r="25" spans="1:16" ht="30.95" customHeight="1">
      <c r="A25" s="284" t="s">
        <v>281</v>
      </c>
      <c r="B25" s="284" t="s">
        <v>161</v>
      </c>
      <c r="C25" s="510">
        <v>0</v>
      </c>
      <c r="D25" s="510">
        <v>0</v>
      </c>
      <c r="E25" s="510">
        <v>0</v>
      </c>
      <c r="F25" s="510">
        <v>0</v>
      </c>
      <c r="G25" s="510">
        <v>0</v>
      </c>
      <c r="H25" s="510">
        <v>0</v>
      </c>
      <c r="I25" s="510">
        <v>0</v>
      </c>
      <c r="J25" s="510">
        <v>0</v>
      </c>
      <c r="K25" s="506">
        <f>SUM(K18:K24)</f>
        <v>13301149801</v>
      </c>
      <c r="L25" s="510">
        <v>1882952000</v>
      </c>
      <c r="M25" s="510">
        <f>1882952000</f>
        <v>1882952000</v>
      </c>
      <c r="N25" s="339">
        <v>1962952000</v>
      </c>
      <c r="O25" s="339">
        <v>2362952000</v>
      </c>
      <c r="P25" s="339">
        <f t="shared" si="0"/>
        <v>400000000</v>
      </c>
    </row>
    <row r="26" spans="1:16" ht="30.95" customHeight="1">
      <c r="A26" s="284" t="s">
        <v>282</v>
      </c>
      <c r="B26" s="284" t="s">
        <v>155</v>
      </c>
      <c r="C26" s="510">
        <v>300000000</v>
      </c>
      <c r="D26" s="510">
        <f>200000000-67356435+67356435</f>
        <v>200000000</v>
      </c>
      <c r="E26" s="510">
        <v>200000000</v>
      </c>
      <c r="F26" s="510">
        <v>200000000</v>
      </c>
      <c r="G26" s="510">
        <v>1220000000</v>
      </c>
      <c r="H26" s="510">
        <v>1220000000</v>
      </c>
      <c r="I26" s="510">
        <v>1620000000</v>
      </c>
      <c r="J26" s="510">
        <v>1620000000</v>
      </c>
      <c r="K26" s="510"/>
      <c r="L26" s="510">
        <v>51391200</v>
      </c>
      <c r="M26" s="510">
        <f>51391200*70%</f>
        <v>35973840</v>
      </c>
      <c r="N26" s="339">
        <f>51391200*70%</f>
        <v>35973840</v>
      </c>
      <c r="O26" s="339">
        <f>51391200*70%</f>
        <v>35973840</v>
      </c>
      <c r="P26" s="339">
        <f t="shared" si="0"/>
        <v>0</v>
      </c>
    </row>
    <row r="27" spans="1:16" ht="30.95" customHeight="1">
      <c r="A27" s="284" t="s">
        <v>283</v>
      </c>
      <c r="B27" s="284" t="s">
        <v>156</v>
      </c>
      <c r="C27" s="510"/>
      <c r="D27" s="510"/>
      <c r="E27" s="510"/>
      <c r="F27" s="510">
        <v>0</v>
      </c>
      <c r="G27" s="510">
        <v>30000000</v>
      </c>
      <c r="H27" s="510">
        <v>30000000</v>
      </c>
      <c r="I27" s="510">
        <v>22344000</v>
      </c>
      <c r="J27" s="510">
        <v>22344000</v>
      </c>
      <c r="K27" s="510"/>
      <c r="L27" s="510">
        <v>22344000</v>
      </c>
      <c r="M27" s="510">
        <f>22344000*70%</f>
        <v>15640799.999999998</v>
      </c>
      <c r="N27" s="339">
        <f>22344000*70%</f>
        <v>15640799.999999998</v>
      </c>
      <c r="O27" s="339">
        <f>22344000*70%</f>
        <v>15640799.999999998</v>
      </c>
      <c r="P27" s="339">
        <f t="shared" si="0"/>
        <v>0</v>
      </c>
    </row>
    <row r="28" spans="1:16" ht="30.95" customHeight="1">
      <c r="A28" s="284" t="s">
        <v>316</v>
      </c>
      <c r="B28" s="284" t="s">
        <v>897</v>
      </c>
      <c r="C28" s="510"/>
      <c r="D28" s="510"/>
      <c r="E28" s="510"/>
      <c r="F28" s="510"/>
      <c r="G28" s="510"/>
      <c r="H28" s="510"/>
      <c r="I28" s="510"/>
      <c r="J28" s="510"/>
      <c r="K28" s="510">
        <v>744800000</v>
      </c>
      <c r="L28" s="510">
        <v>14771092248</v>
      </c>
      <c r="M28" s="510">
        <f>14771092248/3500*6000+552911575</f>
        <v>25874784000.142857</v>
      </c>
      <c r="N28" s="339">
        <v>27779921040</v>
      </c>
      <c r="O28" s="339">
        <v>28424249424</v>
      </c>
      <c r="P28" s="339">
        <f>O28-N28</f>
        <v>644328384</v>
      </c>
    </row>
    <row r="29" spans="1:16" ht="30.95" customHeight="1">
      <c r="A29" s="284" t="s">
        <v>298</v>
      </c>
      <c r="B29" s="284" t="s">
        <v>83</v>
      </c>
      <c r="C29" s="510">
        <v>100000000</v>
      </c>
      <c r="D29" s="510">
        <v>70000000</v>
      </c>
      <c r="E29" s="510">
        <v>70000000</v>
      </c>
      <c r="F29" s="510">
        <v>70000000</v>
      </c>
      <c r="G29" s="510">
        <v>240000000</v>
      </c>
      <c r="H29" s="510">
        <v>231600000</v>
      </c>
      <c r="I29" s="510">
        <v>172495680</v>
      </c>
      <c r="J29" s="510">
        <v>360000000</v>
      </c>
      <c r="K29" s="510">
        <v>0</v>
      </c>
      <c r="L29" s="510">
        <v>55115200</v>
      </c>
      <c r="M29" s="510">
        <f>55115200*70%</f>
        <v>38580640</v>
      </c>
      <c r="N29" s="339">
        <f>55115200*70%</f>
        <v>38580640</v>
      </c>
      <c r="O29" s="339">
        <f>55115200*70%</f>
        <v>38580640</v>
      </c>
      <c r="P29" s="339">
        <f t="shared" si="0"/>
        <v>0</v>
      </c>
    </row>
    <row r="30" spans="1:16" ht="30.95" customHeight="1">
      <c r="A30" s="284" t="s">
        <v>616</v>
      </c>
      <c r="B30" s="284" t="s">
        <v>345</v>
      </c>
      <c r="C30" s="510"/>
      <c r="D30" s="510"/>
      <c r="E30" s="510"/>
      <c r="F30" s="510"/>
      <c r="G30" s="510"/>
      <c r="H30" s="510"/>
      <c r="I30" s="510"/>
      <c r="J30" s="510"/>
      <c r="K30" s="510"/>
      <c r="L30" s="510">
        <v>314991161</v>
      </c>
      <c r="M30" s="510">
        <f>314991161*70%</f>
        <v>220493812.69999999</v>
      </c>
      <c r="N30" s="339">
        <f>314991161*70%</f>
        <v>220493812.69999999</v>
      </c>
      <c r="O30" s="339">
        <f>314991161*70%</f>
        <v>220493812.69999999</v>
      </c>
      <c r="P30" s="339">
        <f t="shared" si="0"/>
        <v>0</v>
      </c>
    </row>
    <row r="31" spans="1:16" ht="30.95" customHeight="1">
      <c r="A31" s="284" t="s">
        <v>430</v>
      </c>
      <c r="B31" s="284" t="s">
        <v>136</v>
      </c>
      <c r="C31" s="510"/>
      <c r="D31" s="510"/>
      <c r="E31" s="510"/>
      <c r="F31" s="510"/>
      <c r="G31" s="510"/>
      <c r="H31" s="510"/>
      <c r="I31" s="510"/>
      <c r="J31" s="510"/>
      <c r="K31" s="510"/>
      <c r="L31" s="510">
        <v>100000000</v>
      </c>
      <c r="M31" s="510">
        <f>100000000*70%</f>
        <v>70000000</v>
      </c>
      <c r="N31" s="339">
        <f>100000000*70%</f>
        <v>70000000</v>
      </c>
      <c r="O31" s="339">
        <f>100000000*70%</f>
        <v>70000000</v>
      </c>
      <c r="P31" s="339">
        <f t="shared" si="0"/>
        <v>0</v>
      </c>
    </row>
    <row r="32" spans="1:16" ht="30.95" customHeight="1">
      <c r="A32" s="284"/>
      <c r="B32" s="292" t="s">
        <v>119</v>
      </c>
      <c r="C32" s="510">
        <v>131200000</v>
      </c>
      <c r="D32" s="510">
        <v>0</v>
      </c>
      <c r="E32" s="510">
        <v>0</v>
      </c>
      <c r="F32" s="510">
        <v>0</v>
      </c>
      <c r="G32" s="510">
        <v>0</v>
      </c>
      <c r="H32" s="510">
        <v>0</v>
      </c>
      <c r="I32" s="510">
        <v>0</v>
      </c>
      <c r="J32" s="510">
        <v>0</v>
      </c>
      <c r="K32" s="510">
        <v>297920000</v>
      </c>
      <c r="L32" s="506">
        <f>SUM(L24:L31)</f>
        <v>17197885809</v>
      </c>
      <c r="M32" s="506">
        <f>SUM(M24:M31)</f>
        <v>28138425092.842857</v>
      </c>
      <c r="N32" s="491">
        <f>SUM(N24:N31)</f>
        <v>30123562132.700001</v>
      </c>
      <c r="O32" s="491">
        <f>SUM(O24:O31)</f>
        <v>31167890516.700001</v>
      </c>
      <c r="P32" s="491">
        <f t="shared" si="0"/>
        <v>1044328384</v>
      </c>
    </row>
    <row r="33" spans="1:16" ht="30.95" customHeight="1">
      <c r="A33" s="292" t="s">
        <v>285</v>
      </c>
      <c r="B33" s="292" t="s">
        <v>158</v>
      </c>
      <c r="C33" s="510"/>
      <c r="D33" s="510"/>
      <c r="E33" s="510"/>
      <c r="F33" s="510"/>
      <c r="G33" s="510"/>
      <c r="H33" s="510"/>
      <c r="I33" s="510"/>
      <c r="J33" s="510"/>
      <c r="K33" s="510">
        <v>0</v>
      </c>
      <c r="L33" s="510"/>
      <c r="M33" s="510"/>
      <c r="N33" s="339"/>
      <c r="O33" s="339"/>
      <c r="P33" s="339">
        <f t="shared" si="0"/>
        <v>0</v>
      </c>
    </row>
    <row r="34" spans="1:16" ht="30.95" customHeight="1">
      <c r="A34" s="284" t="s">
        <v>286</v>
      </c>
      <c r="B34" s="284" t="s">
        <v>55</v>
      </c>
      <c r="C34" s="510"/>
      <c r="D34" s="510"/>
      <c r="E34" s="510"/>
      <c r="F34" s="510"/>
      <c r="G34" s="510"/>
      <c r="H34" s="510"/>
      <c r="I34" s="510">
        <v>0</v>
      </c>
      <c r="J34" s="510">
        <v>11103400000</v>
      </c>
      <c r="K34" s="506">
        <f>SUM(K28:K33)</f>
        <v>1042720000</v>
      </c>
      <c r="L34" s="510">
        <v>1100000000</v>
      </c>
      <c r="M34" s="510">
        <f>1100000000</f>
        <v>1100000000</v>
      </c>
      <c r="N34" s="339">
        <f>1100000000</f>
        <v>1100000000</v>
      </c>
      <c r="O34" s="339">
        <f>1100000000</f>
        <v>1100000000</v>
      </c>
      <c r="P34" s="339">
        <f t="shared" si="0"/>
        <v>0</v>
      </c>
    </row>
    <row r="35" spans="1:16" ht="30.95" customHeight="1">
      <c r="A35" s="284" t="s">
        <v>288</v>
      </c>
      <c r="B35" s="284" t="s">
        <v>287</v>
      </c>
      <c r="C35" s="510"/>
      <c r="D35" s="510"/>
      <c r="E35" s="510"/>
      <c r="F35" s="510"/>
      <c r="G35" s="510"/>
      <c r="H35" s="510"/>
      <c r="I35" s="510">
        <v>0</v>
      </c>
      <c r="J35" s="510">
        <v>1600000000</v>
      </c>
      <c r="K35" s="510"/>
      <c r="L35" s="510">
        <v>60000000</v>
      </c>
      <c r="M35" s="510">
        <f>60000000*70%</f>
        <v>42000000</v>
      </c>
      <c r="N35" s="339">
        <f>60000000*70%</f>
        <v>42000000</v>
      </c>
      <c r="O35" s="339">
        <f>60000000*70%</f>
        <v>42000000</v>
      </c>
      <c r="P35" s="339">
        <f t="shared" si="0"/>
        <v>0</v>
      </c>
    </row>
    <row r="36" spans="1:16" ht="30.95" customHeight="1">
      <c r="A36" s="284" t="s">
        <v>289</v>
      </c>
      <c r="B36" s="284" t="s">
        <v>290</v>
      </c>
      <c r="C36" s="510"/>
      <c r="D36" s="510">
        <v>0</v>
      </c>
      <c r="E36" s="510">
        <v>0</v>
      </c>
      <c r="F36" s="510">
        <v>0</v>
      </c>
      <c r="G36" s="510">
        <v>45000000</v>
      </c>
      <c r="H36" s="510">
        <v>90000000</v>
      </c>
      <c r="I36" s="510">
        <v>67032000</v>
      </c>
      <c r="J36" s="510">
        <v>67032000</v>
      </c>
      <c r="K36" s="510">
        <v>860035456</v>
      </c>
      <c r="L36" s="511">
        <v>0</v>
      </c>
      <c r="M36" s="511">
        <v>0</v>
      </c>
      <c r="N36" s="338">
        <v>0</v>
      </c>
      <c r="O36" s="338">
        <v>0</v>
      </c>
      <c r="P36" s="339">
        <f t="shared" si="0"/>
        <v>0</v>
      </c>
    </row>
    <row r="37" spans="1:16" ht="30.95" customHeight="1">
      <c r="A37" s="284"/>
      <c r="B37" s="292" t="s">
        <v>119</v>
      </c>
      <c r="C37" s="506">
        <f t="shared" ref="C37:J37" si="4">SUM(C22:C36)</f>
        <v>647304000</v>
      </c>
      <c r="D37" s="506">
        <f t="shared" si="4"/>
        <v>340000000</v>
      </c>
      <c r="E37" s="506">
        <f t="shared" si="4"/>
        <v>340000000</v>
      </c>
      <c r="F37" s="506">
        <f t="shared" si="4"/>
        <v>380000000</v>
      </c>
      <c r="G37" s="506">
        <f t="shared" si="4"/>
        <v>1717000000</v>
      </c>
      <c r="H37" s="506">
        <f t="shared" si="4"/>
        <v>1753600000</v>
      </c>
      <c r="I37" s="506">
        <f t="shared" si="4"/>
        <v>2017425280</v>
      </c>
      <c r="J37" s="506">
        <f t="shared" si="4"/>
        <v>14908329600</v>
      </c>
      <c r="K37" s="510">
        <v>60000000</v>
      </c>
      <c r="L37" s="587">
        <f>SUM(L34:L36)</f>
        <v>1160000000</v>
      </c>
      <c r="M37" s="587">
        <f>SUM(M34:M36)</f>
        <v>1142000000</v>
      </c>
      <c r="N37" s="588">
        <f>SUM(N34:N36)</f>
        <v>1142000000</v>
      </c>
      <c r="O37" s="588">
        <f>SUM(O34:O36)</f>
        <v>1142000000</v>
      </c>
      <c r="P37" s="491">
        <f t="shared" si="0"/>
        <v>0</v>
      </c>
    </row>
    <row r="38" spans="1:16" ht="30.95" customHeight="1">
      <c r="A38" s="292" t="s">
        <v>293</v>
      </c>
      <c r="B38" s="292" t="s">
        <v>292</v>
      </c>
      <c r="C38" s="586" t="e">
        <f>C37++#REF!+#REF!+C12+C7</f>
        <v>#REF!</v>
      </c>
      <c r="D38" s="586" t="e">
        <f>D37+#REF!+#REF!+D12+D7</f>
        <v>#REF!</v>
      </c>
      <c r="E38" s="586" t="e">
        <f>E37+#REF!+#REF!+E12+E7</f>
        <v>#REF!</v>
      </c>
      <c r="F38" s="506" t="e">
        <f>F37+#REF!+#REF!+F12+F7</f>
        <v>#REF!</v>
      </c>
      <c r="G38" s="506" t="e">
        <f>G37+#REF!+#REF!+G12+G7</f>
        <v>#REF!</v>
      </c>
      <c r="H38" s="506" t="e">
        <f>H37+#REF!+#REF!+H12+H7</f>
        <v>#REF!</v>
      </c>
      <c r="I38" s="506" t="e">
        <f>I37+#REF!+#REF!+I12+I7</f>
        <v>#REF!</v>
      </c>
      <c r="J38" s="506" t="e">
        <f>J37+#REF!+#REF!+J12+J7</f>
        <v>#REF!</v>
      </c>
      <c r="K38" s="510">
        <v>0</v>
      </c>
      <c r="L38" s="516"/>
      <c r="M38" s="516"/>
      <c r="N38" s="500"/>
      <c r="O38" s="500"/>
      <c r="P38" s="339">
        <f t="shared" si="0"/>
        <v>0</v>
      </c>
    </row>
    <row r="39" spans="1:16" ht="30.95" customHeight="1">
      <c r="A39" s="292" t="s">
        <v>294</v>
      </c>
      <c r="B39" s="292" t="s">
        <v>291</v>
      </c>
      <c r="C39" s="585"/>
      <c r="D39" s="585"/>
      <c r="E39" s="585"/>
      <c r="F39" s="585"/>
      <c r="G39" s="585"/>
      <c r="H39" s="585"/>
      <c r="I39" s="585"/>
      <c r="J39" s="585"/>
      <c r="K39" s="586">
        <f>SUM(K36:K38)</f>
        <v>920035456</v>
      </c>
      <c r="L39" s="518"/>
      <c r="M39" s="518"/>
      <c r="N39" s="501"/>
      <c r="O39" s="501"/>
      <c r="P39" s="339">
        <f t="shared" si="0"/>
        <v>0</v>
      </c>
    </row>
    <row r="40" spans="1:16" ht="30.95" customHeight="1">
      <c r="A40" s="284" t="s">
        <v>389</v>
      </c>
      <c r="B40" s="284" t="s">
        <v>307</v>
      </c>
      <c r="C40" s="585"/>
      <c r="D40" s="585"/>
      <c r="E40" s="585"/>
      <c r="F40" s="511" t="s">
        <v>4</v>
      </c>
      <c r="G40" s="511"/>
      <c r="H40" s="511"/>
      <c r="I40" s="511"/>
      <c r="J40" s="511"/>
      <c r="K40" s="589" t="e">
        <f>K39+K34+K25+#REF!+K7</f>
        <v>#REF!</v>
      </c>
      <c r="L40" s="511">
        <v>0</v>
      </c>
      <c r="M40" s="511">
        <v>0</v>
      </c>
      <c r="N40" s="338">
        <v>0</v>
      </c>
      <c r="O40" s="338">
        <v>0</v>
      </c>
      <c r="P40" s="339">
        <f t="shared" si="0"/>
        <v>0</v>
      </c>
    </row>
    <row r="41" spans="1:16" ht="30.95" customHeight="1">
      <c r="A41" s="284" t="s">
        <v>388</v>
      </c>
      <c r="B41" s="284" t="s">
        <v>309</v>
      </c>
      <c r="C41" s="444"/>
      <c r="D41" s="444"/>
      <c r="E41" s="444"/>
      <c r="F41" s="444"/>
      <c r="G41" s="444"/>
      <c r="H41" s="444"/>
      <c r="I41" s="444"/>
      <c r="J41" s="444"/>
      <c r="K41" s="444"/>
      <c r="L41" s="517">
        <v>1108000000</v>
      </c>
      <c r="M41" s="517">
        <f>1108000000*70%</f>
        <v>775600000</v>
      </c>
      <c r="N41" s="497">
        <v>2842000000</v>
      </c>
      <c r="O41" s="497"/>
      <c r="P41" s="339">
        <f t="shared" si="0"/>
        <v>-2842000000</v>
      </c>
    </row>
    <row r="42" spans="1:16" ht="30.95" customHeight="1">
      <c r="A42" s="284" t="s">
        <v>296</v>
      </c>
      <c r="B42" s="284" t="s">
        <v>177</v>
      </c>
      <c r="C42" s="444"/>
      <c r="D42" s="444"/>
      <c r="E42" s="444"/>
      <c r="F42" s="444"/>
      <c r="G42" s="444"/>
      <c r="H42" s="444"/>
      <c r="I42" s="444"/>
      <c r="J42" s="444"/>
      <c r="K42" s="444"/>
      <c r="L42" s="517">
        <v>297920000</v>
      </c>
      <c r="M42" s="517">
        <f>297920000</f>
        <v>297920000</v>
      </c>
      <c r="N42" s="498">
        <v>0</v>
      </c>
      <c r="O42" s="498">
        <v>0</v>
      </c>
      <c r="P42" s="339">
        <f t="shared" si="0"/>
        <v>0</v>
      </c>
    </row>
    <row r="43" spans="1:16" ht="30.95" customHeight="1">
      <c r="A43" s="284" t="s">
        <v>344</v>
      </c>
      <c r="B43" s="284" t="s">
        <v>727</v>
      </c>
      <c r="C43" s="444"/>
      <c r="D43" s="444"/>
      <c r="E43" s="444"/>
      <c r="F43" s="444"/>
      <c r="G43" s="444"/>
      <c r="H43" s="444"/>
      <c r="I43" s="444"/>
      <c r="J43" s="444"/>
      <c r="K43" s="444"/>
      <c r="L43" s="517">
        <v>5110000000</v>
      </c>
      <c r="M43" s="517">
        <f>5110000000*70%+894885600+638114400</f>
        <v>5110000000</v>
      </c>
      <c r="N43" s="497">
        <v>3158000000</v>
      </c>
      <c r="O43" s="498">
        <v>0</v>
      </c>
      <c r="P43" s="339">
        <f t="shared" si="0"/>
        <v>-3158000000</v>
      </c>
    </row>
    <row r="44" spans="1:16" ht="30.95" customHeight="1">
      <c r="A44" s="284"/>
      <c r="B44" s="292" t="s">
        <v>119</v>
      </c>
      <c r="C44" s="444"/>
      <c r="D44" s="444"/>
      <c r="E44" s="444"/>
      <c r="F44" s="444"/>
      <c r="G44" s="444"/>
      <c r="H44" s="444"/>
      <c r="I44" s="444"/>
      <c r="J44" s="444"/>
      <c r="K44" s="444"/>
      <c r="L44" s="518">
        <f>SUM(L40:L43)</f>
        <v>6515920000</v>
      </c>
      <c r="M44" s="518">
        <f>SUM(M40:M43)</f>
        <v>6183520000</v>
      </c>
      <c r="N44" s="501">
        <f>SUM(N40:N43)</f>
        <v>6000000000</v>
      </c>
      <c r="O44" s="590">
        <f>SUM(O40:O43)</f>
        <v>0</v>
      </c>
      <c r="P44" s="491">
        <f t="shared" si="0"/>
        <v>-6000000000</v>
      </c>
    </row>
    <row r="45" spans="1:16" ht="30.95" customHeight="1">
      <c r="A45" s="284"/>
      <c r="B45" s="292" t="s">
        <v>625</v>
      </c>
      <c r="C45" s="444"/>
      <c r="D45" s="444"/>
      <c r="E45" s="444"/>
      <c r="F45" s="444"/>
      <c r="G45" s="444"/>
      <c r="H45" s="444"/>
      <c r="I45" s="444"/>
      <c r="J45" s="444"/>
      <c r="K45" s="444"/>
      <c r="L45" s="518">
        <f>L44+L37+L32+L22+L8</f>
        <v>87580662108</v>
      </c>
      <c r="M45" s="518">
        <f>M44+M37+M32+M22+M8</f>
        <v>133672365037.14285</v>
      </c>
      <c r="N45" s="501">
        <f>N44+N37+N32+N22+N8</f>
        <v>133517821749.70999</v>
      </c>
      <c r="O45" s="501">
        <f>O44+O37+O32+O22+O8</f>
        <v>142287277333.70999</v>
      </c>
      <c r="P45" s="491">
        <f t="shared" si="0"/>
        <v>8769455584</v>
      </c>
    </row>
    <row r="46" spans="1:16" ht="30.95" customHeight="1">
      <c r="L46" s="466"/>
    </row>
    <row r="49" spans="12:12" ht="30.95" customHeight="1">
      <c r="L49" s="578"/>
    </row>
  </sheetData>
  <pageMargins left="0.5" right="0.25" top="0.55000000000000004" bottom="0.51" header="0.17" footer="0.17"/>
  <pageSetup scale="50" orientation="portrait" r:id="rId1"/>
  <headerFooter>
    <oddHeader xml:space="preserve">&amp;C&amp;"Times New Roman,Bold"&amp;22Ciidanka Qaranka.
</oddHeader>
    <oddFooter>&amp;L&amp;"Times New Roman,Bold"&amp;16Dirayska Ciidanka: 3,336,000,000.
Kharashka Darajada:1,721,448,000.&amp;R
&amp;"Times New Roman,Bold"&amp;14 26</oddFooter>
  </headerFooter>
  <ignoredErrors>
    <ignoredError sqref="O19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9"/>
  <dimension ref="A1:P46"/>
  <sheetViews>
    <sheetView view="pageBreakPreview" zoomScale="60" workbookViewId="0">
      <selection sqref="A1:XFD1048576"/>
    </sheetView>
  </sheetViews>
  <sheetFormatPr defaultRowHeight="27" customHeight="1"/>
  <cols>
    <col min="1" max="1" width="16.6640625" style="444" bestFit="1" customWidth="1"/>
    <col min="2" max="2" width="80.6640625" style="155" bestFit="1" customWidth="1"/>
    <col min="3" max="3" width="16" style="155" hidden="1" customWidth="1"/>
    <col min="4" max="4" width="16.6640625" style="155" hidden="1" customWidth="1"/>
    <col min="5" max="5" width="18" style="155" hidden="1" customWidth="1"/>
    <col min="6" max="6" width="16.6640625" style="155" hidden="1" customWidth="1"/>
    <col min="7" max="8" width="0.1640625" style="155" hidden="1" customWidth="1"/>
    <col min="9" max="9" width="2.6640625" style="155" hidden="1" customWidth="1"/>
    <col min="10" max="10" width="16.6640625" style="155" hidden="1" customWidth="1"/>
    <col min="11" max="11" width="18" style="155" hidden="1" customWidth="1"/>
    <col min="12" max="13" width="28" style="155" hidden="1" customWidth="1"/>
    <col min="14" max="14" width="36.83203125" style="399" bestFit="1" customWidth="1"/>
    <col min="15" max="16" width="31" style="399" customWidth="1"/>
    <col min="17" max="16384" width="9.33203125" style="155"/>
  </cols>
  <sheetData>
    <row r="1" spans="1:16" ht="29.1" customHeight="1">
      <c r="A1" s="373" t="s">
        <v>45</v>
      </c>
      <c r="B1" s="443">
        <v>14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284"/>
      <c r="O1" s="284"/>
      <c r="P1" s="284"/>
    </row>
    <row r="2" spans="1:16" ht="29.1" customHeight="1">
      <c r="A2" s="292" t="s">
        <v>248</v>
      </c>
      <c r="B2" s="292" t="s">
        <v>165</v>
      </c>
      <c r="C2" s="373" t="s">
        <v>43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131</v>
      </c>
      <c r="J2" s="378" t="s">
        <v>137</v>
      </c>
      <c r="K2" s="378" t="s">
        <v>144</v>
      </c>
      <c r="L2" s="378" t="s">
        <v>180</v>
      </c>
      <c r="M2" s="378" t="s">
        <v>297</v>
      </c>
      <c r="N2" s="292" t="s">
        <v>641</v>
      </c>
      <c r="O2" s="292" t="s">
        <v>1111</v>
      </c>
      <c r="P2" s="271" t="s">
        <v>63</v>
      </c>
    </row>
    <row r="3" spans="1:16" ht="29.1" customHeight="1">
      <c r="A3" s="292" t="s">
        <v>249</v>
      </c>
      <c r="B3" s="292" t="s">
        <v>250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73"/>
      <c r="N3" s="292"/>
      <c r="O3" s="292"/>
      <c r="P3" s="292"/>
    </row>
    <row r="4" spans="1:16" ht="29.1" customHeight="1">
      <c r="A4" s="284" t="s">
        <v>247</v>
      </c>
      <c r="B4" s="284" t="s">
        <v>32</v>
      </c>
      <c r="C4" s="284">
        <v>65523000</v>
      </c>
      <c r="D4" s="284">
        <v>101148000</v>
      </c>
      <c r="E4" s="284">
        <v>98052000</v>
      </c>
      <c r="F4" s="284">
        <v>85584000</v>
      </c>
      <c r="G4" s="284">
        <f>84564000+2460000</f>
        <v>87024000</v>
      </c>
      <c r="H4" s="284">
        <f>84564000+2460000+17376000</f>
        <v>104400000</v>
      </c>
      <c r="I4" s="284">
        <v>178152000</v>
      </c>
      <c r="J4" s="284">
        <f>184719600+54000000+6000000</f>
        <v>244719600</v>
      </c>
      <c r="K4" s="284">
        <f>244719600+12000000-4149600</f>
        <v>252570000</v>
      </c>
      <c r="L4" s="284">
        <v>272912400</v>
      </c>
      <c r="M4" s="284">
        <f>'shaq,3'!H28+36000000</f>
        <v>649204800</v>
      </c>
      <c r="N4" s="284">
        <v>650047200</v>
      </c>
      <c r="O4" s="284">
        <v>903770400</v>
      </c>
      <c r="P4" s="284">
        <f>O4-N4</f>
        <v>253723200</v>
      </c>
    </row>
    <row r="5" spans="1:16" ht="29.1" customHeight="1">
      <c r="A5" s="284" t="s">
        <v>251</v>
      </c>
      <c r="B5" s="284" t="s">
        <v>812</v>
      </c>
      <c r="C5" s="284">
        <v>2371000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>
        <v>0</v>
      </c>
      <c r="L5" s="284">
        <v>0</v>
      </c>
      <c r="M5" s="284">
        <v>0</v>
      </c>
      <c r="N5" s="284">
        <v>97200000</v>
      </c>
      <c r="O5" s="284">
        <v>97200000</v>
      </c>
      <c r="P5" s="284">
        <f t="shared" ref="P5:P44" si="0">O5-N5</f>
        <v>0</v>
      </c>
    </row>
    <row r="6" spans="1:16" ht="29.1" customHeight="1">
      <c r="A6" s="284" t="s">
        <v>252</v>
      </c>
      <c r="B6" s="284" t="s">
        <v>34</v>
      </c>
      <c r="C6" s="284"/>
      <c r="D6" s="284"/>
      <c r="E6" s="284"/>
      <c r="F6" s="284"/>
      <c r="G6" s="284"/>
      <c r="H6" s="284">
        <v>0</v>
      </c>
      <c r="I6" s="284">
        <v>58500000</v>
      </c>
      <c r="J6" s="284">
        <v>117000000</v>
      </c>
      <c r="K6" s="284">
        <v>60000000</v>
      </c>
      <c r="L6" s="284">
        <f>60000000+3600000</f>
        <v>63600000</v>
      </c>
      <c r="M6" s="284">
        <f>60000000+3600000-21600000</f>
        <v>42000000</v>
      </c>
      <c r="N6" s="284">
        <v>70800000</v>
      </c>
      <c r="O6" s="284">
        <v>162000000</v>
      </c>
      <c r="P6" s="284">
        <f t="shared" si="0"/>
        <v>91200000</v>
      </c>
    </row>
    <row r="7" spans="1:16" ht="29.1" customHeight="1">
      <c r="A7" s="284" t="s">
        <v>254</v>
      </c>
      <c r="B7" s="284" t="s">
        <v>1233</v>
      </c>
      <c r="C7" s="284">
        <v>1450000</v>
      </c>
      <c r="D7" s="284">
        <v>0</v>
      </c>
      <c r="E7" s="284">
        <v>0</v>
      </c>
      <c r="F7" s="284">
        <v>0</v>
      </c>
      <c r="G7" s="284">
        <v>0</v>
      </c>
      <c r="H7" s="284">
        <v>0</v>
      </c>
      <c r="I7" s="284">
        <v>0</v>
      </c>
      <c r="J7" s="284">
        <v>3814200</v>
      </c>
      <c r="K7" s="284">
        <v>117000000</v>
      </c>
      <c r="L7" s="284">
        <v>72000000</v>
      </c>
      <c r="M7" s="284">
        <v>72000000</v>
      </c>
      <c r="N7" s="284">
        <v>24000000</v>
      </c>
      <c r="O7" s="284">
        <v>124800000</v>
      </c>
      <c r="P7" s="284">
        <f t="shared" si="0"/>
        <v>100800000</v>
      </c>
    </row>
    <row r="8" spans="1:16" ht="29.1" customHeight="1">
      <c r="A8" s="284"/>
      <c r="B8" s="292" t="s">
        <v>119</v>
      </c>
      <c r="C8" s="284"/>
      <c r="D8" s="284"/>
      <c r="E8" s="284"/>
      <c r="F8" s="284"/>
      <c r="G8" s="284"/>
      <c r="H8" s="284"/>
      <c r="I8" s="284"/>
      <c r="J8" s="284"/>
      <c r="K8" s="284">
        <v>0</v>
      </c>
      <c r="L8" s="292">
        <f>SUM(L4:L7)</f>
        <v>408512400</v>
      </c>
      <c r="M8" s="292">
        <f>SUM(M4:M7)</f>
        <v>763204800</v>
      </c>
      <c r="N8" s="292">
        <f>SUM(N4:N7)</f>
        <v>842047200</v>
      </c>
      <c r="O8" s="292">
        <f>SUM(O4:O7)</f>
        <v>1287770400</v>
      </c>
      <c r="P8" s="292">
        <f t="shared" si="0"/>
        <v>445723200</v>
      </c>
    </row>
    <row r="9" spans="1:16" ht="29.1" customHeight="1">
      <c r="A9" s="292" t="s">
        <v>262</v>
      </c>
      <c r="B9" s="292" t="s">
        <v>263</v>
      </c>
      <c r="C9" s="284">
        <v>10377640</v>
      </c>
      <c r="D9" s="284">
        <v>6500000</v>
      </c>
      <c r="E9" s="284">
        <v>6500000</v>
      </c>
      <c r="F9" s="284">
        <v>6500000</v>
      </c>
      <c r="G9" s="284">
        <v>12000000</v>
      </c>
      <c r="H9" s="284">
        <v>20000000</v>
      </c>
      <c r="I9" s="284">
        <v>26812800</v>
      </c>
      <c r="J9" s="284">
        <v>50000000</v>
      </c>
      <c r="K9" s="284">
        <v>42167597</v>
      </c>
      <c r="L9" s="284"/>
      <c r="M9" s="284"/>
      <c r="N9" s="284"/>
      <c r="O9" s="284"/>
      <c r="P9" s="284">
        <f t="shared" si="0"/>
        <v>0</v>
      </c>
    </row>
    <row r="10" spans="1:16" ht="29.1" customHeight="1">
      <c r="A10" s="292" t="s">
        <v>265</v>
      </c>
      <c r="B10" s="292" t="s">
        <v>264</v>
      </c>
      <c r="C10" s="284">
        <v>4785070</v>
      </c>
      <c r="D10" s="284">
        <v>8962370</v>
      </c>
      <c r="E10" s="284">
        <v>8962370</v>
      </c>
      <c r="F10" s="284">
        <v>8962370</v>
      </c>
      <c r="G10" s="284">
        <v>8000000</v>
      </c>
      <c r="H10" s="284">
        <v>25000000</v>
      </c>
      <c r="I10" s="284">
        <v>59584000</v>
      </c>
      <c r="J10" s="284">
        <v>59584000</v>
      </c>
      <c r="K10" s="284">
        <f>124800000+10800000</f>
        <v>135600000</v>
      </c>
      <c r="L10" s="284"/>
      <c r="M10" s="284"/>
      <c r="N10" s="284"/>
      <c r="O10" s="284"/>
      <c r="P10" s="284">
        <f t="shared" si="0"/>
        <v>0</v>
      </c>
    </row>
    <row r="11" spans="1:16" ht="29.1" customHeight="1">
      <c r="A11" s="284" t="s">
        <v>266</v>
      </c>
      <c r="B11" s="284" t="s">
        <v>38</v>
      </c>
      <c r="C11" s="284"/>
      <c r="D11" s="284"/>
      <c r="E11" s="284"/>
      <c r="F11" s="284"/>
      <c r="G11" s="284"/>
      <c r="H11" s="284"/>
      <c r="I11" s="284"/>
      <c r="J11" s="284"/>
      <c r="K11" s="284">
        <v>37240000</v>
      </c>
      <c r="L11" s="284">
        <v>33516000</v>
      </c>
      <c r="M11" s="284">
        <f>33516000*70%</f>
        <v>23461200</v>
      </c>
      <c r="N11" s="284">
        <f>33516000*70%</f>
        <v>23461200</v>
      </c>
      <c r="O11" s="284">
        <f>33516000*70%</f>
        <v>23461200</v>
      </c>
      <c r="P11" s="284">
        <f t="shared" si="0"/>
        <v>0</v>
      </c>
    </row>
    <row r="12" spans="1:16" ht="29.1" customHeight="1">
      <c r="A12" s="284" t="s">
        <v>267</v>
      </c>
      <c r="B12" s="284" t="s">
        <v>152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22344000</v>
      </c>
      <c r="J12" s="284">
        <v>35000000</v>
      </c>
      <c r="K12" s="284">
        <v>44688000</v>
      </c>
      <c r="L12" s="284">
        <v>15000000</v>
      </c>
      <c r="M12" s="284">
        <f>15000000*70%</f>
        <v>10500000</v>
      </c>
      <c r="N12" s="284">
        <f>15000000*70%</f>
        <v>10500000</v>
      </c>
      <c r="O12" s="284">
        <f>15000000*70%</f>
        <v>10500000</v>
      </c>
      <c r="P12" s="284">
        <f t="shared" si="0"/>
        <v>0</v>
      </c>
    </row>
    <row r="13" spans="1:16" s="387" customFormat="1" ht="29.1" customHeight="1">
      <c r="A13" s="284" t="s">
        <v>269</v>
      </c>
      <c r="B13" s="284" t="s">
        <v>186</v>
      </c>
      <c r="C13" s="292">
        <f t="shared" ref="C13:J13" si="1">SUM(C8:C12)</f>
        <v>15162710</v>
      </c>
      <c r="D13" s="292">
        <f t="shared" si="1"/>
        <v>15462370</v>
      </c>
      <c r="E13" s="292">
        <f t="shared" si="1"/>
        <v>15462370</v>
      </c>
      <c r="F13" s="292">
        <f t="shared" si="1"/>
        <v>15462370</v>
      </c>
      <c r="G13" s="292">
        <f t="shared" si="1"/>
        <v>20000000</v>
      </c>
      <c r="H13" s="292">
        <f t="shared" si="1"/>
        <v>45000000</v>
      </c>
      <c r="I13" s="292">
        <f t="shared" si="1"/>
        <v>108740800</v>
      </c>
      <c r="J13" s="292">
        <f t="shared" si="1"/>
        <v>144584000</v>
      </c>
      <c r="K13" s="284">
        <v>14896000</v>
      </c>
      <c r="L13" s="284">
        <v>120000000</v>
      </c>
      <c r="M13" s="284">
        <f>L13*70%</f>
        <v>84000000</v>
      </c>
      <c r="N13" s="284">
        <v>124000000</v>
      </c>
      <c r="O13" s="284">
        <v>144000000</v>
      </c>
      <c r="P13" s="284">
        <f t="shared" si="0"/>
        <v>20000000</v>
      </c>
    </row>
    <row r="14" spans="1:16" ht="29.1" customHeight="1">
      <c r="A14" s="284" t="s">
        <v>270</v>
      </c>
      <c r="B14" s="284" t="s">
        <v>163</v>
      </c>
      <c r="C14" s="284"/>
      <c r="D14" s="284"/>
      <c r="E14" s="284"/>
      <c r="F14" s="284"/>
      <c r="G14" s="284"/>
      <c r="H14" s="284"/>
      <c r="I14" s="284"/>
      <c r="J14" s="284"/>
      <c r="K14" s="284">
        <v>0</v>
      </c>
      <c r="L14" s="284">
        <v>145200000</v>
      </c>
      <c r="M14" s="284">
        <f>145200000*70%</f>
        <v>101640000</v>
      </c>
      <c r="N14" s="284">
        <f>145200000*70%</f>
        <v>101640000</v>
      </c>
      <c r="O14" s="284">
        <v>36000000</v>
      </c>
      <c r="P14" s="284">
        <f t="shared" si="0"/>
        <v>-65640000</v>
      </c>
    </row>
    <row r="15" spans="1:16" ht="29.1" customHeight="1">
      <c r="A15" s="284" t="s">
        <v>271</v>
      </c>
      <c r="B15" s="284" t="s">
        <v>154</v>
      </c>
      <c r="C15" s="335"/>
      <c r="D15" s="284">
        <v>0</v>
      </c>
      <c r="E15" s="284">
        <v>0</v>
      </c>
      <c r="F15" s="284">
        <v>0</v>
      </c>
      <c r="G15" s="284">
        <v>0</v>
      </c>
      <c r="H15" s="284">
        <v>20000000</v>
      </c>
      <c r="I15" s="284">
        <v>0</v>
      </c>
      <c r="J15" s="284">
        <v>65000000</v>
      </c>
      <c r="K15" s="284">
        <v>148960000</v>
      </c>
      <c r="L15" s="284">
        <v>75000000</v>
      </c>
      <c r="M15" s="284">
        <f>75000000*70%</f>
        <v>52500000</v>
      </c>
      <c r="N15" s="284">
        <v>0</v>
      </c>
      <c r="O15" s="284">
        <v>0</v>
      </c>
      <c r="P15" s="284">
        <f t="shared" si="0"/>
        <v>0</v>
      </c>
    </row>
    <row r="16" spans="1:16" ht="29.1" customHeight="1">
      <c r="A16" s="284" t="s">
        <v>272</v>
      </c>
      <c r="B16" s="284" t="s">
        <v>54</v>
      </c>
      <c r="C16" s="335"/>
      <c r="D16" s="284"/>
      <c r="E16" s="284"/>
      <c r="F16" s="284"/>
      <c r="G16" s="284"/>
      <c r="H16" s="284"/>
      <c r="I16" s="284"/>
      <c r="J16" s="284"/>
      <c r="K16" s="284">
        <v>30000000</v>
      </c>
      <c r="L16" s="284">
        <v>64688000</v>
      </c>
      <c r="M16" s="284">
        <v>45281600</v>
      </c>
      <c r="N16" s="284">
        <f>M16*70%</f>
        <v>31697119.999999996</v>
      </c>
      <c r="O16" s="284">
        <f>N16</f>
        <v>31697119.999999996</v>
      </c>
      <c r="P16" s="284">
        <f t="shared" si="0"/>
        <v>0</v>
      </c>
    </row>
    <row r="17" spans="1:16" ht="29.1" customHeight="1">
      <c r="A17" s="284" t="s">
        <v>274</v>
      </c>
      <c r="B17" s="284" t="s">
        <v>164</v>
      </c>
      <c r="C17" s="335"/>
      <c r="D17" s="284"/>
      <c r="E17" s="284"/>
      <c r="F17" s="284"/>
      <c r="G17" s="284"/>
      <c r="H17" s="284">
        <v>0</v>
      </c>
      <c r="I17" s="284">
        <v>7448000</v>
      </c>
      <c r="J17" s="284">
        <v>12000000</v>
      </c>
      <c r="K17" s="292">
        <f>SUM(K8:K16)</f>
        <v>453551597</v>
      </c>
      <c r="L17" s="284">
        <v>15000000</v>
      </c>
      <c r="M17" s="284">
        <f>15000000*70%</f>
        <v>10500000</v>
      </c>
      <c r="N17" s="284">
        <f>15000000*70%</f>
        <v>10500000</v>
      </c>
      <c r="O17" s="284">
        <f>15000000*70%</f>
        <v>10500000</v>
      </c>
      <c r="P17" s="284">
        <f t="shared" si="0"/>
        <v>0</v>
      </c>
    </row>
    <row r="18" spans="1:16" ht="29.1" customHeight="1">
      <c r="A18" s="284" t="s">
        <v>275</v>
      </c>
      <c r="B18" s="284" t="s">
        <v>40</v>
      </c>
      <c r="C18" s="335"/>
      <c r="D18" s="284">
        <v>0</v>
      </c>
      <c r="E18" s="284">
        <v>0</v>
      </c>
      <c r="F18" s="284">
        <v>0</v>
      </c>
      <c r="G18" s="284">
        <v>4000000</v>
      </c>
      <c r="H18" s="284">
        <v>15000000</v>
      </c>
      <c r="I18" s="284">
        <v>18620000</v>
      </c>
      <c r="J18" s="284">
        <v>40000000</v>
      </c>
      <c r="K18" s="284"/>
      <c r="L18" s="284">
        <v>70000000</v>
      </c>
      <c r="M18" s="284">
        <v>49000000</v>
      </c>
      <c r="N18" s="284">
        <v>89000000</v>
      </c>
      <c r="O18" s="284">
        <v>119000000</v>
      </c>
      <c r="P18" s="284">
        <f t="shared" si="0"/>
        <v>30000000</v>
      </c>
    </row>
    <row r="19" spans="1:16" ht="29.1" customHeight="1">
      <c r="A19" s="284" t="s">
        <v>1162</v>
      </c>
      <c r="B19" s="284" t="s">
        <v>740</v>
      </c>
      <c r="C19" s="335"/>
      <c r="D19" s="284"/>
      <c r="E19" s="284"/>
      <c r="F19" s="284"/>
      <c r="G19" s="284"/>
      <c r="H19" s="284"/>
      <c r="I19" s="284"/>
      <c r="J19" s="284"/>
      <c r="K19" s="284"/>
      <c r="L19" s="284"/>
      <c r="M19" s="284">
        <v>0</v>
      </c>
      <c r="N19" s="284">
        <v>120000000</v>
      </c>
      <c r="O19" s="284">
        <v>140000000</v>
      </c>
      <c r="P19" s="284">
        <f t="shared" si="0"/>
        <v>20000000</v>
      </c>
    </row>
    <row r="20" spans="1:16" ht="29.1" customHeight="1">
      <c r="A20" s="284" t="s">
        <v>350</v>
      </c>
      <c r="B20" s="284" t="s">
        <v>351</v>
      </c>
      <c r="C20" s="335"/>
      <c r="D20" s="284"/>
      <c r="E20" s="284"/>
      <c r="F20" s="284"/>
      <c r="G20" s="284"/>
      <c r="H20" s="284"/>
      <c r="I20" s="284"/>
      <c r="J20" s="284"/>
      <c r="K20" s="284"/>
      <c r="L20" s="284">
        <v>25000000</v>
      </c>
      <c r="M20" s="284">
        <f>25000000*70%</f>
        <v>17500000</v>
      </c>
      <c r="N20" s="284">
        <v>0</v>
      </c>
      <c r="O20" s="284">
        <v>0</v>
      </c>
      <c r="P20" s="284">
        <f t="shared" si="0"/>
        <v>0</v>
      </c>
    </row>
    <row r="21" spans="1:16" ht="29.1" customHeight="1">
      <c r="A21" s="284" t="s">
        <v>277</v>
      </c>
      <c r="B21" s="284" t="s">
        <v>218</v>
      </c>
      <c r="C21" s="284"/>
      <c r="D21" s="284"/>
      <c r="E21" s="284"/>
      <c r="F21" s="284"/>
      <c r="G21" s="284"/>
      <c r="H21" s="284"/>
      <c r="I21" s="284"/>
      <c r="J21" s="284"/>
      <c r="K21" s="284">
        <v>111900000</v>
      </c>
      <c r="L21" s="284">
        <v>150000000</v>
      </c>
      <c r="M21" s="284">
        <f>150000000*70%</f>
        <v>105000000</v>
      </c>
      <c r="N21" s="284">
        <v>0</v>
      </c>
      <c r="O21" s="284">
        <v>0</v>
      </c>
      <c r="P21" s="284">
        <f t="shared" si="0"/>
        <v>0</v>
      </c>
    </row>
    <row r="22" spans="1:16" ht="29.1" customHeight="1">
      <c r="A22" s="284" t="s">
        <v>276</v>
      </c>
      <c r="B22" s="284" t="s">
        <v>339</v>
      </c>
      <c r="C22" s="284">
        <v>3759996</v>
      </c>
      <c r="D22" s="284">
        <v>8044000</v>
      </c>
      <c r="E22" s="284">
        <v>8044000</v>
      </c>
      <c r="F22" s="284">
        <v>8044000</v>
      </c>
      <c r="G22" s="284">
        <v>12800000</v>
      </c>
      <c r="H22" s="284">
        <v>40000000</v>
      </c>
      <c r="I22" s="284">
        <v>44688000</v>
      </c>
      <c r="J22" s="284">
        <v>70000000</v>
      </c>
      <c r="K22" s="284">
        <v>26812800</v>
      </c>
      <c r="L22" s="284">
        <v>15000000</v>
      </c>
      <c r="M22" s="284">
        <f>15000000*70%</f>
        <v>10500000</v>
      </c>
      <c r="N22" s="284">
        <f>M22*70%</f>
        <v>7349999.9999999991</v>
      </c>
      <c r="O22" s="284">
        <f>N22</f>
        <v>7349999.9999999991</v>
      </c>
      <c r="P22" s="284">
        <f t="shared" si="0"/>
        <v>0</v>
      </c>
    </row>
    <row r="23" spans="1:16" ht="29.1" customHeight="1">
      <c r="A23" s="284" t="s">
        <v>335</v>
      </c>
      <c r="B23" s="284" t="s">
        <v>341</v>
      </c>
      <c r="C23" s="284"/>
      <c r="D23" s="284">
        <v>0</v>
      </c>
      <c r="E23" s="284">
        <v>0</v>
      </c>
      <c r="F23" s="284">
        <v>10000000</v>
      </c>
      <c r="G23" s="284">
        <v>0</v>
      </c>
      <c r="H23" s="284">
        <v>15000000</v>
      </c>
      <c r="I23" s="284">
        <v>18620000</v>
      </c>
      <c r="J23" s="284">
        <v>20000000</v>
      </c>
      <c r="K23" s="284">
        <v>59584000</v>
      </c>
      <c r="L23" s="284">
        <v>45000000</v>
      </c>
      <c r="M23" s="284">
        <f>45000000*70%</f>
        <v>31499999.999999996</v>
      </c>
      <c r="N23" s="284">
        <f>45000000*70%</f>
        <v>31499999.999999996</v>
      </c>
      <c r="O23" s="284">
        <f>45000000*70%</f>
        <v>31499999.999999996</v>
      </c>
      <c r="P23" s="284">
        <f t="shared" si="0"/>
        <v>0</v>
      </c>
    </row>
    <row r="24" spans="1:16" s="387" customFormat="1" ht="29.1" customHeight="1">
      <c r="A24" s="292"/>
      <c r="B24" s="292" t="s">
        <v>119</v>
      </c>
      <c r="C24" s="292">
        <f>SUM(C22:C22)</f>
        <v>3759996</v>
      </c>
      <c r="D24" s="292">
        <f>SUM(D22:D22)</f>
        <v>8044000</v>
      </c>
      <c r="E24" s="292">
        <f t="shared" ref="E24:J24" si="2">SUM(E22:E23)</f>
        <v>8044000</v>
      </c>
      <c r="F24" s="292">
        <f t="shared" si="2"/>
        <v>18044000</v>
      </c>
      <c r="G24" s="292">
        <f t="shared" si="2"/>
        <v>12800000</v>
      </c>
      <c r="H24" s="292">
        <f t="shared" si="2"/>
        <v>55000000</v>
      </c>
      <c r="I24" s="292">
        <f t="shared" si="2"/>
        <v>63308000</v>
      </c>
      <c r="J24" s="292">
        <f t="shared" si="2"/>
        <v>90000000</v>
      </c>
      <c r="K24" s="292"/>
      <c r="L24" s="292">
        <f>SUM(L11:L23)</f>
        <v>773404000</v>
      </c>
      <c r="M24" s="292">
        <f>SUM(M11:M23)</f>
        <v>541382800</v>
      </c>
      <c r="N24" s="292">
        <f>SUM(N11:N23)</f>
        <v>549648320</v>
      </c>
      <c r="O24" s="292">
        <f>SUM(O11:O23)</f>
        <v>554008320</v>
      </c>
      <c r="P24" s="292">
        <f t="shared" si="0"/>
        <v>4360000</v>
      </c>
    </row>
    <row r="25" spans="1:16" ht="29.1" customHeight="1">
      <c r="A25" s="292" t="s">
        <v>279</v>
      </c>
      <c r="B25" s="292" t="s">
        <v>278</v>
      </c>
      <c r="C25" s="284"/>
      <c r="D25" s="284"/>
      <c r="E25" s="284">
        <v>0</v>
      </c>
      <c r="F25" s="284">
        <v>0</v>
      </c>
      <c r="G25" s="284"/>
      <c r="H25" s="284"/>
      <c r="I25" s="284"/>
      <c r="J25" s="284"/>
      <c r="K25" s="284"/>
      <c r="L25" s="284"/>
      <c r="M25" s="284"/>
      <c r="N25" s="284"/>
      <c r="O25" s="284"/>
      <c r="P25" s="284">
        <f t="shared" si="0"/>
        <v>0</v>
      </c>
    </row>
    <row r="26" spans="1:16" ht="29.1" customHeight="1">
      <c r="A26" s="284" t="s">
        <v>281</v>
      </c>
      <c r="B26" s="284" t="s">
        <v>161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348700000</v>
      </c>
      <c r="M26" s="284">
        <v>243670000</v>
      </c>
      <c r="N26" s="284">
        <f>M26*80%</f>
        <v>194936000</v>
      </c>
      <c r="O26" s="284">
        <v>200000000</v>
      </c>
      <c r="P26" s="284">
        <f t="shared" si="0"/>
        <v>5064000</v>
      </c>
    </row>
    <row r="27" spans="1:16" ht="29.1" customHeight="1">
      <c r="A27" s="284" t="s">
        <v>282</v>
      </c>
      <c r="B27" s="284" t="s">
        <v>155</v>
      </c>
      <c r="C27" s="284"/>
      <c r="D27" s="284">
        <v>0</v>
      </c>
      <c r="E27" s="284">
        <v>2800000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7448000</v>
      </c>
      <c r="L27" s="284">
        <v>40000000</v>
      </c>
      <c r="M27" s="284">
        <v>28000000</v>
      </c>
      <c r="N27" s="284">
        <v>28000000</v>
      </c>
      <c r="O27" s="284">
        <v>48000000</v>
      </c>
      <c r="P27" s="284">
        <f t="shared" si="0"/>
        <v>20000000</v>
      </c>
    </row>
    <row r="28" spans="1:16" ht="29.1" customHeight="1">
      <c r="A28" s="284" t="s">
        <v>283</v>
      </c>
      <c r="B28" s="284" t="s">
        <v>156</v>
      </c>
      <c r="C28" s="284">
        <v>11463969</v>
      </c>
      <c r="D28" s="284">
        <v>8800000</v>
      </c>
      <c r="E28" s="284">
        <v>8800000</v>
      </c>
      <c r="F28" s="284">
        <v>15576760</v>
      </c>
      <c r="G28" s="284">
        <v>19558400</v>
      </c>
      <c r="H28" s="284">
        <v>30000000</v>
      </c>
      <c r="I28" s="284">
        <v>42167597</v>
      </c>
      <c r="J28" s="284">
        <v>60000000</v>
      </c>
      <c r="K28" s="284">
        <v>18620000</v>
      </c>
      <c r="L28" s="284">
        <v>59584000</v>
      </c>
      <c r="M28" s="284">
        <f>59584000*70%</f>
        <v>41708800</v>
      </c>
      <c r="N28" s="284">
        <f>59584000*70%</f>
        <v>41708800</v>
      </c>
      <c r="O28" s="284">
        <f>59584000*70%</f>
        <v>41708800</v>
      </c>
      <c r="P28" s="284">
        <f t="shared" si="0"/>
        <v>0</v>
      </c>
    </row>
    <row r="29" spans="1:16" ht="29.1" customHeight="1">
      <c r="A29" s="284" t="s">
        <v>298</v>
      </c>
      <c r="B29" s="284" t="s">
        <v>352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>
        <v>40000000</v>
      </c>
      <c r="M29" s="284">
        <f>40000000*70%</f>
        <v>28000000</v>
      </c>
      <c r="N29" s="284">
        <v>0</v>
      </c>
      <c r="O29" s="284">
        <v>0</v>
      </c>
      <c r="P29" s="284">
        <f t="shared" si="0"/>
        <v>0</v>
      </c>
    </row>
    <row r="30" spans="1:16" ht="29.1" customHeight="1">
      <c r="A30" s="284"/>
      <c r="B30" s="292" t="s">
        <v>119</v>
      </c>
      <c r="C30" s="284">
        <v>1074000</v>
      </c>
      <c r="D30" s="284">
        <v>4220000</v>
      </c>
      <c r="E30" s="284">
        <v>4220000</v>
      </c>
      <c r="F30" s="284">
        <v>4220000</v>
      </c>
      <c r="G30" s="284">
        <v>6400000</v>
      </c>
      <c r="H30" s="284">
        <v>18000000</v>
      </c>
      <c r="I30" s="284">
        <v>44688000</v>
      </c>
      <c r="J30" s="284">
        <v>78000000</v>
      </c>
      <c r="K30" s="284">
        <v>0</v>
      </c>
      <c r="L30" s="292">
        <f>SUM(L26:L29)</f>
        <v>488284000</v>
      </c>
      <c r="M30" s="292">
        <f>SUM(M26:M29)</f>
        <v>341378800</v>
      </c>
      <c r="N30" s="292">
        <f>SUM(N26:N29)</f>
        <v>264644800</v>
      </c>
      <c r="O30" s="292">
        <f>SUM(O26:O29)</f>
        <v>289708800</v>
      </c>
      <c r="P30" s="292">
        <f t="shared" si="0"/>
        <v>25064000</v>
      </c>
    </row>
    <row r="31" spans="1:16" ht="29.1" customHeight="1">
      <c r="A31" s="292" t="s">
        <v>285</v>
      </c>
      <c r="B31" s="292" t="s">
        <v>158</v>
      </c>
      <c r="C31" s="284"/>
      <c r="D31" s="284">
        <v>0</v>
      </c>
      <c r="E31" s="284">
        <v>5000000</v>
      </c>
      <c r="F31" s="284">
        <v>5000000</v>
      </c>
      <c r="G31" s="284">
        <v>8000000</v>
      </c>
      <c r="H31" s="284">
        <v>10000000</v>
      </c>
      <c r="I31" s="284">
        <v>7448000</v>
      </c>
      <c r="J31" s="284">
        <v>15000000</v>
      </c>
      <c r="K31" s="284">
        <v>0</v>
      </c>
      <c r="L31" s="284"/>
      <c r="M31" s="284"/>
      <c r="N31" s="284"/>
      <c r="O31" s="284"/>
      <c r="P31" s="284">
        <f t="shared" si="0"/>
        <v>0</v>
      </c>
    </row>
    <row r="32" spans="1:16" s="387" customFormat="1" ht="29.1" customHeight="1">
      <c r="A32" s="284" t="s">
        <v>286</v>
      </c>
      <c r="B32" s="284" t="s">
        <v>55</v>
      </c>
      <c r="C32" s="292">
        <f>SUM(C26:C31)</f>
        <v>12537969</v>
      </c>
      <c r="D32" s="292">
        <f>SUM(D26:D31)</f>
        <v>13020000</v>
      </c>
      <c r="E32" s="292">
        <f>SUM(E25:E31)</f>
        <v>20820000</v>
      </c>
      <c r="F32" s="292">
        <f>SUM(F25:F31)</f>
        <v>24796760</v>
      </c>
      <c r="G32" s="292">
        <f>SUM(G26:G31)</f>
        <v>33958400</v>
      </c>
      <c r="H32" s="292">
        <f>SUM(H26:H31)</f>
        <v>58000000</v>
      </c>
      <c r="I32" s="292">
        <f>SUM(I26:I31)</f>
        <v>94303597</v>
      </c>
      <c r="J32" s="292">
        <f>SUM(J26:J31)</f>
        <v>153000000</v>
      </c>
      <c r="K32" s="292">
        <f>SUM(K30:K31)</f>
        <v>0</v>
      </c>
      <c r="L32" s="284">
        <v>55000000</v>
      </c>
      <c r="M32" s="284">
        <v>38500000</v>
      </c>
      <c r="N32" s="284">
        <v>38500000</v>
      </c>
      <c r="O32" s="284">
        <v>38500000</v>
      </c>
      <c r="P32" s="284">
        <f t="shared" si="0"/>
        <v>0</v>
      </c>
    </row>
    <row r="33" spans="1:16" s="387" customFormat="1" ht="29.1" customHeight="1">
      <c r="A33" s="284" t="s">
        <v>288</v>
      </c>
      <c r="B33" s="284" t="s">
        <v>287</v>
      </c>
      <c r="C33" s="379"/>
      <c r="D33" s="379"/>
      <c r="E33" s="379"/>
      <c r="F33" s="379"/>
      <c r="G33" s="379"/>
      <c r="H33" s="379"/>
      <c r="I33" s="379"/>
      <c r="J33" s="379"/>
      <c r="K33" s="379"/>
      <c r="L33" s="284">
        <v>0</v>
      </c>
      <c r="M33" s="284">
        <v>0</v>
      </c>
      <c r="N33" s="284">
        <v>0</v>
      </c>
      <c r="O33" s="284">
        <v>0</v>
      </c>
      <c r="P33" s="284">
        <f t="shared" si="0"/>
        <v>0</v>
      </c>
    </row>
    <row r="34" spans="1:16" s="387" customFormat="1" ht="29.1" customHeight="1">
      <c r="A34" s="284" t="s">
        <v>289</v>
      </c>
      <c r="B34" s="284" t="s">
        <v>595</v>
      </c>
      <c r="C34" s="379"/>
      <c r="D34" s="379"/>
      <c r="E34" s="379"/>
      <c r="F34" s="379"/>
      <c r="G34" s="379"/>
      <c r="H34" s="379"/>
      <c r="I34" s="379"/>
      <c r="J34" s="379"/>
      <c r="K34" s="379"/>
      <c r="L34" s="360">
        <v>0</v>
      </c>
      <c r="M34" s="360">
        <v>0</v>
      </c>
      <c r="N34" s="284">
        <v>0</v>
      </c>
      <c r="O34" s="284">
        <v>0</v>
      </c>
      <c r="P34" s="284">
        <f t="shared" si="0"/>
        <v>0</v>
      </c>
    </row>
    <row r="35" spans="1:16" ht="29.1" customHeight="1">
      <c r="A35" s="284"/>
      <c r="B35" s="292" t="s">
        <v>119</v>
      </c>
      <c r="C35" s="379"/>
      <c r="D35" s="379"/>
      <c r="E35" s="379"/>
      <c r="F35" s="379">
        <v>378957227</v>
      </c>
      <c r="G35" s="379"/>
      <c r="H35" s="379"/>
      <c r="I35" s="379"/>
      <c r="J35" s="379"/>
      <c r="K35" s="379"/>
      <c r="L35" s="361">
        <f>SUM(L32:L34)</f>
        <v>55000000</v>
      </c>
      <c r="M35" s="361">
        <f>SUM(M32:M34)</f>
        <v>38500000</v>
      </c>
      <c r="N35" s="292">
        <f>SUM(N32:N34)</f>
        <v>38500000</v>
      </c>
      <c r="O35" s="292">
        <f>SUM(O32:O34)</f>
        <v>38500000</v>
      </c>
      <c r="P35" s="292">
        <f t="shared" si="0"/>
        <v>0</v>
      </c>
    </row>
    <row r="36" spans="1:16" ht="29.1" customHeight="1">
      <c r="A36" s="292" t="s">
        <v>293</v>
      </c>
      <c r="B36" s="292" t="s">
        <v>292</v>
      </c>
      <c r="C36" s="379"/>
      <c r="D36" s="379"/>
      <c r="E36" s="379"/>
      <c r="F36" s="467" t="e">
        <f>F35+#REF!</f>
        <v>#REF!</v>
      </c>
      <c r="G36" s="467"/>
      <c r="H36" s="467"/>
      <c r="I36" s="467"/>
      <c r="J36" s="467"/>
      <c r="K36" s="467"/>
      <c r="L36" s="358"/>
      <c r="M36" s="358"/>
      <c r="N36" s="284"/>
      <c r="O36" s="284"/>
      <c r="P36" s="284">
        <f t="shared" si="0"/>
        <v>0</v>
      </c>
    </row>
    <row r="37" spans="1:16" ht="29.1" customHeight="1">
      <c r="A37" s="292" t="s">
        <v>294</v>
      </c>
      <c r="B37" s="292" t="s">
        <v>291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60"/>
      <c r="M37" s="360"/>
      <c r="N37" s="284"/>
      <c r="O37" s="284"/>
      <c r="P37" s="284">
        <f t="shared" si="0"/>
        <v>0</v>
      </c>
    </row>
    <row r="38" spans="1:16" ht="29.1" customHeight="1">
      <c r="A38" s="284" t="s">
        <v>389</v>
      </c>
      <c r="B38" s="284" t="s">
        <v>346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60">
        <v>15000000</v>
      </c>
      <c r="M38" s="360">
        <f>15000000*70%</f>
        <v>10500000</v>
      </c>
      <c r="N38" s="284">
        <v>0</v>
      </c>
      <c r="O38" s="284">
        <v>0</v>
      </c>
      <c r="P38" s="284">
        <f t="shared" si="0"/>
        <v>0</v>
      </c>
    </row>
    <row r="39" spans="1:16" ht="29.1" customHeight="1">
      <c r="A39" s="284" t="s">
        <v>388</v>
      </c>
      <c r="B39" s="284" t="s">
        <v>347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60">
        <v>0</v>
      </c>
      <c r="M39" s="360">
        <v>0</v>
      </c>
      <c r="N39" s="284">
        <v>0</v>
      </c>
      <c r="O39" s="284">
        <v>84000000</v>
      </c>
      <c r="P39" s="284">
        <f t="shared" si="0"/>
        <v>84000000</v>
      </c>
    </row>
    <row r="40" spans="1:16" ht="29.1" customHeight="1">
      <c r="A40" s="284" t="s">
        <v>295</v>
      </c>
      <c r="B40" s="284" t="s">
        <v>176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60">
        <v>24000000</v>
      </c>
      <c r="M40" s="360">
        <v>8000000</v>
      </c>
      <c r="N40" s="284">
        <v>0</v>
      </c>
      <c r="O40" s="284">
        <v>0</v>
      </c>
      <c r="P40" s="284">
        <f t="shared" si="0"/>
        <v>0</v>
      </c>
    </row>
    <row r="41" spans="1:16" ht="29.1" customHeight="1">
      <c r="A41" s="284" t="s">
        <v>296</v>
      </c>
      <c r="B41" s="284" t="s">
        <v>177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60">
        <v>6380000</v>
      </c>
      <c r="M41" s="360">
        <v>0</v>
      </c>
      <c r="N41" s="284">
        <v>0</v>
      </c>
      <c r="O41" s="284">
        <v>0</v>
      </c>
      <c r="P41" s="284">
        <f t="shared" si="0"/>
        <v>0</v>
      </c>
    </row>
    <row r="42" spans="1:16" ht="29.1" customHeight="1">
      <c r="A42" s="284" t="s">
        <v>348</v>
      </c>
      <c r="B42" s="284" t="s">
        <v>349</v>
      </c>
      <c r="C42" s="379"/>
      <c r="D42" s="379"/>
      <c r="E42" s="379"/>
      <c r="F42" s="379"/>
      <c r="G42" s="379"/>
      <c r="H42" s="379"/>
      <c r="I42" s="379"/>
      <c r="J42" s="379"/>
      <c r="K42" s="379"/>
      <c r="L42" s="360">
        <v>5000000</v>
      </c>
      <c r="M42" s="360">
        <v>0</v>
      </c>
      <c r="N42" s="284">
        <v>0</v>
      </c>
      <c r="O42" s="284">
        <v>0</v>
      </c>
      <c r="P42" s="284">
        <f t="shared" si="0"/>
        <v>0</v>
      </c>
    </row>
    <row r="43" spans="1:16" ht="29.1" customHeight="1">
      <c r="A43" s="284"/>
      <c r="B43" s="292" t="s">
        <v>119</v>
      </c>
      <c r="C43" s="379"/>
      <c r="D43" s="379"/>
      <c r="E43" s="379"/>
      <c r="F43" s="379"/>
      <c r="G43" s="379"/>
      <c r="H43" s="379"/>
      <c r="I43" s="379"/>
      <c r="J43" s="379"/>
      <c r="K43" s="379"/>
      <c r="L43" s="383">
        <f>SUM(L38:L42)</f>
        <v>50380000</v>
      </c>
      <c r="M43" s="383">
        <f>SUM(M38:M42)</f>
        <v>18500000</v>
      </c>
      <c r="N43" s="292">
        <f>SUM(N38:N42)</f>
        <v>0</v>
      </c>
      <c r="O43" s="292">
        <f>SUM(O38:O42)</f>
        <v>84000000</v>
      </c>
      <c r="P43" s="292">
        <f t="shared" si="0"/>
        <v>84000000</v>
      </c>
    </row>
    <row r="44" spans="1:16" ht="29.1" customHeight="1">
      <c r="A44" s="284"/>
      <c r="B44" s="292" t="s">
        <v>42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83">
        <f>L43+L35+L30+L24+L8</f>
        <v>1775580400</v>
      </c>
      <c r="M44" s="383">
        <f>M43+M35+M30+M24+M8</f>
        <v>1702966400</v>
      </c>
      <c r="N44" s="292">
        <f>N43+N35+N30+N24+N8</f>
        <v>1694840320</v>
      </c>
      <c r="O44" s="292">
        <f>O43+O35+O30+O24+O8</f>
        <v>2253987520</v>
      </c>
      <c r="P44" s="292">
        <f t="shared" si="0"/>
        <v>559147200</v>
      </c>
    </row>
    <row r="45" spans="1:16" ht="27" customHeight="1">
      <c r="L45" s="591"/>
    </row>
    <row r="46" spans="1:16" ht="27" customHeight="1">
      <c r="L46" s="592"/>
    </row>
  </sheetData>
  <phoneticPr fontId="0" type="noConversion"/>
  <printOptions gridLines="1"/>
  <pageMargins left="0.64" right="0.25" top="0.53" bottom="0.57999999999999996" header="0.17" footer="0.27"/>
  <pageSetup scale="55" orientation="portrait" r:id="rId1"/>
  <headerFooter alignWithMargins="0">
    <oddHeader xml:space="preserve">&amp;C&amp;"Arial Narrow,Bold"&amp;28Wasaaradda Qorshaynta Qaranka.
</oddHeader>
    <oddFooter>&amp;R&amp;"Times New Roman,Bold"&amp;14 27</oddFooter>
  </headerFooter>
  <ignoredErrors>
    <ignoredError sqref="J13" formulaRange="1"/>
  </ignoredError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="60" workbookViewId="0">
      <selection sqref="A1:XFD1048576"/>
    </sheetView>
  </sheetViews>
  <sheetFormatPr defaultRowHeight="21" customHeight="1"/>
  <cols>
    <col min="1" max="1" width="17.5" style="386" bestFit="1" customWidth="1"/>
    <col min="2" max="2" width="94" style="386" customWidth="1"/>
    <col min="3" max="3" width="0.1640625" style="386" hidden="1" customWidth="1"/>
    <col min="4" max="10" width="9.33203125" style="386" hidden="1" customWidth="1"/>
    <col min="11" max="11" width="1.1640625" style="386" hidden="1" customWidth="1"/>
    <col min="12" max="13" width="28.5" style="386" hidden="1" customWidth="1"/>
    <col min="14" max="14" width="28.5" style="386" bestFit="1" customWidth="1"/>
    <col min="15" max="15" width="28.5" style="386" customWidth="1"/>
    <col min="16" max="16" width="31" style="386" bestFit="1" customWidth="1"/>
    <col min="17" max="16384" width="9.33203125" style="386"/>
  </cols>
  <sheetData>
    <row r="1" spans="1:16" s="466" customFormat="1" ht="19.5" customHeight="1">
      <c r="A1" s="593" t="s">
        <v>45</v>
      </c>
      <c r="B1" s="594">
        <v>15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</row>
    <row r="2" spans="1:16" s="466" customFormat="1" ht="19.5" customHeight="1">
      <c r="A2" s="593" t="s">
        <v>28</v>
      </c>
      <c r="B2" s="593" t="s">
        <v>29</v>
      </c>
      <c r="C2" s="593" t="s">
        <v>43</v>
      </c>
      <c r="D2" s="595" t="s">
        <v>2</v>
      </c>
      <c r="E2" s="595" t="s">
        <v>48</v>
      </c>
      <c r="F2" s="595" t="s">
        <v>52</v>
      </c>
      <c r="G2" s="595" t="s">
        <v>62</v>
      </c>
      <c r="H2" s="595" t="s">
        <v>69</v>
      </c>
      <c r="I2" s="595" t="s">
        <v>130</v>
      </c>
      <c r="J2" s="595" t="s">
        <v>135</v>
      </c>
      <c r="K2" s="595" t="s">
        <v>143</v>
      </c>
      <c r="L2" s="595" t="s">
        <v>166</v>
      </c>
      <c r="M2" s="595" t="s">
        <v>297</v>
      </c>
      <c r="N2" s="595" t="s">
        <v>641</v>
      </c>
      <c r="O2" s="595" t="s">
        <v>1111</v>
      </c>
      <c r="P2" s="595" t="s">
        <v>63</v>
      </c>
    </row>
    <row r="3" spans="1:16" s="466" customFormat="1" ht="19.5" customHeight="1">
      <c r="A3" s="346" t="s">
        <v>248</v>
      </c>
      <c r="B3" s="346" t="s">
        <v>165</v>
      </c>
      <c r="C3" s="593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s="466" customFormat="1" ht="19.5" customHeight="1">
      <c r="A4" s="346" t="s">
        <v>249</v>
      </c>
      <c r="B4" s="346" t="s">
        <v>250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</row>
    <row r="5" spans="1:16" s="466" customFormat="1" ht="19.5" customHeight="1">
      <c r="A5" s="295" t="s">
        <v>247</v>
      </c>
      <c r="B5" s="295" t="s">
        <v>32</v>
      </c>
      <c r="C5" s="295">
        <v>854415660</v>
      </c>
      <c r="D5" s="295">
        <v>1013164000</v>
      </c>
      <c r="E5" s="295">
        <v>1124508000</v>
      </c>
      <c r="F5" s="295">
        <v>1127304000</v>
      </c>
      <c r="G5" s="295">
        <f>1115808000+3912000</f>
        <v>1119720000</v>
      </c>
      <c r="H5" s="295">
        <f>1119720000+25536000</f>
        <v>1145256000</v>
      </c>
      <c r="I5" s="295">
        <f>1488832800+60839200</f>
        <v>1549672000</v>
      </c>
      <c r="J5" s="295">
        <v>1844010400</v>
      </c>
      <c r="K5" s="295">
        <f>1856281200+112600800-3198000</f>
        <v>1965684000</v>
      </c>
      <c r="L5" s="295">
        <f>2194309800+50000000</f>
        <v>2244309800</v>
      </c>
      <c r="M5" s="295">
        <f>'[2]shaq,3'!H29+72000000+279881720</f>
        <v>3676460120</v>
      </c>
      <c r="N5" s="295">
        <v>4240454400</v>
      </c>
      <c r="O5" s="295">
        <v>6327110400</v>
      </c>
      <c r="P5" s="295">
        <f>O5-N5</f>
        <v>2086656000</v>
      </c>
    </row>
    <row r="6" spans="1:16" s="466" customFormat="1" ht="19.5" customHeight="1">
      <c r="A6" s="295" t="s">
        <v>251</v>
      </c>
      <c r="B6" s="295" t="s">
        <v>902</v>
      </c>
      <c r="C6" s="295">
        <v>19094340</v>
      </c>
      <c r="D6" s="295">
        <v>13000000</v>
      </c>
      <c r="E6" s="295">
        <v>21600000</v>
      </c>
      <c r="F6" s="295">
        <v>45756000</v>
      </c>
      <c r="G6" s="295">
        <f>45756000+15000000+16800000</f>
        <v>77556000</v>
      </c>
      <c r="H6" s="295">
        <f>45756000+15000000+16800000</f>
        <v>77556000</v>
      </c>
      <c r="I6" s="295">
        <v>77556000</v>
      </c>
      <c r="J6" s="295">
        <v>77556000</v>
      </c>
      <c r="K6" s="295">
        <v>77556000</v>
      </c>
      <c r="L6" s="295">
        <f>127556000-50000000</f>
        <v>77556000</v>
      </c>
      <c r="M6" s="295">
        <f>L6+21*423800*12+74*345800*12+2*266500+10*156000*12</f>
        <v>510677000</v>
      </c>
      <c r="N6" s="295">
        <v>1898400000</v>
      </c>
      <c r="O6" s="295">
        <v>629400000</v>
      </c>
      <c r="P6" s="295">
        <f t="shared" ref="P6:P67" si="0">O6-N6</f>
        <v>-1269000000</v>
      </c>
    </row>
    <row r="7" spans="1:16" s="466" customFormat="1" ht="19.5" customHeight="1">
      <c r="A7" s="295" t="s">
        <v>252</v>
      </c>
      <c r="B7" s="295" t="s">
        <v>34</v>
      </c>
      <c r="C7" s="295">
        <v>18000000</v>
      </c>
      <c r="D7" s="295">
        <v>36576000</v>
      </c>
      <c r="E7" s="295">
        <v>36576000</v>
      </c>
      <c r="F7" s="295">
        <v>36576000</v>
      </c>
      <c r="G7" s="295">
        <v>64176000</v>
      </c>
      <c r="H7" s="295">
        <v>64176000</v>
      </c>
      <c r="I7" s="295">
        <v>64176000</v>
      </c>
      <c r="J7" s="295">
        <f>64176000+32400000+1440000</f>
        <v>98016000</v>
      </c>
      <c r="K7" s="295">
        <f>98016000+1440000+7920000+30000000</f>
        <v>137376000</v>
      </c>
      <c r="L7" s="295">
        <f>137376000+6000000</f>
        <v>143376000</v>
      </c>
      <c r="M7" s="295">
        <f>137376000+6000000</f>
        <v>143376000</v>
      </c>
      <c r="N7" s="295">
        <v>142800000</v>
      </c>
      <c r="O7" s="295">
        <v>291600000</v>
      </c>
      <c r="P7" s="295">
        <f t="shared" si="0"/>
        <v>148800000</v>
      </c>
    </row>
    <row r="8" spans="1:16" s="466" customFormat="1" ht="19.5" customHeight="1">
      <c r="A8" s="295" t="s">
        <v>254</v>
      </c>
      <c r="B8" s="295" t="s">
        <v>665</v>
      </c>
      <c r="C8" s="295">
        <v>0</v>
      </c>
      <c r="D8" s="295">
        <v>0</v>
      </c>
      <c r="E8" s="295">
        <v>0</v>
      </c>
      <c r="F8" s="295">
        <v>0</v>
      </c>
      <c r="G8" s="295">
        <v>0</v>
      </c>
      <c r="H8" s="295">
        <v>0</v>
      </c>
      <c r="I8" s="295">
        <v>0</v>
      </c>
      <c r="J8" s="295">
        <v>0</v>
      </c>
      <c r="K8" s="349">
        <f>2473400000+132000000</f>
        <v>2605400000</v>
      </c>
      <c r="L8" s="295">
        <v>2871200000</v>
      </c>
      <c r="M8" s="295">
        <f>4500000000+200000000</f>
        <v>4700000000</v>
      </c>
      <c r="N8" s="295">
        <v>10119600000</v>
      </c>
      <c r="O8" s="295">
        <v>15180000000</v>
      </c>
      <c r="P8" s="295">
        <f t="shared" si="0"/>
        <v>5060400000</v>
      </c>
    </row>
    <row r="9" spans="1:16" s="466" customFormat="1" ht="19.5" customHeight="1">
      <c r="A9" s="346" t="s">
        <v>255</v>
      </c>
      <c r="B9" s="346" t="s">
        <v>256</v>
      </c>
      <c r="C9" s="295">
        <v>148900000</v>
      </c>
      <c r="D9" s="295">
        <v>2000000</v>
      </c>
      <c r="E9" s="295">
        <v>0</v>
      </c>
      <c r="F9" s="295">
        <v>0</v>
      </c>
      <c r="G9" s="295">
        <v>2870000</v>
      </c>
      <c r="H9" s="295">
        <v>0</v>
      </c>
      <c r="I9" s="295">
        <v>0</v>
      </c>
      <c r="J9" s="295">
        <v>56990000</v>
      </c>
      <c r="K9" s="295">
        <v>0</v>
      </c>
      <c r="L9" s="295">
        <v>0</v>
      </c>
      <c r="M9" s="295">
        <v>0</v>
      </c>
      <c r="N9" s="295"/>
      <c r="O9" s="295"/>
      <c r="P9" s="295">
        <f t="shared" si="0"/>
        <v>0</v>
      </c>
    </row>
    <row r="10" spans="1:16" s="466" customFormat="1" ht="19.5" customHeight="1">
      <c r="A10" s="295" t="s">
        <v>259</v>
      </c>
      <c r="B10" s="295" t="s">
        <v>242</v>
      </c>
      <c r="C10" s="295">
        <v>42000000</v>
      </c>
      <c r="D10" s="295">
        <v>19000000</v>
      </c>
      <c r="E10" s="295">
        <v>21000000</v>
      </c>
      <c r="F10" s="295">
        <v>30000000</v>
      </c>
      <c r="G10" s="295">
        <v>50000000</v>
      </c>
      <c r="H10" s="295">
        <v>50000000</v>
      </c>
      <c r="I10" s="295">
        <v>50000000</v>
      </c>
      <c r="J10" s="295">
        <v>37500000</v>
      </c>
      <c r="K10" s="346">
        <f>SUM(K4:K9)</f>
        <v>4786016000</v>
      </c>
      <c r="L10" s="295">
        <v>94490000</v>
      </c>
      <c r="M10" s="295">
        <v>94490000</v>
      </c>
      <c r="N10" s="295"/>
      <c r="O10" s="295"/>
      <c r="P10" s="295">
        <f t="shared" si="0"/>
        <v>0</v>
      </c>
    </row>
    <row r="11" spans="1:16" s="466" customFormat="1" ht="19.5" customHeight="1">
      <c r="A11" s="295"/>
      <c r="B11" s="346" t="s">
        <v>119</v>
      </c>
      <c r="C11" s="295"/>
      <c r="D11" s="295"/>
      <c r="E11" s="295" t="s">
        <v>4</v>
      </c>
      <c r="F11" s="295" t="s">
        <v>4</v>
      </c>
      <c r="G11" s="295" t="s">
        <v>4</v>
      </c>
      <c r="H11" s="295" t="s">
        <v>4</v>
      </c>
      <c r="I11" s="295" t="s">
        <v>4</v>
      </c>
      <c r="J11" s="295"/>
      <c r="K11" s="295">
        <v>75075840</v>
      </c>
      <c r="L11" s="346">
        <f>SUM(L5:L10)</f>
        <v>5430931800</v>
      </c>
      <c r="M11" s="346">
        <f>SUM(M5:M10)</f>
        <v>9125003120</v>
      </c>
      <c r="N11" s="346">
        <f>SUM(N5:N10)</f>
        <v>16401254400</v>
      </c>
      <c r="O11" s="346">
        <f>SUM(O5:O10)</f>
        <v>22428110400</v>
      </c>
      <c r="P11" s="346">
        <f t="shared" si="0"/>
        <v>6026856000</v>
      </c>
    </row>
    <row r="12" spans="1:16" s="466" customFormat="1" ht="19.5" customHeight="1">
      <c r="A12" s="346" t="s">
        <v>262</v>
      </c>
      <c r="B12" s="346" t="s">
        <v>263</v>
      </c>
      <c r="C12" s="295">
        <v>46356000</v>
      </c>
      <c r="D12" s="295">
        <v>18000000</v>
      </c>
      <c r="E12" s="295">
        <v>0</v>
      </c>
      <c r="F12" s="295">
        <v>20000000</v>
      </c>
      <c r="G12" s="295">
        <v>32000000</v>
      </c>
      <c r="H12" s="295">
        <v>40000000</v>
      </c>
      <c r="I12" s="295">
        <v>29792000</v>
      </c>
      <c r="J12" s="295">
        <v>14896000</v>
      </c>
      <c r="K12" s="295">
        <v>14896000</v>
      </c>
      <c r="L12" s="295"/>
      <c r="M12" s="295"/>
      <c r="N12" s="295"/>
      <c r="O12" s="295"/>
      <c r="P12" s="295">
        <f t="shared" si="0"/>
        <v>0</v>
      </c>
    </row>
    <row r="13" spans="1:16" s="466" customFormat="1" ht="19.5" customHeight="1">
      <c r="A13" s="346" t="s">
        <v>265</v>
      </c>
      <c r="B13" s="346" t="s">
        <v>264</v>
      </c>
      <c r="C13" s="295">
        <v>270000000</v>
      </c>
      <c r="D13" s="295">
        <v>700000000</v>
      </c>
      <c r="E13" s="295">
        <v>850900000</v>
      </c>
      <c r="F13" s="295">
        <v>885527289</v>
      </c>
      <c r="G13" s="295">
        <v>855000000</v>
      </c>
      <c r="H13" s="295">
        <v>855000000</v>
      </c>
      <c r="I13" s="295">
        <v>855000000</v>
      </c>
      <c r="J13" s="295">
        <v>1381000000</v>
      </c>
      <c r="K13" s="295">
        <v>2000000000</v>
      </c>
      <c r="L13" s="295"/>
      <c r="M13" s="295"/>
      <c r="N13" s="295"/>
      <c r="O13" s="295"/>
      <c r="P13" s="295">
        <f t="shared" si="0"/>
        <v>0</v>
      </c>
    </row>
    <row r="14" spans="1:16" s="466" customFormat="1" ht="19.5" customHeight="1">
      <c r="A14" s="295" t="s">
        <v>266</v>
      </c>
      <c r="B14" s="295" t="s">
        <v>38</v>
      </c>
      <c r="C14" s="295">
        <v>103390300</v>
      </c>
      <c r="D14" s="295">
        <v>229000000</v>
      </c>
      <c r="E14" s="295">
        <v>229000000</v>
      </c>
      <c r="F14" s="295">
        <v>229000000</v>
      </c>
      <c r="G14" s="295">
        <v>151200000</v>
      </c>
      <c r="H14" s="295">
        <v>189000000</v>
      </c>
      <c r="I14" s="295">
        <v>189000000</v>
      </c>
      <c r="J14" s="295">
        <v>219441000</v>
      </c>
      <c r="K14" s="295">
        <v>109000000</v>
      </c>
      <c r="L14" s="295">
        <v>55000000</v>
      </c>
      <c r="M14" s="295">
        <f>96000000</f>
        <v>96000000</v>
      </c>
      <c r="N14" s="295">
        <v>219200000</v>
      </c>
      <c r="O14" s="295">
        <v>431376000</v>
      </c>
      <c r="P14" s="295">
        <f t="shared" si="0"/>
        <v>212176000</v>
      </c>
    </row>
    <row r="15" spans="1:16" s="466" customFormat="1" ht="19.5" customHeight="1">
      <c r="A15" s="295" t="s">
        <v>267</v>
      </c>
      <c r="B15" s="295" t="s">
        <v>152</v>
      </c>
      <c r="C15" s="295">
        <v>25247000</v>
      </c>
      <c r="D15" s="295">
        <v>12184000</v>
      </c>
      <c r="E15" s="295">
        <v>15184000</v>
      </c>
      <c r="F15" s="295">
        <v>15184000</v>
      </c>
      <c r="G15" s="295">
        <v>28147200</v>
      </c>
      <c r="H15" s="295">
        <v>35184000</v>
      </c>
      <c r="I15" s="295">
        <v>26205043</v>
      </c>
      <c r="J15" s="295">
        <v>26205043</v>
      </c>
      <c r="K15" s="295">
        <v>105566000</v>
      </c>
      <c r="L15" s="295">
        <v>14896000</v>
      </c>
      <c r="M15" s="295">
        <f>14896000</f>
        <v>14896000</v>
      </c>
      <c r="N15" s="295">
        <v>89376000</v>
      </c>
      <c r="O15" s="295">
        <v>0</v>
      </c>
      <c r="P15" s="295">
        <f t="shared" si="0"/>
        <v>-89376000</v>
      </c>
    </row>
    <row r="16" spans="1:16" s="466" customFormat="1" ht="19.5" customHeight="1">
      <c r="A16" s="295" t="s">
        <v>268</v>
      </c>
      <c r="B16" s="295" t="s">
        <v>714</v>
      </c>
      <c r="C16" s="295">
        <v>97356000</v>
      </c>
      <c r="D16" s="295">
        <v>60000000</v>
      </c>
      <c r="E16" s="295">
        <v>60000000</v>
      </c>
      <c r="F16" s="295">
        <v>181972636</v>
      </c>
      <c r="G16" s="295">
        <v>650000000</v>
      </c>
      <c r="H16" s="295">
        <v>650000000</v>
      </c>
      <c r="I16" s="295">
        <v>650000000</v>
      </c>
      <c r="J16" s="295">
        <v>1000000000</v>
      </c>
      <c r="K16" s="295">
        <v>22814714</v>
      </c>
      <c r="L16" s="295">
        <v>3152136000</v>
      </c>
      <c r="M16" s="295">
        <f>3152136000-2000000000</f>
        <v>1152136000</v>
      </c>
      <c r="N16" s="295">
        <v>859536750</v>
      </c>
      <c r="O16" s="295">
        <v>0</v>
      </c>
      <c r="P16" s="295">
        <f t="shared" si="0"/>
        <v>-859536750</v>
      </c>
    </row>
    <row r="17" spans="1:16" s="466" customFormat="1" ht="19.5" customHeight="1">
      <c r="A17" s="295" t="s">
        <v>269</v>
      </c>
      <c r="B17" s="295" t="s">
        <v>186</v>
      </c>
      <c r="C17" s="295"/>
      <c r="D17" s="295"/>
      <c r="E17" s="295"/>
      <c r="F17" s="295"/>
      <c r="G17" s="295"/>
      <c r="H17" s="295">
        <v>0</v>
      </c>
      <c r="I17" s="295">
        <v>1326000000</v>
      </c>
      <c r="J17" s="295">
        <v>650000000</v>
      </c>
      <c r="K17" s="295">
        <v>94480000</v>
      </c>
      <c r="L17" s="295">
        <v>159000000</v>
      </c>
      <c r="M17" s="295">
        <f>100000000</f>
        <v>100000000</v>
      </c>
      <c r="N17" s="295">
        <v>185000000</v>
      </c>
      <c r="O17" s="295">
        <v>245000000</v>
      </c>
      <c r="P17" s="295">
        <f t="shared" si="0"/>
        <v>60000000</v>
      </c>
    </row>
    <row r="18" spans="1:16" s="466" customFormat="1" ht="19.5" customHeight="1">
      <c r="A18" s="295" t="s">
        <v>270</v>
      </c>
      <c r="B18" s="295" t="s">
        <v>163</v>
      </c>
      <c r="C18" s="295">
        <v>0</v>
      </c>
      <c r="D18" s="295">
        <v>0</v>
      </c>
      <c r="E18" s="295">
        <v>0</v>
      </c>
      <c r="F18" s="295">
        <v>0</v>
      </c>
      <c r="G18" s="295">
        <v>0</v>
      </c>
      <c r="H18" s="295">
        <v>0</v>
      </c>
      <c r="I18" s="295">
        <v>0</v>
      </c>
      <c r="J18" s="295">
        <v>0</v>
      </c>
      <c r="K18" s="295">
        <v>33928619</v>
      </c>
      <c r="L18" s="295">
        <v>155000000</v>
      </c>
      <c r="M18" s="295">
        <f>270000000</f>
        <v>270000000</v>
      </c>
      <c r="N18" s="295">
        <v>270000000</v>
      </c>
      <c r="O18" s="295">
        <v>600000000</v>
      </c>
      <c r="P18" s="295">
        <f t="shared" si="0"/>
        <v>330000000</v>
      </c>
    </row>
    <row r="19" spans="1:16" s="466" customFormat="1" ht="19.5" customHeight="1">
      <c r="A19" s="295" t="s">
        <v>271</v>
      </c>
      <c r="B19" s="295" t="s">
        <v>671</v>
      </c>
      <c r="C19" s="346">
        <f>SUM(C12:C18)</f>
        <v>542349300</v>
      </c>
      <c r="D19" s="346">
        <f>SUM(D12:D18)</f>
        <v>1019184000</v>
      </c>
      <c r="E19" s="346">
        <f>SUM(E11:E18)</f>
        <v>1155084000</v>
      </c>
      <c r="F19" s="346">
        <f>SUM(F12:F18)</f>
        <v>1331683925</v>
      </c>
      <c r="G19" s="346">
        <f>SUM(G12:G18)</f>
        <v>1716347200</v>
      </c>
      <c r="H19" s="346">
        <f>SUM(H12:H18)</f>
        <v>1769184000</v>
      </c>
      <c r="I19" s="346">
        <f>SUM(I12:I18)</f>
        <v>3075997043</v>
      </c>
      <c r="J19" s="346">
        <f>SUM(J12:J18)</f>
        <v>3291542043</v>
      </c>
      <c r="K19" s="295">
        <v>145000000</v>
      </c>
      <c r="L19" s="295">
        <v>22814000</v>
      </c>
      <c r="M19" s="295">
        <f>160000000</f>
        <v>160000000</v>
      </c>
      <c r="N19" s="295">
        <v>330000000</v>
      </c>
      <c r="O19" s="295">
        <v>490000000</v>
      </c>
      <c r="P19" s="295">
        <f t="shared" si="0"/>
        <v>160000000</v>
      </c>
    </row>
    <row r="20" spans="1:16" s="466" customFormat="1" ht="19.5" customHeight="1">
      <c r="A20" s="295" t="s">
        <v>272</v>
      </c>
      <c r="B20" s="295" t="s">
        <v>54</v>
      </c>
      <c r="C20" s="346"/>
      <c r="D20" s="346"/>
      <c r="E20" s="346"/>
      <c r="F20" s="346"/>
      <c r="G20" s="346"/>
      <c r="H20" s="346"/>
      <c r="I20" s="346"/>
      <c r="J20" s="346"/>
      <c r="K20" s="295">
        <v>546300000</v>
      </c>
      <c r="L20" s="295">
        <v>94480000</v>
      </c>
      <c r="M20" s="295">
        <v>0</v>
      </c>
      <c r="N20" s="295">
        <v>50000000</v>
      </c>
      <c r="O20" s="295">
        <v>200000000</v>
      </c>
      <c r="P20" s="295">
        <f t="shared" si="0"/>
        <v>150000000</v>
      </c>
    </row>
    <row r="21" spans="1:16" s="466" customFormat="1" ht="19.5" customHeight="1">
      <c r="A21" s="295" t="s">
        <v>274</v>
      </c>
      <c r="B21" s="295" t="s">
        <v>164</v>
      </c>
      <c r="C21" s="346"/>
      <c r="D21" s="346"/>
      <c r="E21" s="346"/>
      <c r="F21" s="346"/>
      <c r="G21" s="346"/>
      <c r="H21" s="346"/>
      <c r="I21" s="346"/>
      <c r="J21" s="346"/>
      <c r="K21" s="295">
        <v>2860000000</v>
      </c>
      <c r="L21" s="295">
        <v>80000000</v>
      </c>
      <c r="M21" s="295">
        <f>80000000</f>
        <v>80000000</v>
      </c>
      <c r="N21" s="295">
        <v>90000000</v>
      </c>
      <c r="O21" s="295">
        <v>150000000</v>
      </c>
      <c r="P21" s="295">
        <f t="shared" si="0"/>
        <v>60000000</v>
      </c>
    </row>
    <row r="22" spans="1:16" s="466" customFormat="1" ht="19.5" customHeight="1">
      <c r="A22" s="295" t="s">
        <v>374</v>
      </c>
      <c r="B22" s="295" t="s">
        <v>376</v>
      </c>
      <c r="C22" s="346"/>
      <c r="D22" s="346"/>
      <c r="E22" s="346"/>
      <c r="F22" s="346"/>
      <c r="G22" s="346"/>
      <c r="H22" s="346"/>
      <c r="I22" s="346"/>
      <c r="J22" s="346"/>
      <c r="K22" s="295"/>
      <c r="L22" s="295">
        <v>145000000</v>
      </c>
      <c r="M22" s="295">
        <f>100000000</f>
        <v>100000000</v>
      </c>
      <c r="N22" s="295">
        <v>250000000</v>
      </c>
      <c r="O22" s="295">
        <v>300000000</v>
      </c>
      <c r="P22" s="295">
        <f t="shared" si="0"/>
        <v>50000000</v>
      </c>
    </row>
    <row r="23" spans="1:16" s="466" customFormat="1" ht="19.5" customHeight="1">
      <c r="A23" s="295" t="s">
        <v>375</v>
      </c>
      <c r="B23" s="295" t="s">
        <v>169</v>
      </c>
      <c r="C23" s="346"/>
      <c r="D23" s="346"/>
      <c r="E23" s="346"/>
      <c r="F23" s="346"/>
      <c r="G23" s="346"/>
      <c r="H23" s="346"/>
      <c r="I23" s="346"/>
      <c r="J23" s="346"/>
      <c r="K23" s="295"/>
      <c r="L23" s="295">
        <v>546300000</v>
      </c>
      <c r="M23" s="295">
        <f>8581957092-2000000000-216000000-68493120+702536028</f>
        <v>7000000000</v>
      </c>
      <c r="N23" s="295">
        <v>6586288000</v>
      </c>
      <c r="O23" s="295">
        <v>0</v>
      </c>
      <c r="P23" s="295">
        <f t="shared" si="0"/>
        <v>-6586288000</v>
      </c>
    </row>
    <row r="24" spans="1:16" s="466" customFormat="1" ht="19.5" customHeight="1">
      <c r="A24" s="295" t="s">
        <v>275</v>
      </c>
      <c r="B24" s="295" t="s">
        <v>40</v>
      </c>
      <c r="C24" s="346"/>
      <c r="D24" s="346"/>
      <c r="E24" s="346"/>
      <c r="F24" s="346"/>
      <c r="G24" s="346"/>
      <c r="H24" s="346"/>
      <c r="I24" s="346"/>
      <c r="J24" s="346"/>
      <c r="K24" s="295">
        <v>786200000</v>
      </c>
      <c r="L24" s="295">
        <v>174000000</v>
      </c>
      <c r="M24" s="295">
        <f>174000000</f>
        <v>174000000</v>
      </c>
      <c r="N24" s="295">
        <v>200000000</v>
      </c>
      <c r="O24" s="295">
        <v>250000000</v>
      </c>
      <c r="P24" s="295">
        <f t="shared" si="0"/>
        <v>50000000</v>
      </c>
    </row>
    <row r="25" spans="1:16" s="466" customFormat="1" ht="19.5" customHeight="1">
      <c r="A25" s="295" t="s">
        <v>394</v>
      </c>
      <c r="B25" s="295" t="s">
        <v>395</v>
      </c>
      <c r="C25" s="346"/>
      <c r="D25" s="346"/>
      <c r="E25" s="346"/>
      <c r="F25" s="346"/>
      <c r="G25" s="346"/>
      <c r="H25" s="346"/>
      <c r="I25" s="346"/>
      <c r="J25" s="346"/>
      <c r="K25" s="295"/>
      <c r="L25" s="295">
        <v>786200000</v>
      </c>
      <c r="M25" s="295">
        <f>500000000</f>
        <v>500000000</v>
      </c>
      <c r="N25" s="295">
        <v>600000000</v>
      </c>
      <c r="O25" s="295">
        <v>1500000000</v>
      </c>
      <c r="P25" s="295">
        <f t="shared" si="0"/>
        <v>900000000</v>
      </c>
    </row>
    <row r="26" spans="1:16" s="466" customFormat="1" ht="19.5" customHeight="1">
      <c r="A26" s="295" t="s">
        <v>350</v>
      </c>
      <c r="B26" s="295" t="s">
        <v>397</v>
      </c>
      <c r="C26" s="346"/>
      <c r="D26" s="346"/>
      <c r="E26" s="346"/>
      <c r="F26" s="346"/>
      <c r="G26" s="346"/>
      <c r="H26" s="346"/>
      <c r="I26" s="346"/>
      <c r="J26" s="346"/>
      <c r="K26" s="295"/>
      <c r="L26" s="295">
        <v>50000000</v>
      </c>
      <c r="M26" s="295">
        <f>30000000</f>
        <v>30000000</v>
      </c>
      <c r="N26" s="295">
        <v>0</v>
      </c>
      <c r="O26" s="295">
        <v>0</v>
      </c>
      <c r="P26" s="295">
        <f t="shared" si="0"/>
        <v>0</v>
      </c>
    </row>
    <row r="27" spans="1:16" s="466" customFormat="1" ht="19.5" customHeight="1">
      <c r="A27" s="295" t="s">
        <v>396</v>
      </c>
      <c r="B27" s="295" t="s">
        <v>1260</v>
      </c>
      <c r="C27" s="346"/>
      <c r="D27" s="346"/>
      <c r="E27" s="346"/>
      <c r="F27" s="346"/>
      <c r="G27" s="346"/>
      <c r="H27" s="346"/>
      <c r="I27" s="346"/>
      <c r="J27" s="346"/>
      <c r="K27" s="295"/>
      <c r="L27" s="295">
        <v>200000000</v>
      </c>
      <c r="M27" s="295">
        <f>360000000+100000000</f>
        <v>460000000</v>
      </c>
      <c r="N27" s="295">
        <v>462000000</v>
      </c>
      <c r="O27" s="295">
        <v>962000000</v>
      </c>
      <c r="P27" s="295">
        <f t="shared" si="0"/>
        <v>500000000</v>
      </c>
    </row>
    <row r="28" spans="1:16" s="466" customFormat="1" ht="19.5" customHeight="1">
      <c r="A28" s="295" t="s">
        <v>1181</v>
      </c>
      <c r="B28" s="295" t="s">
        <v>1182</v>
      </c>
      <c r="C28" s="346"/>
      <c r="D28" s="346"/>
      <c r="E28" s="346"/>
      <c r="F28" s="346"/>
      <c r="G28" s="346"/>
      <c r="H28" s="346"/>
      <c r="I28" s="346"/>
      <c r="J28" s="346"/>
      <c r="K28" s="295"/>
      <c r="L28" s="295"/>
      <c r="M28" s="295"/>
      <c r="N28" s="295">
        <v>0</v>
      </c>
      <c r="O28" s="295">
        <v>1120000000</v>
      </c>
      <c r="P28" s="295">
        <f t="shared" si="0"/>
        <v>1120000000</v>
      </c>
    </row>
    <row r="29" spans="1:16" s="466" customFormat="1" ht="19.5" customHeight="1">
      <c r="A29" s="295" t="s">
        <v>398</v>
      </c>
      <c r="B29" s="295" t="s">
        <v>1261</v>
      </c>
      <c r="C29" s="346"/>
      <c r="D29" s="346"/>
      <c r="E29" s="346"/>
      <c r="F29" s="346"/>
      <c r="G29" s="346"/>
      <c r="H29" s="346"/>
      <c r="I29" s="346"/>
      <c r="J29" s="346"/>
      <c r="K29" s="295"/>
      <c r="L29" s="295">
        <v>179000000</v>
      </c>
      <c r="M29" s="295">
        <f>179000000</f>
        <v>179000000</v>
      </c>
      <c r="N29" s="295">
        <v>219000000</v>
      </c>
      <c r="O29" s="295">
        <v>1150000000</v>
      </c>
      <c r="P29" s="295">
        <f t="shared" si="0"/>
        <v>931000000</v>
      </c>
    </row>
    <row r="30" spans="1:16" s="466" customFormat="1" ht="19.5" customHeight="1">
      <c r="A30" s="295" t="s">
        <v>335</v>
      </c>
      <c r="B30" s="295" t="s">
        <v>193</v>
      </c>
      <c r="C30" s="346"/>
      <c r="D30" s="346"/>
      <c r="E30" s="346"/>
      <c r="F30" s="346"/>
      <c r="G30" s="346"/>
      <c r="H30" s="346"/>
      <c r="I30" s="346"/>
      <c r="J30" s="346"/>
      <c r="K30" s="295"/>
      <c r="L30" s="295">
        <v>80000000</v>
      </c>
      <c r="M30" s="295">
        <f>80000000</f>
        <v>80000000</v>
      </c>
      <c r="N30" s="295">
        <v>378000000</v>
      </c>
      <c r="O30" s="295">
        <v>1200000000</v>
      </c>
      <c r="P30" s="295">
        <f t="shared" si="0"/>
        <v>822000000</v>
      </c>
    </row>
    <row r="31" spans="1:16" s="466" customFormat="1" ht="19.5" customHeight="1">
      <c r="A31" s="295" t="s">
        <v>340</v>
      </c>
      <c r="B31" s="295" t="s">
        <v>636</v>
      </c>
      <c r="C31" s="346"/>
      <c r="D31" s="346"/>
      <c r="E31" s="346"/>
      <c r="F31" s="346"/>
      <c r="G31" s="346"/>
      <c r="H31" s="346"/>
      <c r="I31" s="346"/>
      <c r="J31" s="346"/>
      <c r="K31" s="295">
        <v>148960000</v>
      </c>
      <c r="L31" s="295">
        <v>1648294720</v>
      </c>
      <c r="M31" s="295">
        <v>701000000</v>
      </c>
      <c r="N31" s="295">
        <v>0</v>
      </c>
      <c r="O31" s="295">
        <v>0</v>
      </c>
      <c r="P31" s="295">
        <f t="shared" si="0"/>
        <v>0</v>
      </c>
    </row>
    <row r="32" spans="1:16" s="466" customFormat="1" ht="19.5" customHeight="1">
      <c r="A32" s="295" t="s">
        <v>623</v>
      </c>
      <c r="B32" s="295" t="s">
        <v>624</v>
      </c>
      <c r="C32" s="346"/>
      <c r="D32" s="346"/>
      <c r="E32" s="346"/>
      <c r="F32" s="346"/>
      <c r="G32" s="346"/>
      <c r="H32" s="346"/>
      <c r="I32" s="346"/>
      <c r="J32" s="346"/>
      <c r="K32" s="295"/>
      <c r="L32" s="295">
        <v>0</v>
      </c>
      <c r="M32" s="295">
        <f>20000000000-1733260000-600000-72000000-108000000-300000000-500000000-452441754+166301754-1000000000-1000000000</f>
        <v>15000000000</v>
      </c>
      <c r="N32" s="295">
        <v>7200000000</v>
      </c>
      <c r="O32" s="295">
        <v>750000000</v>
      </c>
      <c r="P32" s="295">
        <f t="shared" si="0"/>
        <v>-6450000000</v>
      </c>
    </row>
    <row r="33" spans="1:16" s="466" customFormat="1" ht="19.5" customHeight="1">
      <c r="A33" s="295" t="s">
        <v>1179</v>
      </c>
      <c r="B33" s="295" t="s">
        <v>1180</v>
      </c>
      <c r="C33" s="346"/>
      <c r="D33" s="346"/>
      <c r="E33" s="346"/>
      <c r="F33" s="346"/>
      <c r="G33" s="346"/>
      <c r="H33" s="346"/>
      <c r="I33" s="346"/>
      <c r="J33" s="346"/>
      <c r="K33" s="295"/>
      <c r="L33" s="295"/>
      <c r="M33" s="295"/>
      <c r="N33" s="295">
        <v>0</v>
      </c>
      <c r="O33" s="295">
        <v>250000000</v>
      </c>
      <c r="P33" s="295">
        <f t="shared" si="0"/>
        <v>250000000</v>
      </c>
    </row>
    <row r="34" spans="1:16" s="466" customFormat="1" ht="19.5" customHeight="1">
      <c r="A34" s="295"/>
      <c r="B34" s="346" t="s">
        <v>119</v>
      </c>
      <c r="C34" s="346"/>
      <c r="D34" s="346"/>
      <c r="E34" s="346"/>
      <c r="F34" s="346"/>
      <c r="G34" s="346"/>
      <c r="H34" s="346"/>
      <c r="I34" s="346"/>
      <c r="J34" s="346"/>
      <c r="K34" s="295">
        <v>0</v>
      </c>
      <c r="L34" s="346">
        <f>SUM(L14:L32)</f>
        <v>7542120720</v>
      </c>
      <c r="M34" s="346">
        <f>SUM(M14:M32)</f>
        <v>26097032000</v>
      </c>
      <c r="N34" s="346">
        <f>SUM(N14:N33)</f>
        <v>17988400750</v>
      </c>
      <c r="O34" s="346">
        <f>SUM(O14:O33)</f>
        <v>9598376000</v>
      </c>
      <c r="P34" s="346">
        <f t="shared" si="0"/>
        <v>-8390024750</v>
      </c>
    </row>
    <row r="35" spans="1:16" s="466" customFormat="1" ht="19.5" customHeight="1">
      <c r="A35" s="346" t="s">
        <v>279</v>
      </c>
      <c r="B35" s="346" t="s">
        <v>278</v>
      </c>
      <c r="C35" s="346"/>
      <c r="D35" s="346"/>
      <c r="E35" s="346"/>
      <c r="F35" s="346"/>
      <c r="G35" s="346"/>
      <c r="H35" s="346"/>
      <c r="I35" s="346"/>
      <c r="J35" s="346"/>
      <c r="K35" s="295">
        <v>59584000</v>
      </c>
      <c r="L35" s="295"/>
      <c r="M35" s="295"/>
      <c r="N35" s="295"/>
      <c r="O35" s="295"/>
      <c r="P35" s="295">
        <f t="shared" si="0"/>
        <v>0</v>
      </c>
    </row>
    <row r="36" spans="1:16" s="466" customFormat="1" ht="19.5" customHeight="1">
      <c r="A36" s="295" t="s">
        <v>280</v>
      </c>
      <c r="B36" s="295" t="s">
        <v>160</v>
      </c>
      <c r="C36" s="346"/>
      <c r="D36" s="346"/>
      <c r="E36" s="346"/>
      <c r="F36" s="346"/>
      <c r="G36" s="346"/>
      <c r="H36" s="346"/>
      <c r="I36" s="346"/>
      <c r="J36" s="346"/>
      <c r="K36" s="295">
        <v>645294720</v>
      </c>
      <c r="L36" s="295">
        <v>14896000</v>
      </c>
      <c r="M36" s="295">
        <f>14896000</f>
        <v>14896000</v>
      </c>
      <c r="N36" s="295">
        <v>60000000</v>
      </c>
      <c r="O36" s="295">
        <v>260000000</v>
      </c>
      <c r="P36" s="295">
        <f t="shared" si="0"/>
        <v>200000000</v>
      </c>
    </row>
    <row r="37" spans="1:16" s="466" customFormat="1" ht="19.5" customHeight="1">
      <c r="A37" s="295" t="s">
        <v>281</v>
      </c>
      <c r="B37" s="295" t="s">
        <v>793</v>
      </c>
      <c r="C37" s="295"/>
      <c r="D37" s="295"/>
      <c r="E37" s="295" t="s">
        <v>4</v>
      </c>
      <c r="F37" s="295" t="s">
        <v>4</v>
      </c>
      <c r="G37" s="295" t="s">
        <v>4</v>
      </c>
      <c r="H37" s="295" t="s">
        <v>4</v>
      </c>
      <c r="I37" s="295" t="s">
        <v>4</v>
      </c>
      <c r="J37" s="295"/>
      <c r="K37" s="346">
        <f>SUM(K11:K36)</f>
        <v>7647099893</v>
      </c>
      <c r="L37" s="295">
        <v>1760000000</v>
      </c>
      <c r="M37" s="295">
        <f>1700000000</f>
        <v>1700000000</v>
      </c>
      <c r="N37" s="295">
        <f>M37</f>
        <v>1700000000</v>
      </c>
      <c r="O37" s="295">
        <v>2000000000</v>
      </c>
      <c r="P37" s="295">
        <f t="shared" si="0"/>
        <v>300000000</v>
      </c>
    </row>
    <row r="38" spans="1:16" s="466" customFormat="1" ht="19.5" customHeight="1">
      <c r="A38" s="295" t="s">
        <v>282</v>
      </c>
      <c r="B38" s="295" t="s">
        <v>155</v>
      </c>
      <c r="C38" s="295">
        <v>72720000</v>
      </c>
      <c r="D38" s="295">
        <v>137761000</v>
      </c>
      <c r="E38" s="295">
        <v>0</v>
      </c>
      <c r="F38" s="295">
        <f>135300000+28698800</f>
        <v>163998800</v>
      </c>
      <c r="G38" s="295">
        <v>100000000</v>
      </c>
      <c r="H38" s="295">
        <v>140000000</v>
      </c>
      <c r="I38" s="295">
        <v>80000000</v>
      </c>
      <c r="J38" s="295">
        <v>80000000</v>
      </c>
      <c r="K38" s="295"/>
      <c r="L38" s="295">
        <v>230000000</v>
      </c>
      <c r="M38" s="295">
        <f>280000000</f>
        <v>280000000</v>
      </c>
      <c r="N38" s="295">
        <v>280000000</v>
      </c>
      <c r="O38" s="295">
        <v>360000000</v>
      </c>
      <c r="P38" s="295">
        <f t="shared" si="0"/>
        <v>80000000</v>
      </c>
    </row>
    <row r="39" spans="1:16" s="466" customFormat="1" ht="19.5" customHeight="1">
      <c r="A39" s="295" t="s">
        <v>283</v>
      </c>
      <c r="B39" s="295" t="s">
        <v>156</v>
      </c>
      <c r="C39" s="295">
        <v>0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14896000</v>
      </c>
      <c r="L39" s="295">
        <v>30000000</v>
      </c>
      <c r="M39" s="295">
        <f>20000000</f>
        <v>20000000</v>
      </c>
      <c r="N39" s="295">
        <v>25000000</v>
      </c>
      <c r="O39" s="295">
        <v>25000000</v>
      </c>
      <c r="P39" s="295">
        <f t="shared" si="0"/>
        <v>0</v>
      </c>
    </row>
    <row r="40" spans="1:16" s="466" customFormat="1" ht="19.5" customHeight="1">
      <c r="A40" s="295" t="s">
        <v>284</v>
      </c>
      <c r="B40" s="295" t="s">
        <v>377</v>
      </c>
      <c r="C40" s="295">
        <v>36000000</v>
      </c>
      <c r="D40" s="295">
        <f>93221000+18000+300000</f>
        <v>93539000</v>
      </c>
      <c r="E40" s="295">
        <v>82800000</v>
      </c>
      <c r="F40" s="295">
        <v>297500000</v>
      </c>
      <c r="G40" s="295">
        <v>0</v>
      </c>
      <c r="H40" s="295">
        <v>281600000</v>
      </c>
      <c r="I40" s="295">
        <v>0</v>
      </c>
      <c r="J40" s="295">
        <v>200000000</v>
      </c>
      <c r="K40" s="295"/>
      <c r="L40" s="295">
        <v>1029600000</v>
      </c>
      <c r="M40" s="295">
        <v>900000000</v>
      </c>
      <c r="N40" s="295">
        <f>M40</f>
        <v>900000000</v>
      </c>
      <c r="O40" s="295">
        <v>0</v>
      </c>
      <c r="P40" s="295">
        <f t="shared" si="0"/>
        <v>-900000000</v>
      </c>
    </row>
    <row r="41" spans="1:16" s="466" customFormat="1" ht="19.5" customHeight="1">
      <c r="A41" s="295" t="s">
        <v>736</v>
      </c>
      <c r="B41" s="295" t="s">
        <v>737</v>
      </c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>
        <v>0</v>
      </c>
      <c r="N41" s="295">
        <v>972000000</v>
      </c>
      <c r="O41" s="295">
        <v>0</v>
      </c>
      <c r="P41" s="295">
        <f t="shared" si="0"/>
        <v>-972000000</v>
      </c>
    </row>
    <row r="42" spans="1:16" s="466" customFormat="1" ht="19.5" customHeight="1">
      <c r="A42" s="295" t="s">
        <v>298</v>
      </c>
      <c r="B42" s="295" t="s">
        <v>695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>
        <v>60000000</v>
      </c>
      <c r="M42" s="295">
        <f>160000000+100000000</f>
        <v>260000000</v>
      </c>
      <c r="N42" s="295">
        <v>1940199628</v>
      </c>
      <c r="O42" s="295">
        <v>1000000000</v>
      </c>
      <c r="P42" s="295">
        <f t="shared" si="0"/>
        <v>-940199628</v>
      </c>
    </row>
    <row r="43" spans="1:16" s="466" customFormat="1" ht="19.5" customHeight="1">
      <c r="A43" s="295" t="s">
        <v>378</v>
      </c>
      <c r="B43" s="295" t="s">
        <v>379</v>
      </c>
      <c r="C43" s="295">
        <v>20624396</v>
      </c>
      <c r="D43" s="295">
        <v>24651000</v>
      </c>
      <c r="E43" s="295">
        <v>24651000</v>
      </c>
      <c r="F43" s="295">
        <f>24651000+1711500</f>
        <v>26362500</v>
      </c>
      <c r="G43" s="295">
        <v>21089600</v>
      </c>
      <c r="H43" s="295">
        <v>26362000</v>
      </c>
      <c r="I43" s="295">
        <v>19364418</v>
      </c>
      <c r="J43" s="295">
        <v>19364418</v>
      </c>
      <c r="K43" s="295">
        <v>189000000</v>
      </c>
      <c r="L43" s="295">
        <v>410400000</v>
      </c>
      <c r="M43" s="295">
        <f>570000000</f>
        <v>570000000</v>
      </c>
      <c r="N43" s="295">
        <v>900000000</v>
      </c>
      <c r="O43" s="295">
        <v>0</v>
      </c>
      <c r="P43" s="295">
        <f t="shared" si="0"/>
        <v>-900000000</v>
      </c>
    </row>
    <row r="44" spans="1:16" s="466" customFormat="1" ht="19.5" customHeight="1">
      <c r="A44" s="295" t="s">
        <v>738</v>
      </c>
      <c r="B44" s="295" t="s">
        <v>739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>
        <v>0</v>
      </c>
      <c r="N44" s="295">
        <v>276000000</v>
      </c>
      <c r="O44" s="295">
        <v>0</v>
      </c>
      <c r="P44" s="295">
        <f t="shared" si="0"/>
        <v>-276000000</v>
      </c>
    </row>
    <row r="45" spans="1:16" s="466" customFormat="1" ht="19.5" customHeight="1">
      <c r="A45" s="295"/>
      <c r="B45" s="346" t="s">
        <v>119</v>
      </c>
      <c r="C45" s="346">
        <f t="shared" ref="C45:J45" si="1">SUM(C38:C43)</f>
        <v>129344396</v>
      </c>
      <c r="D45" s="346">
        <f t="shared" si="1"/>
        <v>255951000</v>
      </c>
      <c r="E45" s="346">
        <f t="shared" si="1"/>
        <v>107451000</v>
      </c>
      <c r="F45" s="346">
        <f t="shared" si="1"/>
        <v>487861300</v>
      </c>
      <c r="G45" s="346">
        <f t="shared" si="1"/>
        <v>121089600</v>
      </c>
      <c r="H45" s="346">
        <f t="shared" si="1"/>
        <v>447962000</v>
      </c>
      <c r="I45" s="346">
        <f t="shared" si="1"/>
        <v>99364418</v>
      </c>
      <c r="J45" s="346">
        <f t="shared" si="1"/>
        <v>299364418</v>
      </c>
      <c r="K45" s="295">
        <v>26205043</v>
      </c>
      <c r="L45" s="346">
        <f>SUM(L36:L43)</f>
        <v>3534896000</v>
      </c>
      <c r="M45" s="346">
        <f>SUM(M36:M43)</f>
        <v>3744896000</v>
      </c>
      <c r="N45" s="346">
        <f>SUM(N36:N44)</f>
        <v>7053199628</v>
      </c>
      <c r="O45" s="346">
        <f>SUM(O36:O44)</f>
        <v>3645000000</v>
      </c>
      <c r="P45" s="346">
        <f t="shared" si="0"/>
        <v>-3408199628</v>
      </c>
    </row>
    <row r="46" spans="1:16" s="466" customFormat="1" ht="19.5" customHeight="1">
      <c r="A46" s="346" t="s">
        <v>285</v>
      </c>
      <c r="B46" s="346" t="s">
        <v>158</v>
      </c>
      <c r="C46" s="295"/>
      <c r="D46" s="295"/>
      <c r="E46" s="295" t="s">
        <v>4</v>
      </c>
      <c r="F46" s="295">
        <v>0</v>
      </c>
      <c r="G46" s="295">
        <v>0</v>
      </c>
      <c r="H46" s="295">
        <v>0</v>
      </c>
      <c r="I46" s="295">
        <v>0</v>
      </c>
      <c r="J46" s="295"/>
      <c r="K46" s="295">
        <v>1000000000</v>
      </c>
      <c r="L46" s="295"/>
      <c r="M46" s="295"/>
      <c r="N46" s="295"/>
      <c r="O46" s="295"/>
      <c r="P46" s="295">
        <f t="shared" si="0"/>
        <v>0</v>
      </c>
    </row>
    <row r="47" spans="1:16" s="466" customFormat="1" ht="19.5" customHeight="1">
      <c r="A47" s="295" t="s">
        <v>286</v>
      </c>
      <c r="B47" s="295" t="s">
        <v>55</v>
      </c>
      <c r="C47" s="295"/>
      <c r="D47" s="295"/>
      <c r="E47" s="295"/>
      <c r="F47" s="295"/>
      <c r="G47" s="295"/>
      <c r="H47" s="295"/>
      <c r="I47" s="295"/>
      <c r="J47" s="295"/>
      <c r="K47" s="295">
        <v>350000000</v>
      </c>
      <c r="L47" s="295">
        <v>350000000</v>
      </c>
      <c r="M47" s="295">
        <f>200000000</f>
        <v>200000000</v>
      </c>
      <c r="N47" s="295">
        <v>200000000</v>
      </c>
      <c r="O47" s="295">
        <v>500000000</v>
      </c>
      <c r="P47" s="295">
        <f t="shared" si="0"/>
        <v>300000000</v>
      </c>
    </row>
    <row r="48" spans="1:16" s="466" customFormat="1" ht="19.5" customHeight="1">
      <c r="A48" s="295" t="s">
        <v>288</v>
      </c>
      <c r="B48" s="295" t="s">
        <v>287</v>
      </c>
      <c r="C48" s="295"/>
      <c r="D48" s="295"/>
      <c r="E48" s="295"/>
      <c r="F48" s="295"/>
      <c r="G48" s="295"/>
      <c r="H48" s="295"/>
      <c r="I48" s="295"/>
      <c r="J48" s="295"/>
      <c r="K48" s="295">
        <v>0</v>
      </c>
      <c r="L48" s="295">
        <v>50000000</v>
      </c>
      <c r="M48" s="295">
        <v>0</v>
      </c>
      <c r="N48" s="295">
        <v>0</v>
      </c>
      <c r="O48" s="295">
        <v>0</v>
      </c>
      <c r="P48" s="295">
        <f t="shared" si="0"/>
        <v>0</v>
      </c>
    </row>
    <row r="49" spans="1:16" s="466" customFormat="1" ht="19.5" customHeight="1">
      <c r="A49" s="295" t="s">
        <v>289</v>
      </c>
      <c r="B49" s="295" t="s">
        <v>290</v>
      </c>
      <c r="C49" s="295">
        <v>68773000</v>
      </c>
      <c r="D49" s="295">
        <v>134918000</v>
      </c>
      <c r="E49" s="295">
        <v>134918000</v>
      </c>
      <c r="F49" s="295">
        <f>195100000+5200000</f>
        <v>200300000</v>
      </c>
      <c r="G49" s="295">
        <v>160240000</v>
      </c>
      <c r="H49" s="295">
        <v>200300000</v>
      </c>
      <c r="I49" s="295">
        <v>200300000</v>
      </c>
      <c r="J49" s="295">
        <v>360280000</v>
      </c>
      <c r="K49" s="346">
        <f>SUM(K39:K48)</f>
        <v>1580101043</v>
      </c>
      <c r="L49" s="295">
        <v>10300000</v>
      </c>
      <c r="M49" s="295">
        <v>0</v>
      </c>
      <c r="N49" s="295">
        <v>0</v>
      </c>
      <c r="O49" s="295">
        <v>0</v>
      </c>
      <c r="P49" s="295">
        <f t="shared" si="0"/>
        <v>0</v>
      </c>
    </row>
    <row r="50" spans="1:16" s="466" customFormat="1" ht="19.5" customHeight="1">
      <c r="A50" s="295"/>
      <c r="B50" s="346" t="s">
        <v>119</v>
      </c>
      <c r="C50" s="295"/>
      <c r="D50" s="295"/>
      <c r="E50" s="295"/>
      <c r="F50" s="295"/>
      <c r="G50" s="295"/>
      <c r="H50" s="295"/>
      <c r="I50" s="295"/>
      <c r="J50" s="295"/>
      <c r="K50" s="346"/>
      <c r="L50" s="346">
        <f>SUM(L47:L49)</f>
        <v>410300000</v>
      </c>
      <c r="M50" s="346">
        <f>SUM(M47:M49)</f>
        <v>200000000</v>
      </c>
      <c r="N50" s="346">
        <f>SUM(N47:N49)</f>
        <v>200000000</v>
      </c>
      <c r="O50" s="346">
        <f>SUM(O47:O49)</f>
        <v>500000000</v>
      </c>
      <c r="P50" s="346">
        <f t="shared" si="0"/>
        <v>300000000</v>
      </c>
    </row>
    <row r="51" spans="1:16" s="466" customFormat="1" ht="19.5" customHeight="1">
      <c r="A51" s="346" t="s">
        <v>293</v>
      </c>
      <c r="B51" s="346" t="s">
        <v>292</v>
      </c>
      <c r="C51" s="295"/>
      <c r="D51" s="295"/>
      <c r="E51" s="295"/>
      <c r="F51" s="295"/>
      <c r="G51" s="295"/>
      <c r="H51" s="295"/>
      <c r="I51" s="295"/>
      <c r="J51" s="295"/>
      <c r="K51" s="346"/>
      <c r="L51" s="346"/>
      <c r="M51" s="346"/>
      <c r="N51" s="346"/>
      <c r="O51" s="346"/>
      <c r="P51" s="346">
        <f t="shared" si="0"/>
        <v>0</v>
      </c>
    </row>
    <row r="52" spans="1:16" s="466" customFormat="1" ht="19.5" customHeight="1">
      <c r="A52" s="346" t="s">
        <v>294</v>
      </c>
      <c r="B52" s="346" t="s">
        <v>291</v>
      </c>
      <c r="C52" s="295"/>
      <c r="D52" s="295"/>
      <c r="E52" s="295"/>
      <c r="F52" s="295"/>
      <c r="G52" s="295"/>
      <c r="H52" s="295"/>
      <c r="I52" s="295"/>
      <c r="J52" s="295"/>
      <c r="K52" s="295">
        <v>80000000</v>
      </c>
      <c r="L52" s="295"/>
      <c r="M52" s="295"/>
      <c r="N52" s="295"/>
      <c r="O52" s="295"/>
      <c r="P52" s="295">
        <f t="shared" si="0"/>
        <v>0</v>
      </c>
    </row>
    <row r="53" spans="1:16" s="466" customFormat="1" ht="19.5" customHeight="1">
      <c r="A53" s="295" t="s">
        <v>389</v>
      </c>
      <c r="B53" s="295" t="s">
        <v>307</v>
      </c>
      <c r="C53" s="295"/>
      <c r="D53" s="295"/>
      <c r="E53" s="295"/>
      <c r="F53" s="295"/>
      <c r="G53" s="295"/>
      <c r="H53" s="295"/>
      <c r="I53" s="295"/>
      <c r="J53" s="295"/>
      <c r="K53" s="295">
        <v>0</v>
      </c>
      <c r="L53" s="295">
        <v>180000000</v>
      </c>
      <c r="M53" s="295">
        <f>300000000</f>
        <v>300000000</v>
      </c>
      <c r="N53" s="295">
        <f>M53</f>
        <v>300000000</v>
      </c>
      <c r="O53" s="295">
        <f>N53</f>
        <v>300000000</v>
      </c>
      <c r="P53" s="295">
        <f t="shared" si="0"/>
        <v>0</v>
      </c>
    </row>
    <row r="54" spans="1:16" s="466" customFormat="1" ht="19.5" customHeight="1">
      <c r="A54" s="295" t="s">
        <v>388</v>
      </c>
      <c r="B54" s="295" t="s">
        <v>528</v>
      </c>
      <c r="C54" s="295"/>
      <c r="D54" s="295"/>
      <c r="E54" s="295"/>
      <c r="F54" s="295"/>
      <c r="G54" s="295"/>
      <c r="H54" s="295"/>
      <c r="I54" s="295"/>
      <c r="J54" s="295"/>
      <c r="K54" s="295"/>
      <c r="L54" s="295">
        <v>0</v>
      </c>
      <c r="M54" s="295">
        <f>900000000</f>
        <v>900000000</v>
      </c>
      <c r="N54" s="295">
        <v>660000000</v>
      </c>
      <c r="O54" s="295">
        <v>2540000000</v>
      </c>
      <c r="P54" s="295">
        <f t="shared" si="0"/>
        <v>1880000000</v>
      </c>
    </row>
    <row r="55" spans="1:16" s="466" customFormat="1" ht="19.5" customHeight="1">
      <c r="A55" s="295" t="s">
        <v>295</v>
      </c>
      <c r="B55" s="295" t="s">
        <v>176</v>
      </c>
      <c r="C55" s="295"/>
      <c r="D55" s="295"/>
      <c r="E55" s="295"/>
      <c r="F55" s="295"/>
      <c r="G55" s="295"/>
      <c r="H55" s="295"/>
      <c r="I55" s="295"/>
      <c r="J55" s="295"/>
      <c r="K55" s="295">
        <v>0</v>
      </c>
      <c r="L55" s="295">
        <v>20000000</v>
      </c>
      <c r="M55" s="295">
        <f>25000000</f>
        <v>25000000</v>
      </c>
      <c r="N55" s="295">
        <f>M55</f>
        <v>25000000</v>
      </c>
      <c r="O55" s="295">
        <v>60000000</v>
      </c>
      <c r="P55" s="295">
        <f t="shared" si="0"/>
        <v>35000000</v>
      </c>
    </row>
    <row r="56" spans="1:16" s="466" customFormat="1" ht="19.5" customHeight="1">
      <c r="A56" s="295" t="s">
        <v>296</v>
      </c>
      <c r="B56" s="295" t="s">
        <v>177</v>
      </c>
      <c r="C56" s="295"/>
      <c r="D56" s="295"/>
      <c r="E56" s="295"/>
      <c r="F56" s="295"/>
      <c r="G56" s="295"/>
      <c r="H56" s="295"/>
      <c r="I56" s="295"/>
      <c r="J56" s="295"/>
      <c r="K56" s="295">
        <v>0</v>
      </c>
      <c r="L56" s="295">
        <v>20000000</v>
      </c>
      <c r="M56" s="295">
        <f>20000000</f>
        <v>20000000</v>
      </c>
      <c r="N56" s="295">
        <f>M56</f>
        <v>20000000</v>
      </c>
      <c r="O56" s="295">
        <f>N56</f>
        <v>20000000</v>
      </c>
      <c r="P56" s="295">
        <f t="shared" si="0"/>
        <v>0</v>
      </c>
    </row>
    <row r="57" spans="1:16" s="466" customFormat="1" ht="19.5" customHeight="1">
      <c r="A57" s="295" t="s">
        <v>348</v>
      </c>
      <c r="B57" s="295" t="s">
        <v>380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5">
        <v>15000000</v>
      </c>
      <c r="M57" s="295">
        <v>0</v>
      </c>
      <c r="N57" s="295">
        <f>M57</f>
        <v>0</v>
      </c>
      <c r="O57" s="295">
        <f>N57</f>
        <v>0</v>
      </c>
      <c r="P57" s="295">
        <f t="shared" si="0"/>
        <v>0</v>
      </c>
    </row>
    <row r="58" spans="1:16" s="466" customFormat="1" ht="19.5" customHeight="1">
      <c r="A58" s="295"/>
      <c r="B58" s="346" t="s">
        <v>119</v>
      </c>
      <c r="C58" s="295"/>
      <c r="D58" s="295"/>
      <c r="E58" s="295"/>
      <c r="F58" s="295"/>
      <c r="G58" s="295"/>
      <c r="H58" s="295"/>
      <c r="I58" s="295"/>
      <c r="J58" s="295"/>
      <c r="K58" s="295"/>
      <c r="L58" s="346">
        <f>SUM(L53:L57)</f>
        <v>235000000</v>
      </c>
      <c r="M58" s="346">
        <f>SUM(M53:M57)</f>
        <v>1245000000</v>
      </c>
      <c r="N58" s="346">
        <f>SUM(N53:N57)</f>
        <v>1005000000</v>
      </c>
      <c r="O58" s="346">
        <f>SUM(O53:O57)</f>
        <v>2920000000</v>
      </c>
      <c r="P58" s="346">
        <f t="shared" si="0"/>
        <v>1915000000</v>
      </c>
    </row>
    <row r="59" spans="1:16" s="466" customFormat="1" ht="19.5" customHeight="1">
      <c r="A59" s="346" t="s">
        <v>381</v>
      </c>
      <c r="B59" s="346" t="s">
        <v>157</v>
      </c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>
        <f t="shared" si="0"/>
        <v>0</v>
      </c>
    </row>
    <row r="60" spans="1:16" s="466" customFormat="1" ht="19.5" customHeight="1">
      <c r="A60" s="295" t="s">
        <v>382</v>
      </c>
      <c r="B60" s="295" t="s">
        <v>670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5">
        <v>0</v>
      </c>
      <c r="M60" s="295">
        <f>1200000000</f>
        <v>1200000000</v>
      </c>
      <c r="N60" s="295">
        <v>840000000</v>
      </c>
      <c r="O60" s="295">
        <v>1500000000</v>
      </c>
      <c r="P60" s="295">
        <f t="shared" si="0"/>
        <v>660000000</v>
      </c>
    </row>
    <row r="61" spans="1:16" s="466" customFormat="1" ht="19.5" customHeight="1">
      <c r="A61" s="295"/>
      <c r="B61" s="295" t="s">
        <v>119</v>
      </c>
      <c r="C61" s="295"/>
      <c r="D61" s="295"/>
      <c r="E61" s="295"/>
      <c r="F61" s="295"/>
      <c r="G61" s="295"/>
      <c r="H61" s="295"/>
      <c r="I61" s="295"/>
      <c r="J61" s="295"/>
      <c r="K61" s="295"/>
      <c r="L61" s="346">
        <f>SUM(L60)</f>
        <v>0</v>
      </c>
      <c r="M61" s="346">
        <f>SUM(M60)</f>
        <v>1200000000</v>
      </c>
      <c r="N61" s="346">
        <f>SUM(N60)</f>
        <v>840000000</v>
      </c>
      <c r="O61" s="346">
        <f>SUM(O60)</f>
        <v>1500000000</v>
      </c>
      <c r="P61" s="346">
        <f t="shared" si="0"/>
        <v>660000000</v>
      </c>
    </row>
    <row r="62" spans="1:16" s="466" customFormat="1" ht="19.5" customHeight="1">
      <c r="A62" s="350" t="s">
        <v>611</v>
      </c>
      <c r="B62" s="351" t="s">
        <v>612</v>
      </c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>
        <f t="shared" si="0"/>
        <v>0</v>
      </c>
    </row>
    <row r="63" spans="1:16" s="466" customFormat="1" ht="19.5" customHeight="1">
      <c r="A63" s="344" t="s">
        <v>433</v>
      </c>
      <c r="B63" s="295" t="s">
        <v>863</v>
      </c>
      <c r="C63" s="346"/>
      <c r="D63" s="346"/>
      <c r="E63" s="346"/>
      <c r="F63" s="346"/>
      <c r="G63" s="346"/>
      <c r="H63" s="346"/>
      <c r="I63" s="346"/>
      <c r="J63" s="346"/>
      <c r="K63" s="295"/>
      <c r="L63" s="295">
        <v>1000000000</v>
      </c>
      <c r="M63" s="295">
        <f>700000000+300000000</f>
        <v>1000000000</v>
      </c>
      <c r="N63" s="295">
        <v>1050000000</v>
      </c>
      <c r="O63" s="295">
        <v>650000000</v>
      </c>
      <c r="P63" s="295">
        <f t="shared" si="0"/>
        <v>-400000000</v>
      </c>
    </row>
    <row r="64" spans="1:16" s="466" customFormat="1" ht="19.5" customHeight="1">
      <c r="A64" s="344" t="s">
        <v>816</v>
      </c>
      <c r="B64" s="346" t="s">
        <v>817</v>
      </c>
      <c r="C64" s="346"/>
      <c r="D64" s="346"/>
      <c r="E64" s="346"/>
      <c r="F64" s="346"/>
      <c r="G64" s="346"/>
      <c r="H64" s="346"/>
      <c r="I64" s="346"/>
      <c r="J64" s="346"/>
      <c r="K64" s="295"/>
      <c r="L64" s="295"/>
      <c r="M64" s="295">
        <v>0</v>
      </c>
      <c r="N64" s="295">
        <v>410000000</v>
      </c>
      <c r="O64" s="295">
        <v>0</v>
      </c>
      <c r="P64" s="295">
        <f t="shared" si="0"/>
        <v>-410000000</v>
      </c>
    </row>
    <row r="65" spans="1:16" s="466" customFormat="1" ht="19.5" customHeight="1">
      <c r="A65" s="344"/>
      <c r="B65" s="346" t="s">
        <v>119</v>
      </c>
      <c r="C65" s="295"/>
      <c r="D65" s="295"/>
      <c r="E65" s="295"/>
      <c r="F65" s="295"/>
      <c r="G65" s="295"/>
      <c r="H65" s="295"/>
      <c r="I65" s="295"/>
      <c r="J65" s="346">
        <f>SUM(J63)</f>
        <v>0</v>
      </c>
      <c r="K65" s="346">
        <f>SUM(K63)</f>
        <v>0</v>
      </c>
      <c r="L65" s="346">
        <f>SUM(L63)</f>
        <v>1000000000</v>
      </c>
      <c r="M65" s="346">
        <f>SUM(M63)</f>
        <v>1000000000</v>
      </c>
      <c r="N65" s="346">
        <f>SUM(N63:N64)</f>
        <v>1460000000</v>
      </c>
      <c r="O65" s="346">
        <f>SUM(O63:O64)</f>
        <v>650000000</v>
      </c>
      <c r="P65" s="346">
        <f t="shared" si="0"/>
        <v>-810000000</v>
      </c>
    </row>
    <row r="66" spans="1:16" s="466" customFormat="1" ht="19.5" customHeight="1">
      <c r="A66" s="347" t="s">
        <v>807</v>
      </c>
      <c r="B66" s="346" t="s">
        <v>808</v>
      </c>
      <c r="C66" s="295"/>
      <c r="D66" s="295"/>
      <c r="E66" s="295"/>
      <c r="F66" s="295"/>
      <c r="G66" s="295"/>
      <c r="H66" s="295"/>
      <c r="I66" s="295"/>
      <c r="J66" s="346"/>
      <c r="K66" s="346"/>
      <c r="L66" s="346"/>
      <c r="M66" s="346"/>
      <c r="N66" s="346">
        <v>40836096697</v>
      </c>
      <c r="O66" s="346">
        <v>0</v>
      </c>
      <c r="P66" s="346">
        <f t="shared" si="0"/>
        <v>-40836096697</v>
      </c>
    </row>
    <row r="67" spans="1:16" s="466" customFormat="1" ht="19.5" customHeight="1">
      <c r="A67" s="348"/>
      <c r="B67" s="593" t="s">
        <v>122</v>
      </c>
      <c r="C67" s="593"/>
      <c r="D67" s="593"/>
      <c r="E67" s="593"/>
      <c r="F67" s="346">
        <v>6556984977</v>
      </c>
      <c r="G67" s="346"/>
      <c r="H67" s="346"/>
      <c r="I67" s="346"/>
      <c r="J67" s="346"/>
      <c r="K67" s="346"/>
      <c r="L67" s="346">
        <f>L65+L61+L58+L50+L45+L34+L11</f>
        <v>18153248520</v>
      </c>
      <c r="M67" s="346">
        <f>M65+M61+M58+M50+M45+M34+M11</f>
        <v>42611931120</v>
      </c>
      <c r="N67" s="346">
        <f>N65+N61+N58+N50+N45+N34+N11+N66</f>
        <v>85783951475</v>
      </c>
      <c r="O67" s="346">
        <f>O65+O61+O58+O50+O45+O34+O11+O66</f>
        <v>41241486400</v>
      </c>
      <c r="P67" s="346">
        <f t="shared" si="0"/>
        <v>-44542465075</v>
      </c>
    </row>
    <row r="69" spans="1:16" ht="21" customHeight="1">
      <c r="L69" s="537"/>
    </row>
  </sheetData>
  <pageMargins left="0.42" right="0.34" top="0.59" bottom="0.43" header="0.17" footer="0.17"/>
  <pageSetup scale="55" orientation="portrait" r:id="rId1"/>
  <headerFooter>
    <oddHeader>&amp;C&amp;"CG Omega,Bold"&amp;20Wasaaradda Maaliyadda.</oddHeader>
    <oddFooter>&amp;R
&amp;"Times New Roman,Bold"&amp;14 28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55" zoomScaleNormal="60" zoomScaleSheetLayoutView="55" workbookViewId="0">
      <selection sqref="A1:XFD1048576"/>
    </sheetView>
  </sheetViews>
  <sheetFormatPr defaultRowHeight="38.1" customHeight="1"/>
  <cols>
    <col min="1" max="1" width="19.1640625" style="598" customWidth="1"/>
    <col min="2" max="2" width="91.1640625" style="598" customWidth="1"/>
    <col min="3" max="10" width="9.33203125" style="598" hidden="1" customWidth="1"/>
    <col min="11" max="11" width="0.1640625" style="598" hidden="1" customWidth="1"/>
    <col min="12" max="12" width="9.33203125" style="598" hidden="1" customWidth="1"/>
    <col min="13" max="13" width="0.1640625" style="598" hidden="1" customWidth="1"/>
    <col min="14" max="15" width="9.33203125" style="598" hidden="1" customWidth="1"/>
    <col min="16" max="16" width="37.83203125" style="598" bestFit="1" customWidth="1"/>
    <col min="17" max="17" width="39.33203125" style="598" customWidth="1"/>
    <col min="18" max="18" width="38.6640625" style="598" bestFit="1" customWidth="1"/>
    <col min="19" max="16384" width="9.33203125" style="598"/>
  </cols>
  <sheetData>
    <row r="1" spans="1:18" ht="38.1" customHeight="1">
      <c r="A1" s="596" t="s">
        <v>45</v>
      </c>
      <c r="B1" s="597" t="s">
        <v>1188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 t="s">
        <v>643</v>
      </c>
      <c r="Q1" s="596" t="s">
        <v>1111</v>
      </c>
      <c r="R1" s="596" t="s">
        <v>63</v>
      </c>
    </row>
    <row r="2" spans="1:18" ht="38.1" customHeight="1">
      <c r="A2" s="596" t="s">
        <v>28</v>
      </c>
      <c r="B2" s="596" t="s">
        <v>29</v>
      </c>
      <c r="C2" s="596" t="s">
        <v>43</v>
      </c>
      <c r="D2" s="599" t="s">
        <v>2</v>
      </c>
      <c r="E2" s="599" t="s">
        <v>48</v>
      </c>
      <c r="F2" s="599" t="s">
        <v>52</v>
      </c>
      <c r="G2" s="599" t="s">
        <v>62</v>
      </c>
      <c r="H2" s="599" t="s">
        <v>69</v>
      </c>
      <c r="I2" s="599" t="s">
        <v>130</v>
      </c>
      <c r="J2" s="599" t="s">
        <v>135</v>
      </c>
      <c r="K2" s="599" t="s">
        <v>143</v>
      </c>
      <c r="L2" s="599" t="s">
        <v>166</v>
      </c>
      <c r="M2" s="599" t="s">
        <v>297</v>
      </c>
      <c r="N2" s="599" t="s">
        <v>641</v>
      </c>
      <c r="O2" s="599"/>
      <c r="P2" s="599"/>
      <c r="Q2" s="599"/>
      <c r="R2" s="599"/>
    </row>
    <row r="3" spans="1:18" ht="38.1" customHeight="1">
      <c r="A3" s="600" t="s">
        <v>262</v>
      </c>
      <c r="B3" s="600" t="s">
        <v>263</v>
      </c>
      <c r="C3" s="601">
        <v>46356000</v>
      </c>
      <c r="D3" s="601">
        <v>18000000</v>
      </c>
      <c r="E3" s="601">
        <v>0</v>
      </c>
      <c r="F3" s="601">
        <v>20000000</v>
      </c>
      <c r="G3" s="601">
        <v>32000000</v>
      </c>
      <c r="H3" s="601">
        <v>40000000</v>
      </c>
      <c r="I3" s="601">
        <v>29792000</v>
      </c>
      <c r="J3" s="601">
        <v>14896000</v>
      </c>
      <c r="K3" s="601">
        <v>14896000</v>
      </c>
      <c r="L3" s="601"/>
      <c r="M3" s="601"/>
      <c r="N3" s="601"/>
      <c r="O3" s="601"/>
      <c r="P3" s="601"/>
      <c r="Q3" s="601"/>
      <c r="R3" s="601"/>
    </row>
    <row r="4" spans="1:18" ht="38.1" customHeight="1">
      <c r="A4" s="600" t="s">
        <v>265</v>
      </c>
      <c r="B4" s="600" t="s">
        <v>264</v>
      </c>
      <c r="C4" s="601">
        <v>270000000</v>
      </c>
      <c r="D4" s="601">
        <v>700000000</v>
      </c>
      <c r="E4" s="601">
        <v>850900000</v>
      </c>
      <c r="F4" s="601">
        <v>885527289</v>
      </c>
      <c r="G4" s="601">
        <v>855000000</v>
      </c>
      <c r="H4" s="601">
        <v>855000000</v>
      </c>
      <c r="I4" s="601">
        <v>855000000</v>
      </c>
      <c r="J4" s="601">
        <v>1381000000</v>
      </c>
      <c r="K4" s="601">
        <v>2000000000</v>
      </c>
      <c r="L4" s="601"/>
      <c r="M4" s="601"/>
      <c r="N4" s="601"/>
      <c r="O4" s="601"/>
      <c r="P4" s="601"/>
      <c r="Q4" s="601"/>
      <c r="R4" s="601"/>
    </row>
    <row r="5" spans="1:18" ht="38.1" customHeight="1">
      <c r="A5" s="601" t="s">
        <v>268</v>
      </c>
      <c r="B5" s="601" t="s">
        <v>1160</v>
      </c>
      <c r="C5" s="601">
        <v>97356000</v>
      </c>
      <c r="D5" s="601">
        <v>60000000</v>
      </c>
      <c r="E5" s="601">
        <v>60000000</v>
      </c>
      <c r="F5" s="601">
        <v>181972636</v>
      </c>
      <c r="G5" s="601">
        <v>650000000</v>
      </c>
      <c r="H5" s="601">
        <v>650000000</v>
      </c>
      <c r="I5" s="601">
        <v>650000000</v>
      </c>
      <c r="J5" s="601">
        <v>1000000000</v>
      </c>
      <c r="K5" s="601">
        <v>22814714</v>
      </c>
      <c r="L5" s="601">
        <v>3152136000</v>
      </c>
      <c r="M5" s="601">
        <f>3152136000-2000000000</f>
        <v>1152136000</v>
      </c>
      <c r="N5" s="601">
        <v>859536750</v>
      </c>
      <c r="O5" s="601"/>
      <c r="P5" s="601">
        <v>859536750</v>
      </c>
      <c r="Q5" s="601">
        <v>1500000000</v>
      </c>
      <c r="R5" s="601">
        <f>Q5-P5</f>
        <v>640463250</v>
      </c>
    </row>
    <row r="6" spans="1:18" ht="38.1" customHeight="1">
      <c r="A6" s="601" t="s">
        <v>375</v>
      </c>
      <c r="B6" s="601" t="s">
        <v>169</v>
      </c>
      <c r="C6" s="600"/>
      <c r="D6" s="600"/>
      <c r="E6" s="600"/>
      <c r="F6" s="600"/>
      <c r="G6" s="600"/>
      <c r="H6" s="600"/>
      <c r="I6" s="600"/>
      <c r="J6" s="600"/>
      <c r="K6" s="601"/>
      <c r="L6" s="601">
        <v>546300000</v>
      </c>
      <c r="M6" s="601">
        <f>8581957092-2000000000-216000000-68493120+702536028</f>
        <v>7000000000</v>
      </c>
      <c r="N6" s="601">
        <v>6586288000</v>
      </c>
      <c r="O6" s="601"/>
      <c r="P6" s="601">
        <v>6586288000</v>
      </c>
      <c r="Q6" s="601">
        <v>7000000000</v>
      </c>
      <c r="R6" s="601">
        <f t="shared" ref="R6:R44" si="0">Q6-P6</f>
        <v>413712000</v>
      </c>
    </row>
    <row r="7" spans="1:18" ht="38.1" customHeight="1">
      <c r="A7" s="601" t="s">
        <v>1181</v>
      </c>
      <c r="B7" s="601" t="s">
        <v>1264</v>
      </c>
      <c r="C7" s="600"/>
      <c r="D7" s="600"/>
      <c r="E7" s="600"/>
      <c r="F7" s="600"/>
      <c r="G7" s="600"/>
      <c r="H7" s="600"/>
      <c r="I7" s="600"/>
      <c r="J7" s="600"/>
      <c r="K7" s="601"/>
      <c r="L7" s="601"/>
      <c r="M7" s="601"/>
      <c r="N7" s="601"/>
      <c r="O7" s="601"/>
      <c r="P7" s="601">
        <v>0</v>
      </c>
      <c r="Q7" s="601">
        <v>9600000000</v>
      </c>
      <c r="R7" s="601"/>
    </row>
    <row r="8" spans="1:18" ht="38.1" customHeight="1">
      <c r="A8" s="601" t="s">
        <v>619</v>
      </c>
      <c r="B8" s="601" t="s">
        <v>1157</v>
      </c>
      <c r="C8" s="600"/>
      <c r="D8" s="600"/>
      <c r="E8" s="600"/>
      <c r="F8" s="600"/>
      <c r="G8" s="600"/>
      <c r="H8" s="600"/>
      <c r="I8" s="600"/>
      <c r="J8" s="600"/>
      <c r="K8" s="601"/>
      <c r="L8" s="601">
        <v>0</v>
      </c>
      <c r="M8" s="601">
        <f>20000000000-1733260000-600000-72000000-108000000-300000000-500000000-452441754+166301754-1000000000-1000000000</f>
        <v>15000000000</v>
      </c>
      <c r="N8" s="601">
        <v>7200000000</v>
      </c>
      <c r="O8" s="601"/>
      <c r="P8" s="601"/>
      <c r="Q8" s="601">
        <v>1611200000</v>
      </c>
      <c r="R8" s="601">
        <f t="shared" si="0"/>
        <v>1611200000</v>
      </c>
    </row>
    <row r="9" spans="1:18" ht="38.1" customHeight="1">
      <c r="A9" s="601" t="s">
        <v>733</v>
      </c>
      <c r="B9" s="601" t="s">
        <v>751</v>
      </c>
      <c r="C9" s="600"/>
      <c r="D9" s="600"/>
      <c r="E9" s="600"/>
      <c r="F9" s="600"/>
      <c r="G9" s="600"/>
      <c r="H9" s="600"/>
      <c r="I9" s="600"/>
      <c r="J9" s="600"/>
      <c r="K9" s="601"/>
      <c r="L9" s="601"/>
      <c r="M9" s="601"/>
      <c r="N9" s="601"/>
      <c r="O9" s="601"/>
      <c r="P9" s="601">
        <v>7200000000</v>
      </c>
      <c r="Q9" s="601">
        <v>0</v>
      </c>
      <c r="R9" s="601">
        <f>Q9-P9</f>
        <v>-7200000000</v>
      </c>
    </row>
    <row r="10" spans="1:18" ht="38.1" customHeight="1">
      <c r="A10" s="601" t="s">
        <v>1239</v>
      </c>
      <c r="B10" s="601" t="s">
        <v>1240</v>
      </c>
      <c r="C10" s="600"/>
      <c r="D10" s="600"/>
      <c r="E10" s="600"/>
      <c r="F10" s="600"/>
      <c r="G10" s="600"/>
      <c r="H10" s="600"/>
      <c r="I10" s="600"/>
      <c r="J10" s="600"/>
      <c r="K10" s="601"/>
      <c r="L10" s="601"/>
      <c r="M10" s="601"/>
      <c r="N10" s="601"/>
      <c r="O10" s="601"/>
      <c r="P10" s="601">
        <v>0</v>
      </c>
      <c r="Q10" s="601">
        <v>1800000000</v>
      </c>
      <c r="R10" s="601">
        <f t="shared" si="0"/>
        <v>1800000000</v>
      </c>
    </row>
    <row r="11" spans="1:18" ht="38.1" customHeight="1">
      <c r="A11" s="601" t="s">
        <v>1215</v>
      </c>
      <c r="B11" s="601" t="s">
        <v>1189</v>
      </c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>
        <v>0</v>
      </c>
      <c r="Q11" s="601">
        <v>900000000</v>
      </c>
      <c r="R11" s="601">
        <f>Q11-P11</f>
        <v>900000000</v>
      </c>
    </row>
    <row r="12" spans="1:18" ht="38.1" customHeight="1">
      <c r="A12" s="601" t="s">
        <v>1213</v>
      </c>
      <c r="B12" s="601" t="s">
        <v>1214</v>
      </c>
      <c r="C12" s="600"/>
      <c r="D12" s="600"/>
      <c r="E12" s="600"/>
      <c r="F12" s="600"/>
      <c r="G12" s="600"/>
      <c r="H12" s="600"/>
      <c r="I12" s="600"/>
      <c r="J12" s="600"/>
      <c r="K12" s="601"/>
      <c r="L12" s="601"/>
      <c r="M12" s="601"/>
      <c r="N12" s="601"/>
      <c r="O12" s="601"/>
      <c r="P12" s="601">
        <v>0</v>
      </c>
      <c r="Q12" s="601">
        <v>11729200000</v>
      </c>
      <c r="R12" s="601">
        <f t="shared" si="0"/>
        <v>11729200000</v>
      </c>
    </row>
    <row r="13" spans="1:18" ht="38.1" customHeight="1">
      <c r="A13" s="601" t="s">
        <v>1224</v>
      </c>
      <c r="B13" s="601" t="s">
        <v>1225</v>
      </c>
      <c r="C13" s="600"/>
      <c r="D13" s="600"/>
      <c r="E13" s="600"/>
      <c r="F13" s="600"/>
      <c r="G13" s="600"/>
      <c r="H13" s="600"/>
      <c r="I13" s="600"/>
      <c r="J13" s="600"/>
      <c r="K13" s="601"/>
      <c r="L13" s="601"/>
      <c r="M13" s="601"/>
      <c r="N13" s="601"/>
      <c r="O13" s="601"/>
      <c r="P13" s="601">
        <v>0</v>
      </c>
      <c r="Q13" s="601">
        <v>6000000000</v>
      </c>
      <c r="R13" s="601">
        <f t="shared" si="0"/>
        <v>6000000000</v>
      </c>
    </row>
    <row r="14" spans="1:18" ht="38.1" customHeight="1">
      <c r="A14" s="601" t="s">
        <v>1226</v>
      </c>
      <c r="B14" s="601" t="s">
        <v>1227</v>
      </c>
      <c r="C14" s="600"/>
      <c r="D14" s="600"/>
      <c r="E14" s="600"/>
      <c r="F14" s="600"/>
      <c r="G14" s="600"/>
      <c r="H14" s="600"/>
      <c r="I14" s="600"/>
      <c r="J14" s="600"/>
      <c r="K14" s="601"/>
      <c r="L14" s="601"/>
      <c r="M14" s="601"/>
      <c r="N14" s="601"/>
      <c r="O14" s="601"/>
      <c r="P14" s="601">
        <v>0</v>
      </c>
      <c r="Q14" s="601">
        <v>12000000000</v>
      </c>
      <c r="R14" s="601">
        <f t="shared" si="0"/>
        <v>12000000000</v>
      </c>
    </row>
    <row r="15" spans="1:18" ht="38.1" customHeight="1">
      <c r="A15" s="601"/>
      <c r="B15" s="600" t="s">
        <v>119</v>
      </c>
      <c r="C15" s="600"/>
      <c r="D15" s="600"/>
      <c r="E15" s="600"/>
      <c r="F15" s="600"/>
      <c r="G15" s="600"/>
      <c r="H15" s="600"/>
      <c r="I15" s="600"/>
      <c r="J15" s="600"/>
      <c r="K15" s="601">
        <v>0</v>
      </c>
      <c r="L15" s="600">
        <f>SUM(L5:L8)</f>
        <v>3698436000</v>
      </c>
      <c r="M15" s="600">
        <f>SUM(M5:M8)</f>
        <v>23152136000</v>
      </c>
      <c r="N15" s="600">
        <f>SUM(N5:N8)</f>
        <v>14645824750</v>
      </c>
      <c r="O15" s="600"/>
      <c r="P15" s="600">
        <f>SUM(P5:P14)</f>
        <v>14645824750</v>
      </c>
      <c r="Q15" s="600">
        <f>SUM(Q5:Q14)</f>
        <v>52140400000</v>
      </c>
      <c r="R15" s="601">
        <f t="shared" si="0"/>
        <v>37494575250</v>
      </c>
    </row>
    <row r="16" spans="1:18" ht="38.1" customHeight="1">
      <c r="A16" s="600" t="s">
        <v>279</v>
      </c>
      <c r="B16" s="600" t="s">
        <v>278</v>
      </c>
      <c r="C16" s="600"/>
      <c r="D16" s="600"/>
      <c r="E16" s="600"/>
      <c r="F16" s="600"/>
      <c r="G16" s="600"/>
      <c r="H16" s="600"/>
      <c r="I16" s="600"/>
      <c r="J16" s="600"/>
      <c r="K16" s="601">
        <v>59584000</v>
      </c>
      <c r="L16" s="601"/>
      <c r="M16" s="601"/>
      <c r="N16" s="601"/>
      <c r="O16" s="601"/>
      <c r="P16" s="601"/>
      <c r="Q16" s="601"/>
      <c r="R16" s="601">
        <f t="shared" si="0"/>
        <v>0</v>
      </c>
    </row>
    <row r="17" spans="1:18" ht="38.1" customHeight="1">
      <c r="A17" s="601" t="s">
        <v>284</v>
      </c>
      <c r="B17" s="601" t="s">
        <v>377</v>
      </c>
      <c r="C17" s="601">
        <v>36000000</v>
      </c>
      <c r="D17" s="601">
        <f>93221000+18000+300000</f>
        <v>93539000</v>
      </c>
      <c r="E17" s="601">
        <v>82800000</v>
      </c>
      <c r="F17" s="601">
        <v>297500000</v>
      </c>
      <c r="G17" s="601">
        <v>0</v>
      </c>
      <c r="H17" s="601">
        <v>281600000</v>
      </c>
      <c r="I17" s="601">
        <v>0</v>
      </c>
      <c r="J17" s="601">
        <v>200000000</v>
      </c>
      <c r="K17" s="601"/>
      <c r="L17" s="601">
        <v>1029600000</v>
      </c>
      <c r="M17" s="601">
        <v>900000000</v>
      </c>
      <c r="N17" s="601">
        <f>M17</f>
        <v>900000000</v>
      </c>
      <c r="O17" s="601"/>
      <c r="P17" s="601">
        <v>900000000</v>
      </c>
      <c r="Q17" s="601">
        <v>1000000000</v>
      </c>
      <c r="R17" s="601">
        <f t="shared" si="0"/>
        <v>100000000</v>
      </c>
    </row>
    <row r="18" spans="1:18" ht="38.1" customHeight="1">
      <c r="A18" s="601" t="s">
        <v>736</v>
      </c>
      <c r="B18" s="601" t="s">
        <v>737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>
        <v>0</v>
      </c>
      <c r="N18" s="601">
        <v>972000000</v>
      </c>
      <c r="O18" s="601"/>
      <c r="P18" s="601">
        <v>972000000</v>
      </c>
      <c r="Q18" s="601">
        <v>972000000</v>
      </c>
      <c r="R18" s="601">
        <f t="shared" si="0"/>
        <v>0</v>
      </c>
    </row>
    <row r="19" spans="1:18" ht="38.1" customHeight="1">
      <c r="A19" s="601" t="s">
        <v>298</v>
      </c>
      <c r="B19" s="601" t="s">
        <v>1190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>
        <v>60000000</v>
      </c>
      <c r="M19" s="601">
        <f>160000000+100000000</f>
        <v>260000000</v>
      </c>
      <c r="N19" s="601">
        <v>1940199628</v>
      </c>
      <c r="O19" s="601"/>
      <c r="P19" s="601">
        <v>1940199628</v>
      </c>
      <c r="Q19" s="601">
        <v>2900000000</v>
      </c>
      <c r="R19" s="601">
        <f t="shared" si="0"/>
        <v>959800372</v>
      </c>
    </row>
    <row r="20" spans="1:18" ht="38.1" customHeight="1">
      <c r="A20" s="601" t="s">
        <v>378</v>
      </c>
      <c r="B20" s="601" t="s">
        <v>379</v>
      </c>
      <c r="C20" s="601">
        <v>20624396</v>
      </c>
      <c r="D20" s="601">
        <v>24651000</v>
      </c>
      <c r="E20" s="601">
        <v>24651000</v>
      </c>
      <c r="F20" s="601">
        <f>24651000+1711500</f>
        <v>26362500</v>
      </c>
      <c r="G20" s="601">
        <v>21089600</v>
      </c>
      <c r="H20" s="601">
        <v>26362000</v>
      </c>
      <c r="I20" s="601">
        <v>19364418</v>
      </c>
      <c r="J20" s="601">
        <v>19364418</v>
      </c>
      <c r="K20" s="601">
        <v>189000000</v>
      </c>
      <c r="L20" s="601">
        <v>410400000</v>
      </c>
      <c r="M20" s="601">
        <f>570000000</f>
        <v>570000000</v>
      </c>
      <c r="N20" s="601">
        <v>900000000</v>
      </c>
      <c r="O20" s="601"/>
      <c r="P20" s="601">
        <v>900000000</v>
      </c>
      <c r="Q20" s="601">
        <v>1100000000</v>
      </c>
      <c r="R20" s="601">
        <f t="shared" si="0"/>
        <v>200000000</v>
      </c>
    </row>
    <row r="21" spans="1:18" ht="38.1" customHeight="1">
      <c r="A21" s="601" t="s">
        <v>738</v>
      </c>
      <c r="B21" s="601" t="s">
        <v>1211</v>
      </c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>
        <v>0</v>
      </c>
      <c r="N21" s="601">
        <v>276000000</v>
      </c>
      <c r="O21" s="601"/>
      <c r="P21" s="601">
        <v>0</v>
      </c>
      <c r="Q21" s="601">
        <v>6000000000</v>
      </c>
      <c r="R21" s="601">
        <f t="shared" si="0"/>
        <v>6000000000</v>
      </c>
    </row>
    <row r="22" spans="1:18" ht="38.1" customHeight="1">
      <c r="A22" s="601"/>
      <c r="B22" s="600" t="s">
        <v>119</v>
      </c>
      <c r="C22" s="600">
        <f t="shared" ref="C22:J22" si="1">SUM(C17:C20)</f>
        <v>56624396</v>
      </c>
      <c r="D22" s="600">
        <f t="shared" si="1"/>
        <v>118190000</v>
      </c>
      <c r="E22" s="600">
        <f t="shared" si="1"/>
        <v>107451000</v>
      </c>
      <c r="F22" s="600">
        <f t="shared" si="1"/>
        <v>323862500</v>
      </c>
      <c r="G22" s="600">
        <f t="shared" si="1"/>
        <v>21089600</v>
      </c>
      <c r="H22" s="600">
        <f t="shared" si="1"/>
        <v>307962000</v>
      </c>
      <c r="I22" s="600">
        <f t="shared" si="1"/>
        <v>19364418</v>
      </c>
      <c r="J22" s="600">
        <f t="shared" si="1"/>
        <v>219364418</v>
      </c>
      <c r="K22" s="601">
        <v>26205043</v>
      </c>
      <c r="L22" s="600">
        <f>SUM(L17:L20)</f>
        <v>1500000000</v>
      </c>
      <c r="M22" s="600">
        <f>SUM(M17:M20)</f>
        <v>1730000000</v>
      </c>
      <c r="N22" s="600">
        <f>SUM(N17:N21)</f>
        <v>4988199628</v>
      </c>
      <c r="O22" s="600"/>
      <c r="P22" s="600">
        <f>SUM(P17:P21)</f>
        <v>4712199628</v>
      </c>
      <c r="Q22" s="600">
        <f>SUM(Q17:Q21)</f>
        <v>11972000000</v>
      </c>
      <c r="R22" s="601">
        <f t="shared" si="0"/>
        <v>7259800372</v>
      </c>
    </row>
    <row r="23" spans="1:18" ht="38.1" customHeight="1">
      <c r="A23" s="601"/>
      <c r="B23" s="600" t="s">
        <v>1272</v>
      </c>
      <c r="C23" s="600"/>
      <c r="D23" s="600"/>
      <c r="E23" s="600"/>
      <c r="F23" s="600"/>
      <c r="G23" s="600"/>
      <c r="H23" s="600"/>
      <c r="I23" s="600"/>
      <c r="J23" s="600"/>
      <c r="K23" s="601"/>
      <c r="L23" s="600"/>
      <c r="M23" s="600"/>
      <c r="N23" s="600"/>
      <c r="O23" s="600"/>
      <c r="P23" s="600"/>
      <c r="Q23" s="600"/>
      <c r="R23" s="601"/>
    </row>
    <row r="24" spans="1:18" ht="38.1" customHeight="1">
      <c r="A24" s="601" t="s">
        <v>567</v>
      </c>
      <c r="B24" s="601" t="s">
        <v>1231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>
        <v>0</v>
      </c>
      <c r="Q24" s="601">
        <v>1800000000</v>
      </c>
      <c r="R24" s="601">
        <f t="shared" si="0"/>
        <v>1800000000</v>
      </c>
    </row>
    <row r="25" spans="1:18" ht="38.1" customHeight="1">
      <c r="A25" s="601" t="s">
        <v>501</v>
      </c>
      <c r="B25" s="601" t="s">
        <v>1229</v>
      </c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>
        <v>0</v>
      </c>
      <c r="Q25" s="601">
        <v>0</v>
      </c>
      <c r="R25" s="601">
        <f t="shared" si="0"/>
        <v>0</v>
      </c>
    </row>
    <row r="26" spans="1:18" ht="38.1" customHeight="1">
      <c r="A26" s="601" t="s">
        <v>500</v>
      </c>
      <c r="B26" s="601" t="s">
        <v>1268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>
        <v>0</v>
      </c>
      <c r="Q26" s="601">
        <v>2400000000</v>
      </c>
      <c r="R26" s="601">
        <f t="shared" si="0"/>
        <v>2400000000</v>
      </c>
    </row>
    <row r="27" spans="1:18" ht="38.1" customHeight="1">
      <c r="A27" s="601" t="s">
        <v>1185</v>
      </c>
      <c r="B27" s="601" t="s">
        <v>1237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>
        <v>3158000000</v>
      </c>
      <c r="Q27" s="601">
        <v>7200000000</v>
      </c>
      <c r="R27" s="601">
        <f t="shared" si="0"/>
        <v>4042000000</v>
      </c>
    </row>
    <row r="28" spans="1:18" ht="38.1" customHeight="1">
      <c r="A28" s="601" t="s">
        <v>1228</v>
      </c>
      <c r="B28" s="601" t="s">
        <v>1238</v>
      </c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>
        <v>0</v>
      </c>
      <c r="Q28" s="601">
        <v>2400000000</v>
      </c>
      <c r="R28" s="601">
        <f t="shared" si="0"/>
        <v>2400000000</v>
      </c>
    </row>
    <row r="29" spans="1:18" ht="38.1" customHeight="1">
      <c r="A29" s="601" t="s">
        <v>1228</v>
      </c>
      <c r="B29" s="601" t="s">
        <v>1230</v>
      </c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>
        <v>0</v>
      </c>
      <c r="Q29" s="601">
        <v>1800000000</v>
      </c>
      <c r="R29" s="601">
        <f t="shared" si="0"/>
        <v>1800000000</v>
      </c>
    </row>
    <row r="30" spans="1:18" ht="38.1" customHeight="1">
      <c r="A30" s="601" t="s">
        <v>1176</v>
      </c>
      <c r="B30" s="601" t="s">
        <v>1263</v>
      </c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>
        <v>0</v>
      </c>
      <c r="Q30" s="601">
        <v>2400000000</v>
      </c>
      <c r="R30" s="601">
        <f t="shared" si="0"/>
        <v>2400000000</v>
      </c>
    </row>
    <row r="31" spans="1:18" ht="38.1" customHeight="1">
      <c r="A31" s="601"/>
      <c r="B31" s="600" t="s">
        <v>119</v>
      </c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0">
        <f>SUM(P24:P30)</f>
        <v>3158000000</v>
      </c>
      <c r="Q31" s="600">
        <f>SUM(Q24:Q30)</f>
        <v>18000000000</v>
      </c>
      <c r="R31" s="600">
        <f t="shared" si="0"/>
        <v>14842000000</v>
      </c>
    </row>
    <row r="32" spans="1:18" ht="38.1" customHeight="1">
      <c r="A32" s="600" t="s">
        <v>381</v>
      </c>
      <c r="B32" s="600" t="s">
        <v>158</v>
      </c>
      <c r="C32" s="601"/>
      <c r="D32" s="601"/>
      <c r="E32" s="601" t="s">
        <v>4</v>
      </c>
      <c r="F32" s="601">
        <v>0</v>
      </c>
      <c r="G32" s="601">
        <v>0</v>
      </c>
      <c r="H32" s="601">
        <v>0</v>
      </c>
      <c r="I32" s="601">
        <v>0</v>
      </c>
      <c r="J32" s="601"/>
      <c r="K32" s="601">
        <v>1000000000</v>
      </c>
      <c r="L32" s="601"/>
      <c r="M32" s="601"/>
      <c r="N32" s="601"/>
      <c r="O32" s="601"/>
      <c r="P32" s="601"/>
      <c r="Q32" s="601"/>
      <c r="R32" s="601"/>
    </row>
    <row r="33" spans="1:18" ht="38.1" customHeight="1">
      <c r="A33" s="601" t="s">
        <v>825</v>
      </c>
      <c r="B33" s="601" t="s">
        <v>1223</v>
      </c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>
        <v>2300000000</v>
      </c>
      <c r="Q33" s="601">
        <v>13200000000</v>
      </c>
      <c r="R33" s="601">
        <f t="shared" si="0"/>
        <v>10900000000</v>
      </c>
    </row>
    <row r="34" spans="1:18" ht="38.1" customHeight="1">
      <c r="A34" s="601" t="s">
        <v>1234</v>
      </c>
      <c r="B34" s="601" t="s">
        <v>1256</v>
      </c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>
        <v>2400000000</v>
      </c>
      <c r="R34" s="601">
        <f t="shared" si="0"/>
        <v>2400000000</v>
      </c>
    </row>
    <row r="35" spans="1:18" ht="38.1" customHeight="1">
      <c r="A35" s="601"/>
      <c r="B35" s="600" t="s">
        <v>119</v>
      </c>
      <c r="C35" s="601"/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0">
        <f>SUM(P33:P34)</f>
        <v>2300000000</v>
      </c>
      <c r="Q35" s="600">
        <f>SUM(Q33:Q34)</f>
        <v>15600000000</v>
      </c>
      <c r="R35" s="601">
        <f t="shared" si="0"/>
        <v>13300000000</v>
      </c>
    </row>
    <row r="36" spans="1:18" ht="38.1" customHeight="1">
      <c r="A36" s="602" t="s">
        <v>611</v>
      </c>
      <c r="B36" s="603" t="s">
        <v>612</v>
      </c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>
        <f t="shared" si="0"/>
        <v>0</v>
      </c>
    </row>
    <row r="37" spans="1:18" ht="38.1" customHeight="1">
      <c r="A37" s="604" t="s">
        <v>433</v>
      </c>
      <c r="B37" s="601" t="s">
        <v>1158</v>
      </c>
      <c r="C37" s="600"/>
      <c r="D37" s="600"/>
      <c r="E37" s="600"/>
      <c r="F37" s="600"/>
      <c r="G37" s="600"/>
      <c r="H37" s="600"/>
      <c r="I37" s="600"/>
      <c r="J37" s="600"/>
      <c r="K37" s="601"/>
      <c r="L37" s="601">
        <v>1000000000</v>
      </c>
      <c r="M37" s="601">
        <f>700000000+300000000</f>
        <v>1000000000</v>
      </c>
      <c r="N37" s="601">
        <v>1050000000</v>
      </c>
      <c r="O37" s="601"/>
      <c r="P37" s="601">
        <v>540000000</v>
      </c>
      <c r="Q37" s="601">
        <v>1080000000</v>
      </c>
      <c r="R37" s="601">
        <f t="shared" si="0"/>
        <v>540000000</v>
      </c>
    </row>
    <row r="38" spans="1:18" ht="38.1" customHeight="1">
      <c r="A38" s="604" t="s">
        <v>816</v>
      </c>
      <c r="B38" s="601" t="s">
        <v>817</v>
      </c>
      <c r="C38" s="600"/>
      <c r="D38" s="600"/>
      <c r="E38" s="600"/>
      <c r="F38" s="600"/>
      <c r="G38" s="600"/>
      <c r="H38" s="600"/>
      <c r="I38" s="600"/>
      <c r="J38" s="600"/>
      <c r="K38" s="601"/>
      <c r="L38" s="601"/>
      <c r="M38" s="601">
        <v>0</v>
      </c>
      <c r="N38" s="601">
        <v>410000000</v>
      </c>
      <c r="O38" s="601"/>
      <c r="P38" s="601">
        <v>410000000</v>
      </c>
      <c r="Q38" s="601">
        <v>600000000</v>
      </c>
      <c r="R38" s="601">
        <f t="shared" si="0"/>
        <v>190000000</v>
      </c>
    </row>
    <row r="39" spans="1:18" ht="38.1" customHeight="1">
      <c r="A39" s="604"/>
      <c r="B39" s="600" t="s">
        <v>119</v>
      </c>
      <c r="C39" s="601"/>
      <c r="D39" s="601"/>
      <c r="E39" s="601"/>
      <c r="F39" s="601"/>
      <c r="G39" s="601"/>
      <c r="H39" s="601"/>
      <c r="I39" s="601"/>
      <c r="J39" s="600">
        <f>SUM(J37)</f>
        <v>0</v>
      </c>
      <c r="K39" s="600">
        <f>SUM(K37)</f>
        <v>0</v>
      </c>
      <c r="L39" s="600">
        <f>SUM(L37)</f>
        <v>1000000000</v>
      </c>
      <c r="M39" s="600">
        <f>SUM(M37)</f>
        <v>1000000000</v>
      </c>
      <c r="N39" s="600">
        <f>SUM(N37:N38)</f>
        <v>1460000000</v>
      </c>
      <c r="O39" s="600"/>
      <c r="P39" s="600">
        <f>SUM(P37:P38)</f>
        <v>950000000</v>
      </c>
      <c r="Q39" s="600">
        <f>SUM(Q37:Q38)</f>
        <v>1680000000</v>
      </c>
      <c r="R39" s="601">
        <f t="shared" si="0"/>
        <v>730000000</v>
      </c>
    </row>
    <row r="40" spans="1:18" ht="38.1" customHeight="1">
      <c r="A40" s="605" t="s">
        <v>807</v>
      </c>
      <c r="B40" s="600" t="s">
        <v>808</v>
      </c>
      <c r="C40" s="601"/>
      <c r="D40" s="601"/>
      <c r="E40" s="601"/>
      <c r="F40" s="601"/>
      <c r="G40" s="601"/>
      <c r="H40" s="601"/>
      <c r="I40" s="601"/>
      <c r="J40" s="600"/>
      <c r="K40" s="600"/>
      <c r="L40" s="600"/>
      <c r="M40" s="600"/>
      <c r="N40" s="600">
        <v>40836096697</v>
      </c>
      <c r="O40" s="600"/>
      <c r="P40" s="601">
        <v>40836096697</v>
      </c>
      <c r="Q40" s="601">
        <v>2039602385</v>
      </c>
      <c r="R40" s="601">
        <f>Q40-P40</f>
        <v>-38796494312</v>
      </c>
    </row>
    <row r="41" spans="1:18" ht="38.1" customHeight="1">
      <c r="A41" s="605" t="s">
        <v>1281</v>
      </c>
      <c r="B41" s="600" t="s">
        <v>1257</v>
      </c>
      <c r="C41" s="601"/>
      <c r="D41" s="601"/>
      <c r="E41" s="601"/>
      <c r="F41" s="601"/>
      <c r="G41" s="601"/>
      <c r="H41" s="601"/>
      <c r="I41" s="601"/>
      <c r="J41" s="600"/>
      <c r="K41" s="600"/>
      <c r="L41" s="600"/>
      <c r="M41" s="600"/>
      <c r="N41" s="600"/>
      <c r="O41" s="600"/>
      <c r="P41" s="601">
        <v>0</v>
      </c>
      <c r="Q41" s="601">
        <v>24000000000</v>
      </c>
      <c r="R41" s="601">
        <f>Q41-P41</f>
        <v>24000000000</v>
      </c>
    </row>
    <row r="42" spans="1:18" ht="38.1" customHeight="1">
      <c r="A42" s="605" t="s">
        <v>1282</v>
      </c>
      <c r="B42" s="600" t="s">
        <v>1258</v>
      </c>
      <c r="C42" s="601"/>
      <c r="D42" s="601"/>
      <c r="E42" s="601"/>
      <c r="F42" s="601"/>
      <c r="G42" s="601"/>
      <c r="H42" s="601"/>
      <c r="I42" s="601"/>
      <c r="J42" s="600"/>
      <c r="K42" s="600"/>
      <c r="L42" s="600"/>
      <c r="M42" s="600"/>
      <c r="N42" s="600"/>
      <c r="O42" s="600"/>
      <c r="P42" s="601">
        <v>0</v>
      </c>
      <c r="Q42" s="601">
        <v>8000000000</v>
      </c>
      <c r="R42" s="601">
        <f>Q42-P42</f>
        <v>8000000000</v>
      </c>
    </row>
    <row r="43" spans="1:18" ht="38.1" customHeight="1">
      <c r="A43" s="605"/>
      <c r="B43" s="600" t="s">
        <v>119</v>
      </c>
      <c r="C43" s="601"/>
      <c r="D43" s="601"/>
      <c r="E43" s="601"/>
      <c r="F43" s="601"/>
      <c r="G43" s="601"/>
      <c r="H43" s="601"/>
      <c r="I43" s="601"/>
      <c r="J43" s="600"/>
      <c r="K43" s="600"/>
      <c r="L43" s="600"/>
      <c r="M43" s="600"/>
      <c r="N43" s="600"/>
      <c r="O43" s="600"/>
      <c r="P43" s="600">
        <f>SUM(P40:P42)</f>
        <v>40836096697</v>
      </c>
      <c r="Q43" s="600">
        <f>SUM(Q40:Q42)</f>
        <v>34039602385</v>
      </c>
      <c r="R43" s="601">
        <f>Q43-P43</f>
        <v>-6796494312</v>
      </c>
    </row>
    <row r="44" spans="1:18" ht="38.1" customHeight="1">
      <c r="A44" s="606"/>
      <c r="B44" s="596" t="s">
        <v>122</v>
      </c>
      <c r="C44" s="596"/>
      <c r="D44" s="596"/>
      <c r="E44" s="596"/>
      <c r="F44" s="600">
        <v>6556984977</v>
      </c>
      <c r="G44" s="600"/>
      <c r="H44" s="600"/>
      <c r="I44" s="600"/>
      <c r="J44" s="600"/>
      <c r="K44" s="600"/>
      <c r="L44" s="600" t="e">
        <f>L39+#REF!+#REF!+#REF!+L22+L15+#REF!</f>
        <v>#REF!</v>
      </c>
      <c r="M44" s="600" t="e">
        <f>M39+#REF!+#REF!+#REF!+M22+M15+#REF!</f>
        <v>#REF!</v>
      </c>
      <c r="N44" s="600" t="e">
        <f>N39+#REF!+#REF!+#REF!+N22+N15+#REF!+N40</f>
        <v>#REF!</v>
      </c>
      <c r="O44" s="600"/>
      <c r="P44" s="600">
        <f>P40+P39+P22+P15+P35+P31</f>
        <v>66602121075</v>
      </c>
      <c r="Q44" s="600">
        <f>Q39+Q22+Q15+Q35+Q31+Q43</f>
        <v>133432002385</v>
      </c>
      <c r="R44" s="600">
        <f t="shared" si="0"/>
        <v>66829881310</v>
      </c>
    </row>
  </sheetData>
  <pageMargins left="0.7" right="0.7" top="1.18" bottom="0.75" header="0.3" footer="0.3"/>
  <pageSetup scale="39" orientation="portrait" r:id="rId1"/>
  <headerFooter>
    <oddHeader>&amp;C&amp;"Times New Roman,Bold"&amp;36Khasnada Guud Ee Qaranka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1"/>
  <dimension ref="A1:IX2444"/>
  <sheetViews>
    <sheetView view="pageBreakPreview" zoomScale="60" zoomScalePageLayoutView="55" workbookViewId="0">
      <selection sqref="A1:XFD1048576"/>
    </sheetView>
  </sheetViews>
  <sheetFormatPr defaultRowHeight="12.75"/>
  <cols>
    <col min="1" max="1" width="16.6640625" style="155" bestFit="1" customWidth="1"/>
    <col min="2" max="2" width="81" style="155" bestFit="1" customWidth="1"/>
    <col min="3" max="3" width="20" style="155" hidden="1" customWidth="1"/>
    <col min="4" max="4" width="19.5" style="155" hidden="1" customWidth="1"/>
    <col min="5" max="5" width="18" style="155" hidden="1" customWidth="1"/>
    <col min="6" max="7" width="19.5" style="155" hidden="1" customWidth="1"/>
    <col min="8" max="8" width="0.6640625" style="155" hidden="1" customWidth="1"/>
    <col min="9" max="9" width="19.5" style="155" hidden="1" customWidth="1"/>
    <col min="10" max="10" width="21" style="155" hidden="1" customWidth="1"/>
    <col min="11" max="11" width="2.33203125" style="155" hidden="1" customWidth="1"/>
    <col min="12" max="12" width="23.1640625" style="155" hidden="1" customWidth="1"/>
    <col min="13" max="13" width="25.1640625" style="155" hidden="1" customWidth="1"/>
    <col min="14" max="15" width="27.6640625" style="155" bestFit="1" customWidth="1"/>
    <col min="16" max="16" width="28.83203125" style="399" bestFit="1" customWidth="1"/>
    <col min="17" max="17" width="3" style="155" bestFit="1" customWidth="1"/>
    <col min="18" max="18" width="18" style="155" customWidth="1"/>
    <col min="19" max="19" width="17.33203125" style="155" customWidth="1"/>
    <col min="20" max="16384" width="9.33203125" style="155"/>
  </cols>
  <sheetData>
    <row r="1" spans="1:258" ht="25.5" customHeight="1">
      <c r="A1" s="373" t="s">
        <v>45</v>
      </c>
      <c r="B1" s="443" t="s">
        <v>471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292"/>
      <c r="Q1" s="475"/>
    </row>
    <row r="2" spans="1:258" ht="25.5" customHeight="1">
      <c r="A2" s="292" t="s">
        <v>248</v>
      </c>
      <c r="B2" s="292" t="s">
        <v>165</v>
      </c>
      <c r="C2" s="373" t="s">
        <v>43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130</v>
      </c>
      <c r="J2" s="378" t="s">
        <v>135</v>
      </c>
      <c r="K2" s="378" t="s">
        <v>143</v>
      </c>
      <c r="L2" s="378" t="s">
        <v>180</v>
      </c>
      <c r="M2" s="378" t="s">
        <v>297</v>
      </c>
      <c r="N2" s="378" t="s">
        <v>641</v>
      </c>
      <c r="O2" s="378" t="s">
        <v>1111</v>
      </c>
      <c r="P2" s="271" t="s">
        <v>63</v>
      </c>
      <c r="Q2" s="475"/>
    </row>
    <row r="3" spans="1:258" ht="25.5" customHeight="1">
      <c r="A3" s="292" t="s">
        <v>249</v>
      </c>
      <c r="B3" s="292" t="s">
        <v>250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284"/>
      <c r="Q3" s="475"/>
    </row>
    <row r="4" spans="1:258" ht="25.5" customHeight="1">
      <c r="A4" s="284" t="s">
        <v>247</v>
      </c>
      <c r="B4" s="284" t="s">
        <v>32</v>
      </c>
      <c r="C4" s="335"/>
      <c r="D4" s="335"/>
      <c r="E4" s="335"/>
      <c r="F4" s="335"/>
      <c r="G4" s="335"/>
      <c r="H4" s="335"/>
      <c r="I4" s="360">
        <v>321389200</v>
      </c>
      <c r="J4" s="607">
        <f>348925200+54000000+6000000</f>
        <v>408925200</v>
      </c>
      <c r="K4" s="607">
        <f>408925200+12000000+4149600+936000-936000+1887600</f>
        <v>426962400</v>
      </c>
      <c r="L4" s="607">
        <v>731890800</v>
      </c>
      <c r="M4" s="607">
        <f>'shaq,3'!H30+36000000+64740000</f>
        <v>1238292000</v>
      </c>
      <c r="N4" s="607">
        <v>1285471200</v>
      </c>
      <c r="O4" s="607">
        <v>1027322400</v>
      </c>
      <c r="P4" s="362">
        <f>O4-N4</f>
        <v>-258148800</v>
      </c>
      <c r="Q4" s="475"/>
    </row>
    <row r="5" spans="1:258" ht="25.5" customHeight="1">
      <c r="A5" s="284" t="s">
        <v>251</v>
      </c>
      <c r="B5" s="284" t="s">
        <v>33</v>
      </c>
      <c r="C5" s="284">
        <v>7553000</v>
      </c>
      <c r="D5" s="284">
        <v>0</v>
      </c>
      <c r="E5" s="284">
        <v>0</v>
      </c>
      <c r="F5" s="284">
        <v>45000000</v>
      </c>
      <c r="G5" s="284">
        <f>F5</f>
        <v>45000000</v>
      </c>
      <c r="H5" s="284">
        <v>45000000</v>
      </c>
      <c r="I5" s="284">
        <v>0</v>
      </c>
      <c r="J5" s="362">
        <v>0</v>
      </c>
      <c r="K5" s="362">
        <v>0</v>
      </c>
      <c r="L5" s="362">
        <v>45000000</v>
      </c>
      <c r="M5" s="362">
        <f>L5*200%</f>
        <v>90000000</v>
      </c>
      <c r="N5" s="362">
        <v>187200000</v>
      </c>
      <c r="O5" s="362">
        <v>97200000</v>
      </c>
      <c r="P5" s="362">
        <f t="shared" ref="P5:P49" si="0">O5-N5</f>
        <v>-90000000</v>
      </c>
      <c r="Q5" s="475"/>
      <c r="R5" s="608"/>
      <c r="S5" s="418"/>
      <c r="T5" s="418"/>
      <c r="U5" s="399"/>
      <c r="V5" s="399"/>
      <c r="W5" s="455"/>
      <c r="X5" s="608"/>
      <c r="Y5" s="608"/>
      <c r="Z5" s="418"/>
      <c r="AA5" s="418"/>
      <c r="AB5" s="399"/>
      <c r="AC5" s="399"/>
      <c r="AD5" s="455"/>
      <c r="AE5" s="608"/>
      <c r="AF5" s="608"/>
      <c r="AG5" s="418"/>
      <c r="AH5" s="418"/>
      <c r="AI5" s="399"/>
      <c r="AJ5" s="399"/>
      <c r="AK5" s="455"/>
      <c r="AL5" s="608"/>
      <c r="AM5" s="608"/>
      <c r="AN5" s="418"/>
      <c r="AO5" s="418"/>
      <c r="AP5" s="399"/>
      <c r="AQ5" s="399"/>
      <c r="AR5" s="455"/>
      <c r="AS5" s="608"/>
      <c r="AT5" s="608"/>
      <c r="AU5" s="418"/>
      <c r="AV5" s="418"/>
      <c r="AW5" s="399"/>
      <c r="AX5" s="399"/>
      <c r="AY5" s="455"/>
      <c r="AZ5" s="608"/>
      <c r="BA5" s="608"/>
      <c r="BB5" s="418"/>
      <c r="BC5" s="418"/>
      <c r="BD5" s="399"/>
      <c r="BE5" s="399"/>
      <c r="BF5" s="455"/>
      <c r="BG5" s="608"/>
      <c r="BH5" s="608"/>
      <c r="BI5" s="418"/>
      <c r="BJ5" s="418"/>
      <c r="BK5" s="399"/>
      <c r="BL5" s="399"/>
      <c r="BM5" s="455"/>
      <c r="BN5" s="608"/>
      <c r="BO5" s="608"/>
      <c r="BP5" s="418"/>
      <c r="BQ5" s="418"/>
      <c r="BR5" s="399"/>
      <c r="BS5" s="399"/>
      <c r="BT5" s="455"/>
      <c r="BU5" s="608"/>
      <c r="BV5" s="608"/>
      <c r="BW5" s="418"/>
      <c r="BX5" s="418"/>
      <c r="BY5" s="399"/>
      <c r="BZ5" s="399"/>
      <c r="CA5" s="455"/>
      <c r="CB5" s="608"/>
      <c r="CC5" s="608"/>
      <c r="CD5" s="418"/>
      <c r="CE5" s="418"/>
      <c r="CF5" s="399"/>
      <c r="CG5" s="399"/>
      <c r="CH5" s="455"/>
      <c r="CI5" s="608"/>
      <c r="CJ5" s="608"/>
      <c r="CK5" s="418"/>
      <c r="CL5" s="418"/>
      <c r="CM5" s="399"/>
      <c r="CN5" s="399"/>
      <c r="CO5" s="455"/>
      <c r="CP5" s="608"/>
      <c r="CQ5" s="608"/>
      <c r="CR5" s="418"/>
      <c r="CS5" s="418"/>
      <c r="CT5" s="399"/>
      <c r="CU5" s="399"/>
      <c r="CV5" s="455"/>
      <c r="CW5" s="608"/>
      <c r="CX5" s="608"/>
      <c r="CY5" s="418"/>
      <c r="CZ5" s="418"/>
      <c r="DA5" s="399"/>
      <c r="DB5" s="399"/>
      <c r="DC5" s="455"/>
      <c r="DD5" s="608"/>
      <c r="DE5" s="608"/>
      <c r="DF5" s="418"/>
      <c r="DG5" s="418"/>
      <c r="DH5" s="399"/>
      <c r="DI5" s="399"/>
      <c r="DJ5" s="455"/>
      <c r="DK5" s="608"/>
      <c r="DL5" s="608"/>
      <c r="DM5" s="418"/>
      <c r="DN5" s="418"/>
      <c r="DO5" s="399"/>
      <c r="DP5" s="399"/>
      <c r="DQ5" s="455"/>
      <c r="DR5" s="608"/>
      <c r="DS5" s="608"/>
      <c r="DT5" s="418"/>
      <c r="DU5" s="418"/>
      <c r="DV5" s="399"/>
      <c r="DW5" s="399"/>
      <c r="DX5" s="455"/>
      <c r="DY5" s="608"/>
      <c r="DZ5" s="608"/>
      <c r="EA5" s="418"/>
      <c r="EB5" s="418"/>
      <c r="EC5" s="399"/>
      <c r="ED5" s="399"/>
      <c r="EE5" s="455"/>
      <c r="EF5" s="608"/>
      <c r="EG5" s="608"/>
      <c r="EH5" s="418"/>
      <c r="EI5" s="418"/>
      <c r="EJ5" s="399"/>
      <c r="EK5" s="399"/>
      <c r="EL5" s="455"/>
      <c r="EM5" s="608"/>
      <c r="EN5" s="608"/>
      <c r="EO5" s="418"/>
      <c r="EP5" s="418"/>
      <c r="EQ5" s="399"/>
      <c r="ER5" s="399"/>
      <c r="ES5" s="455"/>
      <c r="ET5" s="608"/>
      <c r="EU5" s="608"/>
      <c r="EV5" s="418"/>
      <c r="EW5" s="418"/>
      <c r="EX5" s="399"/>
      <c r="EY5" s="399"/>
      <c r="EZ5" s="455"/>
      <c r="FA5" s="608"/>
      <c r="FB5" s="608"/>
      <c r="FC5" s="418"/>
      <c r="FD5" s="418"/>
      <c r="FE5" s="399"/>
      <c r="FF5" s="399"/>
      <c r="FG5" s="455"/>
      <c r="FH5" s="608"/>
      <c r="FI5" s="608"/>
      <c r="FJ5" s="418"/>
      <c r="FK5" s="418"/>
      <c r="FL5" s="399"/>
      <c r="FM5" s="399"/>
      <c r="FN5" s="455"/>
      <c r="FO5" s="608"/>
      <c r="FP5" s="608"/>
      <c r="FQ5" s="418"/>
      <c r="FR5" s="418"/>
      <c r="FS5" s="399"/>
      <c r="FT5" s="399"/>
      <c r="FU5" s="455"/>
      <c r="FV5" s="608"/>
      <c r="FW5" s="608"/>
      <c r="FX5" s="418"/>
      <c r="FY5" s="418"/>
      <c r="FZ5" s="399"/>
      <c r="GA5" s="399"/>
      <c r="GB5" s="455"/>
      <c r="GC5" s="608"/>
      <c r="GD5" s="608"/>
      <c r="GE5" s="418"/>
      <c r="GF5" s="418"/>
      <c r="GG5" s="399"/>
      <c r="GH5" s="399"/>
      <c r="GI5" s="455"/>
      <c r="GJ5" s="608"/>
      <c r="GK5" s="608"/>
      <c r="GL5" s="418"/>
      <c r="GM5" s="418"/>
      <c r="GN5" s="399"/>
      <c r="GO5" s="399"/>
      <c r="GP5" s="455"/>
      <c r="GQ5" s="608"/>
      <c r="GR5" s="608"/>
      <c r="GS5" s="418"/>
      <c r="GT5" s="418"/>
      <c r="GU5" s="399"/>
      <c r="GV5" s="399"/>
      <c r="GW5" s="455"/>
      <c r="GX5" s="608"/>
      <c r="GY5" s="608"/>
      <c r="GZ5" s="418"/>
      <c r="HA5" s="418"/>
      <c r="HB5" s="399"/>
      <c r="HC5" s="399"/>
      <c r="HD5" s="455"/>
      <c r="HE5" s="608"/>
      <c r="HF5" s="608"/>
      <c r="HG5" s="418"/>
      <c r="HH5" s="418"/>
      <c r="HI5" s="399"/>
      <c r="HJ5" s="399"/>
      <c r="HK5" s="455"/>
      <c r="HL5" s="608"/>
      <c r="HM5" s="608"/>
      <c r="HN5" s="418"/>
      <c r="HO5" s="418"/>
      <c r="HP5" s="399"/>
      <c r="HQ5" s="399"/>
      <c r="HR5" s="455"/>
      <c r="HS5" s="608"/>
      <c r="HT5" s="608"/>
      <c r="HU5" s="418"/>
      <c r="HV5" s="418"/>
      <c r="HW5" s="399"/>
      <c r="HX5" s="399"/>
      <c r="HY5" s="455"/>
      <c r="HZ5" s="608"/>
      <c r="IA5" s="608"/>
      <c r="IB5" s="418"/>
      <c r="IC5" s="418"/>
      <c r="ID5" s="399"/>
      <c r="IE5" s="399"/>
      <c r="IF5" s="455"/>
      <c r="IG5" s="608"/>
      <c r="IH5" s="608"/>
      <c r="II5" s="418"/>
      <c r="IJ5" s="418"/>
      <c r="IK5" s="399"/>
      <c r="IL5" s="399"/>
      <c r="IM5" s="455"/>
      <c r="IN5" s="608"/>
      <c r="IO5" s="608"/>
      <c r="IP5" s="418"/>
      <c r="IQ5" s="418"/>
      <c r="IR5" s="399"/>
      <c r="IS5" s="399"/>
      <c r="IT5" s="455"/>
      <c r="IU5" s="608"/>
      <c r="IV5" s="608"/>
      <c r="IW5" s="418"/>
      <c r="IX5" s="418"/>
    </row>
    <row r="6" spans="1:258" ht="25.5" customHeight="1">
      <c r="A6" s="284" t="s">
        <v>252</v>
      </c>
      <c r="B6" s="284" t="s">
        <v>34</v>
      </c>
      <c r="C6" s="284">
        <v>8400000</v>
      </c>
      <c r="D6" s="284">
        <v>10800000</v>
      </c>
      <c r="E6" s="284">
        <v>10800000</v>
      </c>
      <c r="F6" s="284">
        <v>21600000</v>
      </c>
      <c r="G6" s="284">
        <v>33288000</v>
      </c>
      <c r="H6" s="284">
        <v>33288000</v>
      </c>
      <c r="I6" s="284">
        <v>32400000</v>
      </c>
      <c r="J6" s="362">
        <f>30888000+32400000+1440000</f>
        <v>64728000</v>
      </c>
      <c r="K6" s="362">
        <f>64728000+1440000+7920000</f>
        <v>74088000</v>
      </c>
      <c r="L6" s="362">
        <v>166968000</v>
      </c>
      <c r="M6" s="362">
        <v>166968000</v>
      </c>
      <c r="N6" s="362">
        <v>231768000</v>
      </c>
      <c r="O6" s="362">
        <v>153314400</v>
      </c>
      <c r="P6" s="362">
        <f t="shared" si="0"/>
        <v>-78453600</v>
      </c>
      <c r="Q6" s="475"/>
      <c r="R6" s="608"/>
      <c r="S6" s="418"/>
      <c r="T6" s="418"/>
      <c r="U6" s="399"/>
      <c r="V6" s="399"/>
      <c r="W6" s="455"/>
      <c r="X6" s="608"/>
      <c r="Y6" s="608"/>
      <c r="Z6" s="418"/>
      <c r="AA6" s="418"/>
      <c r="AB6" s="399"/>
      <c r="AC6" s="399"/>
      <c r="AD6" s="455"/>
      <c r="AE6" s="608"/>
      <c r="AF6" s="608"/>
      <c r="AG6" s="418"/>
      <c r="AH6" s="418"/>
      <c r="AI6" s="399"/>
      <c r="AJ6" s="399"/>
      <c r="AK6" s="455"/>
      <c r="AL6" s="608"/>
      <c r="AM6" s="608"/>
      <c r="AN6" s="418"/>
      <c r="AO6" s="418"/>
      <c r="AP6" s="399"/>
      <c r="AQ6" s="399"/>
      <c r="AR6" s="455"/>
      <c r="AS6" s="608"/>
      <c r="AT6" s="608"/>
      <c r="AU6" s="418"/>
      <c r="AV6" s="418"/>
      <c r="AW6" s="399"/>
      <c r="AX6" s="399"/>
      <c r="AY6" s="455"/>
      <c r="AZ6" s="608"/>
      <c r="BA6" s="608"/>
      <c r="BB6" s="418"/>
      <c r="BC6" s="418"/>
      <c r="BD6" s="399"/>
      <c r="BE6" s="399"/>
      <c r="BF6" s="455"/>
      <c r="BG6" s="608"/>
      <c r="BH6" s="608"/>
      <c r="BI6" s="418"/>
      <c r="BJ6" s="418"/>
      <c r="BK6" s="399"/>
      <c r="BL6" s="399"/>
      <c r="BM6" s="455"/>
      <c r="BN6" s="608"/>
      <c r="BO6" s="608"/>
      <c r="BP6" s="418"/>
      <c r="BQ6" s="418"/>
      <c r="BR6" s="399"/>
      <c r="BS6" s="399"/>
      <c r="BT6" s="455"/>
      <c r="BU6" s="608"/>
      <c r="BV6" s="608"/>
      <c r="BW6" s="418"/>
      <c r="BX6" s="418"/>
      <c r="BY6" s="399"/>
      <c r="BZ6" s="399"/>
      <c r="CA6" s="455"/>
      <c r="CB6" s="608"/>
      <c r="CC6" s="608"/>
      <c r="CD6" s="418"/>
      <c r="CE6" s="418"/>
      <c r="CF6" s="399"/>
      <c r="CG6" s="399"/>
      <c r="CH6" s="455"/>
      <c r="CI6" s="608"/>
      <c r="CJ6" s="608"/>
      <c r="CK6" s="418"/>
      <c r="CL6" s="418"/>
      <c r="CM6" s="399"/>
      <c r="CN6" s="399"/>
      <c r="CO6" s="455"/>
      <c r="CP6" s="608"/>
      <c r="CQ6" s="608"/>
      <c r="CR6" s="418"/>
      <c r="CS6" s="418"/>
      <c r="CT6" s="399"/>
      <c r="CU6" s="399"/>
      <c r="CV6" s="455"/>
      <c r="CW6" s="608"/>
      <c r="CX6" s="608"/>
      <c r="CY6" s="418"/>
      <c r="CZ6" s="418"/>
      <c r="DA6" s="399"/>
      <c r="DB6" s="399"/>
      <c r="DC6" s="455"/>
      <c r="DD6" s="608"/>
      <c r="DE6" s="608"/>
      <c r="DF6" s="418"/>
      <c r="DG6" s="418"/>
      <c r="DH6" s="399"/>
      <c r="DI6" s="399"/>
      <c r="DJ6" s="455"/>
      <c r="DK6" s="608"/>
      <c r="DL6" s="608"/>
      <c r="DM6" s="418"/>
      <c r="DN6" s="418"/>
      <c r="DO6" s="399"/>
      <c r="DP6" s="399"/>
      <c r="DQ6" s="455"/>
      <c r="DR6" s="608"/>
      <c r="DS6" s="608"/>
      <c r="DT6" s="418"/>
      <c r="DU6" s="418"/>
      <c r="DV6" s="399"/>
      <c r="DW6" s="399"/>
      <c r="DX6" s="455"/>
      <c r="DY6" s="608"/>
      <c r="DZ6" s="608"/>
      <c r="EA6" s="418"/>
      <c r="EB6" s="418"/>
      <c r="EC6" s="399"/>
      <c r="ED6" s="399"/>
      <c r="EE6" s="455"/>
      <c r="EF6" s="608"/>
      <c r="EG6" s="608"/>
      <c r="EH6" s="418"/>
      <c r="EI6" s="418"/>
      <c r="EJ6" s="399"/>
      <c r="EK6" s="399"/>
      <c r="EL6" s="455"/>
      <c r="EM6" s="608"/>
      <c r="EN6" s="608"/>
      <c r="EO6" s="418"/>
      <c r="EP6" s="418"/>
      <c r="EQ6" s="399"/>
      <c r="ER6" s="399"/>
      <c r="ES6" s="455"/>
      <c r="ET6" s="608"/>
      <c r="EU6" s="608"/>
      <c r="EV6" s="418"/>
      <c r="EW6" s="418"/>
      <c r="EX6" s="399"/>
      <c r="EY6" s="399"/>
      <c r="EZ6" s="455"/>
      <c r="FA6" s="608"/>
      <c r="FB6" s="608"/>
      <c r="FC6" s="418"/>
      <c r="FD6" s="418"/>
      <c r="FE6" s="399"/>
      <c r="FF6" s="399"/>
      <c r="FG6" s="455"/>
      <c r="FH6" s="608"/>
      <c r="FI6" s="608"/>
      <c r="FJ6" s="418"/>
      <c r="FK6" s="418"/>
      <c r="FL6" s="399"/>
      <c r="FM6" s="399"/>
      <c r="FN6" s="455"/>
      <c r="FO6" s="608"/>
      <c r="FP6" s="608"/>
      <c r="FQ6" s="418"/>
      <c r="FR6" s="418"/>
      <c r="FS6" s="399"/>
      <c r="FT6" s="399"/>
      <c r="FU6" s="455"/>
      <c r="FV6" s="608"/>
      <c r="FW6" s="608"/>
      <c r="FX6" s="418"/>
      <c r="FY6" s="418"/>
      <c r="FZ6" s="399"/>
      <c r="GA6" s="399"/>
      <c r="GB6" s="455"/>
      <c r="GC6" s="608"/>
      <c r="GD6" s="608"/>
      <c r="GE6" s="418"/>
      <c r="GF6" s="418"/>
      <c r="GG6" s="399"/>
      <c r="GH6" s="399"/>
      <c r="GI6" s="455"/>
      <c r="GJ6" s="608"/>
      <c r="GK6" s="608"/>
      <c r="GL6" s="418"/>
      <c r="GM6" s="418"/>
      <c r="GN6" s="399"/>
      <c r="GO6" s="399"/>
      <c r="GP6" s="455"/>
      <c r="GQ6" s="608"/>
      <c r="GR6" s="608"/>
      <c r="GS6" s="418"/>
      <c r="GT6" s="418"/>
      <c r="GU6" s="399"/>
      <c r="GV6" s="399"/>
      <c r="GW6" s="455"/>
      <c r="GX6" s="608"/>
      <c r="GY6" s="608"/>
      <c r="GZ6" s="418"/>
      <c r="HA6" s="418"/>
      <c r="HB6" s="399"/>
      <c r="HC6" s="399"/>
      <c r="HD6" s="455"/>
      <c r="HE6" s="608"/>
      <c r="HF6" s="608"/>
      <c r="HG6" s="418"/>
      <c r="HH6" s="418"/>
      <c r="HI6" s="399"/>
      <c r="HJ6" s="399"/>
      <c r="HK6" s="455"/>
      <c r="HL6" s="608"/>
      <c r="HM6" s="608"/>
      <c r="HN6" s="418"/>
      <c r="HO6" s="418"/>
      <c r="HP6" s="399"/>
      <c r="HQ6" s="399"/>
      <c r="HR6" s="455"/>
      <c r="HS6" s="608"/>
      <c r="HT6" s="608"/>
      <c r="HU6" s="418"/>
      <c r="HV6" s="418"/>
      <c r="HW6" s="399"/>
      <c r="HX6" s="399"/>
      <c r="HY6" s="455"/>
      <c r="HZ6" s="608"/>
      <c r="IA6" s="608"/>
      <c r="IB6" s="418"/>
      <c r="IC6" s="418"/>
      <c r="ID6" s="399"/>
      <c r="IE6" s="399"/>
      <c r="IF6" s="455"/>
      <c r="IG6" s="608"/>
      <c r="IH6" s="608"/>
      <c r="II6" s="418"/>
      <c r="IJ6" s="418"/>
      <c r="IK6" s="399"/>
      <c r="IL6" s="399"/>
      <c r="IM6" s="455"/>
      <c r="IN6" s="608"/>
      <c r="IO6" s="608"/>
      <c r="IP6" s="418"/>
      <c r="IQ6" s="418"/>
      <c r="IR6" s="399"/>
      <c r="IS6" s="399"/>
      <c r="IT6" s="455"/>
      <c r="IU6" s="608"/>
      <c r="IV6" s="608"/>
      <c r="IW6" s="418"/>
      <c r="IX6" s="418"/>
    </row>
    <row r="7" spans="1:258" ht="25.5" customHeight="1">
      <c r="A7" s="284" t="s">
        <v>676</v>
      </c>
      <c r="B7" s="284" t="s">
        <v>775</v>
      </c>
      <c r="C7" s="284"/>
      <c r="D7" s="284"/>
      <c r="E7" s="284"/>
      <c r="F7" s="284"/>
      <c r="G7" s="284"/>
      <c r="H7" s="284"/>
      <c r="I7" s="284"/>
      <c r="J7" s="362"/>
      <c r="K7" s="362"/>
      <c r="L7" s="362"/>
      <c r="M7" s="362">
        <v>834000000</v>
      </c>
      <c r="N7" s="362">
        <f>M7</f>
        <v>834000000</v>
      </c>
      <c r="O7" s="362">
        <v>615600000</v>
      </c>
      <c r="P7" s="362">
        <f t="shared" si="0"/>
        <v>-218400000</v>
      </c>
      <c r="Q7" s="475"/>
      <c r="R7" s="608"/>
      <c r="S7" s="418"/>
      <c r="T7" s="418"/>
      <c r="U7" s="399"/>
      <c r="V7" s="399"/>
      <c r="W7" s="455"/>
      <c r="X7" s="608"/>
      <c r="Y7" s="608"/>
      <c r="Z7" s="418"/>
      <c r="AA7" s="418"/>
      <c r="AB7" s="399"/>
      <c r="AC7" s="399"/>
      <c r="AD7" s="455"/>
      <c r="AE7" s="608"/>
      <c r="AF7" s="608"/>
      <c r="AG7" s="418"/>
      <c r="AH7" s="418"/>
      <c r="AI7" s="399"/>
      <c r="AJ7" s="399"/>
      <c r="AK7" s="455"/>
      <c r="AL7" s="608"/>
      <c r="AM7" s="608"/>
      <c r="AN7" s="418"/>
      <c r="AO7" s="418"/>
      <c r="AP7" s="399"/>
      <c r="AQ7" s="399"/>
      <c r="AR7" s="455"/>
      <c r="AS7" s="608"/>
      <c r="AT7" s="608"/>
      <c r="AU7" s="418"/>
      <c r="AV7" s="418"/>
      <c r="AW7" s="399"/>
      <c r="AX7" s="399"/>
      <c r="AY7" s="455"/>
      <c r="AZ7" s="608"/>
      <c r="BA7" s="608"/>
      <c r="BB7" s="418"/>
      <c r="BC7" s="418"/>
      <c r="BD7" s="399"/>
      <c r="BE7" s="399"/>
      <c r="BF7" s="455"/>
      <c r="BG7" s="608"/>
      <c r="BH7" s="608"/>
      <c r="BI7" s="418"/>
      <c r="BJ7" s="418"/>
      <c r="BK7" s="399"/>
      <c r="BL7" s="399"/>
      <c r="BM7" s="455"/>
      <c r="BN7" s="608"/>
      <c r="BO7" s="608"/>
      <c r="BP7" s="418"/>
      <c r="BQ7" s="418"/>
      <c r="BR7" s="399"/>
      <c r="BS7" s="399"/>
      <c r="BT7" s="455"/>
      <c r="BU7" s="608"/>
      <c r="BV7" s="608"/>
      <c r="BW7" s="418"/>
      <c r="BX7" s="418"/>
      <c r="BY7" s="399"/>
      <c r="BZ7" s="399"/>
      <c r="CA7" s="455"/>
      <c r="CB7" s="608"/>
      <c r="CC7" s="608"/>
      <c r="CD7" s="418"/>
      <c r="CE7" s="418"/>
      <c r="CF7" s="399"/>
      <c r="CG7" s="399"/>
      <c r="CH7" s="455"/>
      <c r="CI7" s="608"/>
      <c r="CJ7" s="608"/>
      <c r="CK7" s="418"/>
      <c r="CL7" s="418"/>
      <c r="CM7" s="399"/>
      <c r="CN7" s="399"/>
      <c r="CO7" s="455"/>
      <c r="CP7" s="608"/>
      <c r="CQ7" s="608"/>
      <c r="CR7" s="418"/>
      <c r="CS7" s="418"/>
      <c r="CT7" s="399"/>
      <c r="CU7" s="399"/>
      <c r="CV7" s="455"/>
      <c r="CW7" s="608"/>
      <c r="CX7" s="608"/>
      <c r="CY7" s="418"/>
      <c r="CZ7" s="418"/>
      <c r="DA7" s="399"/>
      <c r="DB7" s="399"/>
      <c r="DC7" s="455"/>
      <c r="DD7" s="608"/>
      <c r="DE7" s="608"/>
      <c r="DF7" s="418"/>
      <c r="DG7" s="418"/>
      <c r="DH7" s="399"/>
      <c r="DI7" s="399"/>
      <c r="DJ7" s="455"/>
      <c r="DK7" s="608"/>
      <c r="DL7" s="608"/>
      <c r="DM7" s="418"/>
      <c r="DN7" s="418"/>
      <c r="DO7" s="399"/>
      <c r="DP7" s="399"/>
      <c r="DQ7" s="455"/>
      <c r="DR7" s="608"/>
      <c r="DS7" s="608"/>
      <c r="DT7" s="418"/>
      <c r="DU7" s="418"/>
      <c r="DV7" s="399"/>
      <c r="DW7" s="399"/>
      <c r="DX7" s="455"/>
      <c r="DY7" s="608"/>
      <c r="DZ7" s="608"/>
      <c r="EA7" s="418"/>
      <c r="EB7" s="418"/>
      <c r="EC7" s="399"/>
      <c r="ED7" s="399"/>
      <c r="EE7" s="455"/>
      <c r="EF7" s="608"/>
      <c r="EG7" s="608"/>
      <c r="EH7" s="418"/>
      <c r="EI7" s="418"/>
      <c r="EJ7" s="399"/>
      <c r="EK7" s="399"/>
      <c r="EL7" s="455"/>
      <c r="EM7" s="608"/>
      <c r="EN7" s="608"/>
      <c r="EO7" s="418"/>
      <c r="EP7" s="418"/>
      <c r="EQ7" s="399"/>
      <c r="ER7" s="399"/>
      <c r="ES7" s="455"/>
      <c r="ET7" s="608"/>
      <c r="EU7" s="608"/>
      <c r="EV7" s="418"/>
      <c r="EW7" s="418"/>
      <c r="EX7" s="399"/>
      <c r="EY7" s="399"/>
      <c r="EZ7" s="455"/>
      <c r="FA7" s="608"/>
      <c r="FB7" s="608"/>
      <c r="FC7" s="418"/>
      <c r="FD7" s="418"/>
      <c r="FE7" s="399"/>
      <c r="FF7" s="399"/>
      <c r="FG7" s="455"/>
      <c r="FH7" s="608"/>
      <c r="FI7" s="608"/>
      <c r="FJ7" s="418"/>
      <c r="FK7" s="418"/>
      <c r="FL7" s="399"/>
      <c r="FM7" s="399"/>
      <c r="FN7" s="455"/>
      <c r="FO7" s="608"/>
      <c r="FP7" s="608"/>
      <c r="FQ7" s="418"/>
      <c r="FR7" s="418"/>
      <c r="FS7" s="399"/>
      <c r="FT7" s="399"/>
      <c r="FU7" s="455"/>
      <c r="FV7" s="608"/>
      <c r="FW7" s="608"/>
      <c r="FX7" s="418"/>
      <c r="FY7" s="418"/>
      <c r="FZ7" s="399"/>
      <c r="GA7" s="399"/>
      <c r="GB7" s="455"/>
      <c r="GC7" s="608"/>
      <c r="GD7" s="608"/>
      <c r="GE7" s="418"/>
      <c r="GF7" s="418"/>
      <c r="GG7" s="399"/>
      <c r="GH7" s="399"/>
      <c r="GI7" s="455"/>
      <c r="GJ7" s="608"/>
      <c r="GK7" s="608"/>
      <c r="GL7" s="418"/>
      <c r="GM7" s="418"/>
      <c r="GN7" s="399"/>
      <c r="GO7" s="399"/>
      <c r="GP7" s="455"/>
      <c r="GQ7" s="608"/>
      <c r="GR7" s="608"/>
      <c r="GS7" s="418"/>
      <c r="GT7" s="418"/>
      <c r="GU7" s="399"/>
      <c r="GV7" s="399"/>
      <c r="GW7" s="455"/>
      <c r="GX7" s="608"/>
      <c r="GY7" s="608"/>
      <c r="GZ7" s="418"/>
      <c r="HA7" s="418"/>
      <c r="HB7" s="399"/>
      <c r="HC7" s="399"/>
      <c r="HD7" s="455"/>
      <c r="HE7" s="608"/>
      <c r="HF7" s="608"/>
      <c r="HG7" s="418"/>
      <c r="HH7" s="418"/>
      <c r="HI7" s="399"/>
      <c r="HJ7" s="399"/>
      <c r="HK7" s="455"/>
      <c r="HL7" s="608"/>
      <c r="HM7" s="608"/>
      <c r="HN7" s="418"/>
      <c r="HO7" s="418"/>
      <c r="HP7" s="399"/>
      <c r="HQ7" s="399"/>
      <c r="HR7" s="455"/>
      <c r="HS7" s="608"/>
      <c r="HT7" s="608"/>
      <c r="HU7" s="418"/>
      <c r="HV7" s="418"/>
      <c r="HW7" s="399"/>
      <c r="HX7" s="399"/>
      <c r="HY7" s="455"/>
      <c r="HZ7" s="608"/>
      <c r="IA7" s="608"/>
      <c r="IB7" s="418"/>
      <c r="IC7" s="418"/>
      <c r="ID7" s="399"/>
      <c r="IE7" s="399"/>
      <c r="IF7" s="455"/>
      <c r="IG7" s="608"/>
      <c r="IH7" s="608"/>
      <c r="II7" s="418"/>
      <c r="IJ7" s="418"/>
      <c r="IK7" s="399"/>
      <c r="IL7" s="399"/>
      <c r="IM7" s="455"/>
      <c r="IN7" s="608"/>
      <c r="IO7" s="608"/>
      <c r="IP7" s="418"/>
      <c r="IQ7" s="418"/>
      <c r="IR7" s="399"/>
      <c r="IS7" s="399"/>
      <c r="IT7" s="455"/>
      <c r="IU7" s="608"/>
      <c r="IV7" s="608"/>
      <c r="IW7" s="418"/>
      <c r="IX7" s="418"/>
    </row>
    <row r="8" spans="1:258" ht="25.5" customHeight="1">
      <c r="A8" s="284"/>
      <c r="B8" s="292" t="s">
        <v>119</v>
      </c>
      <c r="C8" s="284">
        <v>32399990</v>
      </c>
      <c r="D8" s="284">
        <v>2895816</v>
      </c>
      <c r="E8" s="284">
        <v>2895816</v>
      </c>
      <c r="F8" s="284">
        <v>6655816</v>
      </c>
      <c r="G8" s="284">
        <v>59200000</v>
      </c>
      <c r="H8" s="284">
        <v>74000000</v>
      </c>
      <c r="I8" s="284">
        <v>55115200</v>
      </c>
      <c r="J8" s="362">
        <v>55000000</v>
      </c>
      <c r="K8" s="362">
        <v>39873274</v>
      </c>
      <c r="L8" s="382">
        <f>SUM(L4:L6)</f>
        <v>943858800</v>
      </c>
      <c r="M8" s="382">
        <f>SUM(M3:M7)</f>
        <v>2329260000</v>
      </c>
      <c r="N8" s="382">
        <f>SUM(N4:N7)</f>
        <v>2538439200</v>
      </c>
      <c r="O8" s="382">
        <f>SUM(O4:O7)</f>
        <v>1893436800</v>
      </c>
      <c r="P8" s="382">
        <f t="shared" si="0"/>
        <v>-645002400</v>
      </c>
      <c r="Q8" s="475"/>
    </row>
    <row r="9" spans="1:258" ht="25.5" customHeight="1">
      <c r="A9" s="292" t="s">
        <v>262</v>
      </c>
      <c r="B9" s="292" t="s">
        <v>263</v>
      </c>
      <c r="C9" s="284">
        <v>0</v>
      </c>
      <c r="D9" s="284">
        <v>0</v>
      </c>
      <c r="E9" s="284">
        <v>0</v>
      </c>
      <c r="F9" s="284">
        <v>0</v>
      </c>
      <c r="G9" s="284">
        <v>16000000</v>
      </c>
      <c r="H9" s="284">
        <v>20000000</v>
      </c>
      <c r="I9" s="284">
        <v>14896000</v>
      </c>
      <c r="J9" s="362">
        <v>25000000</v>
      </c>
      <c r="K9" s="362">
        <v>7448000</v>
      </c>
      <c r="L9" s="362"/>
      <c r="M9" s="362"/>
      <c r="N9" s="362"/>
      <c r="O9" s="362"/>
      <c r="P9" s="362">
        <f t="shared" si="0"/>
        <v>0</v>
      </c>
      <c r="Q9" s="475"/>
    </row>
    <row r="10" spans="1:258" ht="25.5" customHeight="1">
      <c r="A10" s="292" t="s">
        <v>265</v>
      </c>
      <c r="B10" s="292" t="s">
        <v>264</v>
      </c>
      <c r="C10" s="284"/>
      <c r="D10" s="284"/>
      <c r="E10" s="284"/>
      <c r="F10" s="284"/>
      <c r="G10" s="284"/>
      <c r="H10" s="284"/>
      <c r="I10" s="284"/>
      <c r="J10" s="362"/>
      <c r="K10" s="362">
        <v>9682400</v>
      </c>
      <c r="L10" s="362"/>
      <c r="M10" s="362"/>
      <c r="N10" s="362"/>
      <c r="O10" s="362"/>
      <c r="P10" s="362">
        <f t="shared" si="0"/>
        <v>0</v>
      </c>
      <c r="Q10" s="475"/>
    </row>
    <row r="11" spans="1:258" ht="25.5" customHeight="1">
      <c r="A11" s="284" t="s">
        <v>266</v>
      </c>
      <c r="B11" s="284" t="s">
        <v>38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362">
        <v>0</v>
      </c>
      <c r="K11" s="362">
        <v>14896000</v>
      </c>
      <c r="L11" s="362">
        <v>30906200</v>
      </c>
      <c r="M11" s="362">
        <f>30906200*70%+20000000</f>
        <v>41634340</v>
      </c>
      <c r="N11" s="362">
        <f>30906200*70%+20000000</f>
        <v>41634340</v>
      </c>
      <c r="O11" s="362">
        <v>61634340</v>
      </c>
      <c r="P11" s="362">
        <f t="shared" si="0"/>
        <v>20000000</v>
      </c>
      <c r="Q11" s="475"/>
    </row>
    <row r="12" spans="1:258" ht="25.5" customHeight="1">
      <c r="A12" s="284" t="s">
        <v>269</v>
      </c>
      <c r="B12" s="284" t="s">
        <v>186</v>
      </c>
      <c r="C12" s="284"/>
      <c r="D12" s="284"/>
      <c r="E12" s="284"/>
      <c r="F12" s="284"/>
      <c r="G12" s="284"/>
      <c r="H12" s="284"/>
      <c r="I12" s="284"/>
      <c r="J12" s="362"/>
      <c r="K12" s="362">
        <v>115000000</v>
      </c>
      <c r="L12" s="362">
        <v>118865600</v>
      </c>
      <c r="M12" s="362">
        <f>83205920+20000000</f>
        <v>103205920</v>
      </c>
      <c r="N12" s="362">
        <f>83205920+20000000</f>
        <v>103205920</v>
      </c>
      <c r="O12" s="362">
        <f>83205920+20000000</f>
        <v>103205920</v>
      </c>
      <c r="P12" s="362">
        <f t="shared" si="0"/>
        <v>0</v>
      </c>
      <c r="Q12" s="475"/>
    </row>
    <row r="13" spans="1:258" ht="25.5" customHeight="1">
      <c r="A13" s="284" t="s">
        <v>270</v>
      </c>
      <c r="B13" s="284" t="s">
        <v>163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20000000</v>
      </c>
      <c r="I13" s="284">
        <v>0</v>
      </c>
      <c r="J13" s="362">
        <v>20000000</v>
      </c>
      <c r="K13" s="362">
        <v>0</v>
      </c>
      <c r="L13" s="362">
        <v>11954040</v>
      </c>
      <c r="M13" s="362">
        <f>11954040*70%</f>
        <v>8367827.9999999991</v>
      </c>
      <c r="N13" s="362">
        <f>11954040*70%</f>
        <v>8367827.9999999991</v>
      </c>
      <c r="O13" s="362">
        <f>11954040*70%</f>
        <v>8367827.9999999991</v>
      </c>
      <c r="P13" s="362">
        <f t="shared" si="0"/>
        <v>0</v>
      </c>
      <c r="Q13" s="475"/>
    </row>
    <row r="14" spans="1:258" ht="25.5" customHeight="1">
      <c r="A14" s="284" t="s">
        <v>271</v>
      </c>
      <c r="B14" s="284" t="s">
        <v>154</v>
      </c>
      <c r="C14" s="284"/>
      <c r="D14" s="284">
        <v>0</v>
      </c>
      <c r="E14" s="284">
        <v>0</v>
      </c>
      <c r="F14" s="284">
        <v>22500000</v>
      </c>
      <c r="G14" s="284">
        <v>0</v>
      </c>
      <c r="H14" s="284">
        <v>40000000</v>
      </c>
      <c r="I14" s="284">
        <v>0</v>
      </c>
      <c r="J14" s="362">
        <v>0</v>
      </c>
      <c r="K14" s="362">
        <v>0</v>
      </c>
      <c r="L14" s="362">
        <v>12289200</v>
      </c>
      <c r="M14" s="362">
        <f>12289200*70%+15000000</f>
        <v>23602440</v>
      </c>
      <c r="N14" s="362">
        <v>0</v>
      </c>
      <c r="O14" s="362">
        <v>0</v>
      </c>
      <c r="P14" s="362">
        <f t="shared" si="0"/>
        <v>0</v>
      </c>
      <c r="Q14" s="475"/>
    </row>
    <row r="15" spans="1:258" ht="25.5" customHeight="1">
      <c r="A15" s="284" t="s">
        <v>272</v>
      </c>
      <c r="B15" s="284" t="s">
        <v>54</v>
      </c>
      <c r="C15" s="284"/>
      <c r="D15" s="284"/>
      <c r="E15" s="284"/>
      <c r="F15" s="284"/>
      <c r="G15" s="284"/>
      <c r="H15" s="284"/>
      <c r="I15" s="284"/>
      <c r="J15" s="362"/>
      <c r="K15" s="362">
        <v>5958400</v>
      </c>
      <c r="L15" s="362">
        <v>60716400</v>
      </c>
      <c r="M15" s="362">
        <f>42501480+10000000</f>
        <v>52501480</v>
      </c>
      <c r="N15" s="362">
        <f>M15*70%</f>
        <v>36751036</v>
      </c>
      <c r="O15" s="362">
        <f>N15</f>
        <v>36751036</v>
      </c>
      <c r="P15" s="362">
        <f t="shared" si="0"/>
        <v>0</v>
      </c>
      <c r="Q15" s="475"/>
    </row>
    <row r="16" spans="1:258" ht="25.5" customHeight="1">
      <c r="A16" s="284" t="s">
        <v>274</v>
      </c>
      <c r="B16" s="284" t="s">
        <v>164</v>
      </c>
      <c r="C16" s="284">
        <v>0</v>
      </c>
      <c r="D16" s="284">
        <v>0</v>
      </c>
      <c r="E16" s="284">
        <v>0</v>
      </c>
      <c r="F16" s="284">
        <v>0</v>
      </c>
      <c r="G16" s="284">
        <v>2400000</v>
      </c>
      <c r="H16" s="284">
        <v>3000000</v>
      </c>
      <c r="I16" s="284">
        <v>1862000</v>
      </c>
      <c r="J16" s="362">
        <v>1862000</v>
      </c>
      <c r="K16" s="382">
        <f>SUM(K8:K15)</f>
        <v>192858074</v>
      </c>
      <c r="L16" s="362">
        <v>42492900</v>
      </c>
      <c r="M16" s="362">
        <f>42492900*70%+30000000</f>
        <v>59745030</v>
      </c>
      <c r="N16" s="362">
        <f>42492900*70%+30000000</f>
        <v>59745030</v>
      </c>
      <c r="O16" s="362">
        <f>42492900*70%+30000000</f>
        <v>59745030</v>
      </c>
      <c r="P16" s="362">
        <f t="shared" si="0"/>
        <v>0</v>
      </c>
      <c r="Q16" s="475"/>
    </row>
    <row r="17" spans="1:19" s="387" customFormat="1" ht="25.5" customHeight="1">
      <c r="A17" s="284" t="s">
        <v>275</v>
      </c>
      <c r="B17" s="284" t="s">
        <v>40</v>
      </c>
      <c r="C17" s="292">
        <f>SUM(C13:C16)</f>
        <v>0</v>
      </c>
      <c r="D17" s="292">
        <f>SUM(D13:D16)</f>
        <v>0</v>
      </c>
      <c r="E17" s="292">
        <v>0</v>
      </c>
      <c r="F17" s="292">
        <f>SUM(F13:F16)</f>
        <v>22500000</v>
      </c>
      <c r="G17" s="292">
        <f>SUM(G13:G16)</f>
        <v>2400000</v>
      </c>
      <c r="H17" s="292">
        <f>SUM(H13:H16)</f>
        <v>63000000</v>
      </c>
      <c r="I17" s="292">
        <f>SUM(I13:I16)</f>
        <v>1862000</v>
      </c>
      <c r="J17" s="382">
        <f>SUM(J13:J16)</f>
        <v>21862000</v>
      </c>
      <c r="K17" s="382"/>
      <c r="L17" s="362">
        <v>51971600</v>
      </c>
      <c r="M17" s="362">
        <f>36380120+5000000</f>
        <v>41380120</v>
      </c>
      <c r="N17" s="362">
        <f>36380120+5000000</f>
        <v>41380120</v>
      </c>
      <c r="O17" s="362">
        <f>36380120+5000000</f>
        <v>41380120</v>
      </c>
      <c r="P17" s="362">
        <f t="shared" si="0"/>
        <v>0</v>
      </c>
      <c r="Q17" s="609"/>
    </row>
    <row r="18" spans="1:19" s="387" customFormat="1" ht="25.5" customHeight="1">
      <c r="A18" s="284" t="s">
        <v>319</v>
      </c>
      <c r="B18" s="284" t="s">
        <v>320</v>
      </c>
      <c r="C18" s="610"/>
      <c r="D18" s="610"/>
      <c r="E18" s="610"/>
      <c r="F18" s="610"/>
      <c r="G18" s="610"/>
      <c r="H18" s="610"/>
      <c r="I18" s="610"/>
      <c r="J18" s="610"/>
      <c r="K18" s="611">
        <f>SUM(K14:K17)</f>
        <v>198816474</v>
      </c>
      <c r="L18" s="610">
        <v>84420071</v>
      </c>
      <c r="M18" s="610">
        <f>84420071*70%+40000000</f>
        <v>99094049.699999988</v>
      </c>
      <c r="N18" s="610">
        <f>84420071*70%+40000000</f>
        <v>99094049.699999988</v>
      </c>
      <c r="O18" s="610">
        <v>0</v>
      </c>
      <c r="P18" s="362">
        <f t="shared" si="0"/>
        <v>-99094049.699999988</v>
      </c>
      <c r="Q18" s="609"/>
    </row>
    <row r="19" spans="1:19" ht="25.5" customHeight="1">
      <c r="A19" s="284" t="s">
        <v>350</v>
      </c>
      <c r="B19" s="284" t="s">
        <v>351</v>
      </c>
      <c r="C19" s="284"/>
      <c r="D19" s="284"/>
      <c r="E19" s="284"/>
      <c r="F19" s="284" t="s">
        <v>4</v>
      </c>
      <c r="G19" s="284"/>
      <c r="H19" s="284"/>
      <c r="I19" s="284"/>
      <c r="J19" s="362"/>
      <c r="K19" s="362">
        <v>0</v>
      </c>
      <c r="L19" s="362">
        <v>0</v>
      </c>
      <c r="M19" s="362">
        <v>0</v>
      </c>
      <c r="N19" s="362">
        <v>0</v>
      </c>
      <c r="O19" s="362">
        <v>0</v>
      </c>
      <c r="P19" s="362">
        <f t="shared" si="0"/>
        <v>0</v>
      </c>
      <c r="Q19" s="475" t="s">
        <v>4</v>
      </c>
    </row>
    <row r="20" spans="1:19" ht="25.5" customHeight="1">
      <c r="A20" s="284" t="s">
        <v>277</v>
      </c>
      <c r="B20" s="284" t="s">
        <v>218</v>
      </c>
      <c r="C20" s="284"/>
      <c r="D20" s="284">
        <v>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362">
        <v>0</v>
      </c>
      <c r="K20" s="362">
        <v>28488600</v>
      </c>
      <c r="L20" s="362">
        <f>309000000+18372000</f>
        <v>327372000</v>
      </c>
      <c r="M20" s="362">
        <f>327372000*70%</f>
        <v>229160400</v>
      </c>
      <c r="N20" s="362">
        <v>0</v>
      </c>
      <c r="O20" s="362">
        <v>0</v>
      </c>
      <c r="P20" s="362">
        <f t="shared" si="0"/>
        <v>0</v>
      </c>
      <c r="Q20" s="475"/>
    </row>
    <row r="21" spans="1:19" ht="25.5" customHeight="1">
      <c r="A21" s="284" t="s">
        <v>335</v>
      </c>
      <c r="B21" s="284" t="s">
        <v>341</v>
      </c>
      <c r="C21" s="284"/>
      <c r="D21" s="284"/>
      <c r="E21" s="284"/>
      <c r="F21" s="284"/>
      <c r="G21" s="284"/>
      <c r="H21" s="284"/>
      <c r="I21" s="284"/>
      <c r="J21" s="362"/>
      <c r="K21" s="362">
        <v>14896000</v>
      </c>
      <c r="L21" s="362">
        <v>32130400</v>
      </c>
      <c r="M21" s="362">
        <f>32130400*70%+20000000</f>
        <v>42491280</v>
      </c>
      <c r="N21" s="362">
        <f>32130400*70%+20000000</f>
        <v>42491280</v>
      </c>
      <c r="O21" s="362">
        <v>142491280</v>
      </c>
      <c r="P21" s="362">
        <f t="shared" si="0"/>
        <v>100000000</v>
      </c>
      <c r="Q21" s="475"/>
      <c r="S21" s="387"/>
    </row>
    <row r="22" spans="1:19" ht="25.5" customHeight="1">
      <c r="A22" s="284" t="s">
        <v>733</v>
      </c>
      <c r="B22" s="284" t="s">
        <v>1132</v>
      </c>
      <c r="C22" s="284"/>
      <c r="D22" s="284"/>
      <c r="E22" s="284"/>
      <c r="F22" s="284"/>
      <c r="G22" s="284"/>
      <c r="H22" s="284"/>
      <c r="I22" s="284"/>
      <c r="J22" s="362"/>
      <c r="K22" s="362"/>
      <c r="L22" s="362"/>
      <c r="M22" s="362"/>
      <c r="N22" s="362"/>
      <c r="O22" s="362">
        <v>238110000</v>
      </c>
      <c r="P22" s="362">
        <f t="shared" si="0"/>
        <v>238110000</v>
      </c>
      <c r="Q22" s="475"/>
      <c r="S22" s="387"/>
    </row>
    <row r="23" spans="1:19" ht="25.5" customHeight="1">
      <c r="A23" s="292"/>
      <c r="B23" s="292" t="s">
        <v>119</v>
      </c>
      <c r="C23" s="284"/>
      <c r="D23" s="284"/>
      <c r="E23" s="284"/>
      <c r="F23" s="284">
        <v>100000000</v>
      </c>
      <c r="G23" s="284">
        <v>0</v>
      </c>
      <c r="H23" s="284">
        <v>0</v>
      </c>
      <c r="I23" s="284">
        <v>0</v>
      </c>
      <c r="J23" s="362">
        <v>0</v>
      </c>
      <c r="K23" s="382">
        <f>SUM(K19:K21)</f>
        <v>43384600</v>
      </c>
      <c r="L23" s="382">
        <f>SUM(L11:L21)</f>
        <v>773118411</v>
      </c>
      <c r="M23" s="382">
        <f>SUM(M11:M21)</f>
        <v>701182887.70000005</v>
      </c>
      <c r="N23" s="382">
        <f>SUM(N11:N21)</f>
        <v>432669603.69999999</v>
      </c>
      <c r="O23" s="382">
        <f>SUM(O11:O22)</f>
        <v>691685554</v>
      </c>
      <c r="P23" s="362">
        <f t="shared" si="0"/>
        <v>259015950.30000001</v>
      </c>
      <c r="Q23" s="475"/>
    </row>
    <row r="24" spans="1:19" s="387" customFormat="1" ht="25.5" customHeight="1">
      <c r="A24" s="292" t="s">
        <v>279</v>
      </c>
      <c r="B24" s="292" t="s">
        <v>278</v>
      </c>
      <c r="C24" s="292" t="e">
        <f>SUM(#REF!)</f>
        <v>#REF!</v>
      </c>
      <c r="D24" s="292" t="e">
        <f>SUM(#REF!)</f>
        <v>#REF!</v>
      </c>
      <c r="E24" s="292">
        <f>SUM(E20:E20)</f>
        <v>0</v>
      </c>
      <c r="F24" s="292">
        <f>SUM(F20:F23)</f>
        <v>100000000</v>
      </c>
      <c r="G24" s="292">
        <f>SUM(G20:G23)</f>
        <v>0</v>
      </c>
      <c r="H24" s="292">
        <f>SUM(H20:H23)</f>
        <v>0</v>
      </c>
      <c r="I24" s="292">
        <f>SUM(I20:I23)</f>
        <v>0</v>
      </c>
      <c r="J24" s="382">
        <f>SUM(J20:J23)</f>
        <v>0</v>
      </c>
      <c r="K24" s="382"/>
      <c r="L24" s="382"/>
      <c r="M24" s="382"/>
      <c r="N24" s="382"/>
      <c r="O24" s="382"/>
      <c r="P24" s="362">
        <f t="shared" si="0"/>
        <v>0</v>
      </c>
      <c r="Q24" s="609"/>
    </row>
    <row r="25" spans="1:19" ht="25.5" customHeight="1">
      <c r="A25" s="284" t="s">
        <v>281</v>
      </c>
      <c r="B25" s="284" t="s">
        <v>161</v>
      </c>
      <c r="C25" s="284">
        <v>4799980</v>
      </c>
      <c r="D25" s="284">
        <v>0</v>
      </c>
      <c r="E25" s="284">
        <v>0</v>
      </c>
      <c r="F25" s="284">
        <v>11800000</v>
      </c>
      <c r="G25" s="284">
        <v>24000000</v>
      </c>
      <c r="H25" s="284">
        <v>30000000</v>
      </c>
      <c r="I25" s="284">
        <v>17875200</v>
      </c>
      <c r="J25" s="362">
        <v>17875200</v>
      </c>
      <c r="K25" s="362">
        <v>0</v>
      </c>
      <c r="L25" s="362">
        <v>431733818</v>
      </c>
      <c r="M25" s="362">
        <f>302213672+98211600</f>
        <v>400425272</v>
      </c>
      <c r="N25" s="362">
        <f>M25</f>
        <v>400425272</v>
      </c>
      <c r="O25" s="362">
        <v>300000000</v>
      </c>
      <c r="P25" s="362">
        <f t="shared" si="0"/>
        <v>-100425272</v>
      </c>
      <c r="Q25" s="475"/>
    </row>
    <row r="26" spans="1:19" ht="25.5" customHeight="1">
      <c r="A26" s="284" t="s">
        <v>282</v>
      </c>
      <c r="B26" s="284" t="s">
        <v>155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362">
        <v>0</v>
      </c>
      <c r="K26" s="362">
        <v>0</v>
      </c>
      <c r="L26" s="362">
        <v>59733400</v>
      </c>
      <c r="M26" s="362">
        <f>41813380+5000000</f>
        <v>46813380</v>
      </c>
      <c r="N26" s="362">
        <f>41813380+5000000</f>
        <v>46813380</v>
      </c>
      <c r="O26" s="362">
        <f>41813380+5000000</f>
        <v>46813380</v>
      </c>
      <c r="P26" s="362">
        <f t="shared" si="0"/>
        <v>0</v>
      </c>
      <c r="Q26" s="475"/>
    </row>
    <row r="27" spans="1:19" ht="25.5" customHeight="1">
      <c r="A27" s="284" t="s">
        <v>283</v>
      </c>
      <c r="B27" s="284" t="s">
        <v>156</v>
      </c>
      <c r="C27" s="284">
        <v>15436990</v>
      </c>
      <c r="D27" s="284">
        <f>23000000+92-14000000</f>
        <v>9000092</v>
      </c>
      <c r="E27" s="284">
        <v>9000092</v>
      </c>
      <c r="F27" s="284">
        <v>29000092</v>
      </c>
      <c r="G27" s="284">
        <v>35200000</v>
      </c>
      <c r="H27" s="284">
        <v>44000000</v>
      </c>
      <c r="I27" s="284">
        <v>39873274</v>
      </c>
      <c r="J27" s="362">
        <v>49000000</v>
      </c>
      <c r="K27" s="362">
        <v>1862000</v>
      </c>
      <c r="L27" s="362">
        <v>88225200</v>
      </c>
      <c r="M27" s="362">
        <f>88225200*70%+40000000</f>
        <v>101757640</v>
      </c>
      <c r="N27" s="362">
        <f>88225200*70%+40000000</f>
        <v>101757640</v>
      </c>
      <c r="O27" s="362">
        <v>51757640</v>
      </c>
      <c r="P27" s="362">
        <f t="shared" si="0"/>
        <v>-50000000</v>
      </c>
      <c r="Q27" s="475"/>
    </row>
    <row r="28" spans="1:19" ht="25.5" customHeight="1">
      <c r="A28" s="284" t="s">
        <v>316</v>
      </c>
      <c r="B28" s="284" t="s">
        <v>703</v>
      </c>
      <c r="C28" s="284"/>
      <c r="D28" s="284"/>
      <c r="E28" s="284"/>
      <c r="F28" s="284"/>
      <c r="G28" s="284"/>
      <c r="H28" s="284"/>
      <c r="I28" s="284"/>
      <c r="J28" s="362"/>
      <c r="K28" s="362"/>
      <c r="L28" s="362">
        <v>54000000</v>
      </c>
      <c r="M28" s="362">
        <f>54000000/3500*6000</f>
        <v>92571428.571428582</v>
      </c>
      <c r="N28" s="362">
        <f>54000000/3500*6000</f>
        <v>92571428.571428582</v>
      </c>
      <c r="O28" s="362">
        <v>0</v>
      </c>
      <c r="P28" s="362">
        <f t="shared" si="0"/>
        <v>-92571428.571428582</v>
      </c>
      <c r="Q28" s="475"/>
    </row>
    <row r="29" spans="1:19" ht="25.5" customHeight="1">
      <c r="A29" s="284" t="s">
        <v>298</v>
      </c>
      <c r="B29" s="284" t="s">
        <v>352</v>
      </c>
      <c r="C29" s="284">
        <v>5000000</v>
      </c>
      <c r="D29" s="284">
        <v>0</v>
      </c>
      <c r="E29" s="284">
        <v>0</v>
      </c>
      <c r="F29" s="284">
        <v>0</v>
      </c>
      <c r="G29" s="284">
        <v>4000000</v>
      </c>
      <c r="H29" s="284">
        <v>5000000</v>
      </c>
      <c r="I29" s="284">
        <v>7448000</v>
      </c>
      <c r="J29" s="362">
        <v>7448000</v>
      </c>
      <c r="K29" s="362">
        <v>1862000</v>
      </c>
      <c r="L29" s="362">
        <v>22344000</v>
      </c>
      <c r="M29" s="362">
        <f>22344000*70%+7788400</f>
        <v>23429200</v>
      </c>
      <c r="N29" s="362">
        <v>0</v>
      </c>
      <c r="O29" s="362">
        <v>0</v>
      </c>
      <c r="P29" s="362">
        <f t="shared" si="0"/>
        <v>0</v>
      </c>
      <c r="Q29" s="475"/>
    </row>
    <row r="30" spans="1:19" ht="25.5" customHeight="1">
      <c r="A30" s="284"/>
      <c r="B30" s="292" t="s">
        <v>119</v>
      </c>
      <c r="C30" s="284"/>
      <c r="D30" s="284"/>
      <c r="E30" s="284"/>
      <c r="F30" s="284">
        <v>0</v>
      </c>
      <c r="G30" s="284">
        <v>13280000</v>
      </c>
      <c r="H30" s="284">
        <v>16600000</v>
      </c>
      <c r="I30" s="284">
        <v>9682400</v>
      </c>
      <c r="J30" s="362">
        <v>9682400</v>
      </c>
      <c r="K30" s="382">
        <f>SUM(K25:K29)</f>
        <v>3724000</v>
      </c>
      <c r="L30" s="382">
        <f>L29+L27+L26+L25</f>
        <v>602036418</v>
      </c>
      <c r="M30" s="382">
        <f>SUM(M25:M29)</f>
        <v>664996920.57142854</v>
      </c>
      <c r="N30" s="382">
        <f>SUM(N25:N29)</f>
        <v>641567720.57142854</v>
      </c>
      <c r="O30" s="382">
        <f>SUM(O25:O29)</f>
        <v>398571020</v>
      </c>
      <c r="P30" s="362">
        <f t="shared" si="0"/>
        <v>-242996700.57142854</v>
      </c>
      <c r="Q30" s="475"/>
    </row>
    <row r="31" spans="1:19" ht="25.5" customHeight="1">
      <c r="A31" s="292" t="s">
        <v>285</v>
      </c>
      <c r="B31" s="292" t="s">
        <v>158</v>
      </c>
      <c r="C31" s="284"/>
      <c r="D31" s="284">
        <v>0</v>
      </c>
      <c r="E31" s="284">
        <v>0</v>
      </c>
      <c r="F31" s="284">
        <v>2000000</v>
      </c>
      <c r="G31" s="284">
        <v>16000000</v>
      </c>
      <c r="H31" s="284">
        <v>20000000</v>
      </c>
      <c r="I31" s="284">
        <v>14896000</v>
      </c>
      <c r="J31" s="362">
        <v>20000000</v>
      </c>
      <c r="K31" s="362"/>
      <c r="L31" s="362"/>
      <c r="M31" s="362"/>
      <c r="N31" s="362"/>
      <c r="O31" s="362"/>
      <c r="P31" s="362">
        <f t="shared" si="0"/>
        <v>0</v>
      </c>
      <c r="Q31" s="475"/>
    </row>
    <row r="32" spans="1:19" ht="25.5" customHeight="1">
      <c r="A32" s="284" t="s">
        <v>286</v>
      </c>
      <c r="B32" s="284" t="s">
        <v>443</v>
      </c>
      <c r="C32" s="284"/>
      <c r="D32" s="284">
        <v>0</v>
      </c>
      <c r="E32" s="284">
        <v>0</v>
      </c>
      <c r="F32" s="284">
        <v>9000200</v>
      </c>
      <c r="G32" s="284">
        <v>18400000</v>
      </c>
      <c r="H32" s="284">
        <v>23000000</v>
      </c>
      <c r="I32" s="284">
        <v>13704320</v>
      </c>
      <c r="J32" s="362">
        <v>13704320</v>
      </c>
      <c r="K32" s="362">
        <v>27588136</v>
      </c>
      <c r="L32" s="362">
        <v>84208136</v>
      </c>
      <c r="M32" s="362">
        <f>58945695*70%+10000000</f>
        <v>51261986.5</v>
      </c>
      <c r="N32" s="362">
        <f>58945695*70%+10000000</f>
        <v>51261986.5</v>
      </c>
      <c r="O32" s="362">
        <f>58945695*70%+10000000</f>
        <v>51261986.5</v>
      </c>
      <c r="P32" s="362">
        <f t="shared" si="0"/>
        <v>0</v>
      </c>
      <c r="Q32" s="475"/>
      <c r="R32" s="387"/>
      <c r="S32" s="455"/>
    </row>
    <row r="33" spans="1:17" ht="25.5" customHeight="1">
      <c r="A33" s="284" t="s">
        <v>288</v>
      </c>
      <c r="B33" s="284" t="s">
        <v>287</v>
      </c>
      <c r="C33" s="284">
        <v>2279995</v>
      </c>
      <c r="D33" s="284">
        <v>2545200</v>
      </c>
      <c r="E33" s="284">
        <v>2545200</v>
      </c>
      <c r="F33" s="284">
        <v>3505200</v>
      </c>
      <c r="G33" s="284">
        <v>9600000</v>
      </c>
      <c r="H33" s="284">
        <v>22000000</v>
      </c>
      <c r="I33" s="284">
        <v>16385600</v>
      </c>
      <c r="J33" s="362">
        <v>16385600</v>
      </c>
      <c r="K33" s="362">
        <v>3724000</v>
      </c>
      <c r="L33" s="362">
        <v>3724000</v>
      </c>
      <c r="M33" s="362">
        <f>3724000*70%</f>
        <v>2606800</v>
      </c>
      <c r="N33" s="362">
        <f>3724000*70%</f>
        <v>2606800</v>
      </c>
      <c r="O33" s="362">
        <f>3724000*70%</f>
        <v>2606800</v>
      </c>
      <c r="P33" s="362">
        <f t="shared" si="0"/>
        <v>0</v>
      </c>
      <c r="Q33" s="475"/>
    </row>
    <row r="34" spans="1:17" ht="25.5" customHeight="1">
      <c r="A34" s="284" t="s">
        <v>596</v>
      </c>
      <c r="B34" s="284" t="s">
        <v>423</v>
      </c>
      <c r="C34" s="284"/>
      <c r="D34" s="284"/>
      <c r="E34" s="284"/>
      <c r="F34" s="284"/>
      <c r="G34" s="284"/>
      <c r="H34" s="284"/>
      <c r="I34" s="284"/>
      <c r="J34" s="362"/>
      <c r="K34" s="362"/>
      <c r="L34" s="362">
        <v>0</v>
      </c>
      <c r="M34" s="362">
        <v>100000000</v>
      </c>
      <c r="N34" s="362">
        <v>100000000</v>
      </c>
      <c r="O34" s="362">
        <v>0</v>
      </c>
      <c r="P34" s="362">
        <f t="shared" si="0"/>
        <v>-100000000</v>
      </c>
      <c r="Q34" s="475"/>
    </row>
    <row r="35" spans="1:17" ht="25.5" customHeight="1">
      <c r="A35" s="284" t="s">
        <v>419</v>
      </c>
      <c r="B35" s="284" t="s">
        <v>420</v>
      </c>
      <c r="C35" s="284">
        <v>0</v>
      </c>
      <c r="D35" s="284">
        <v>12000000</v>
      </c>
      <c r="E35" s="284">
        <v>12000000</v>
      </c>
      <c r="F35" s="284">
        <v>12000000</v>
      </c>
      <c r="G35" s="284">
        <v>32000000</v>
      </c>
      <c r="H35" s="284">
        <v>40000000</v>
      </c>
      <c r="I35" s="284">
        <v>40000000</v>
      </c>
      <c r="J35" s="362">
        <v>115000000</v>
      </c>
      <c r="K35" s="382">
        <f>SUM(K32:K33)</f>
        <v>31312136</v>
      </c>
      <c r="L35" s="362">
        <v>4096400</v>
      </c>
      <c r="M35" s="362">
        <f>4096400*70%</f>
        <v>2867480</v>
      </c>
      <c r="N35" s="362">
        <f>4096400*70%</f>
        <v>2867480</v>
      </c>
      <c r="O35" s="362">
        <f>4096400*70%</f>
        <v>2867480</v>
      </c>
      <c r="P35" s="362">
        <f t="shared" si="0"/>
        <v>0</v>
      </c>
      <c r="Q35" s="475"/>
    </row>
    <row r="36" spans="1:17" ht="25.5" customHeight="1">
      <c r="A36" s="284" t="s">
        <v>289</v>
      </c>
      <c r="B36" s="284" t="s">
        <v>290</v>
      </c>
      <c r="C36" s="284"/>
      <c r="D36" s="284"/>
      <c r="E36" s="284"/>
      <c r="F36" s="284"/>
      <c r="G36" s="284"/>
      <c r="H36" s="284">
        <v>0</v>
      </c>
      <c r="I36" s="284">
        <v>5958400</v>
      </c>
      <c r="J36" s="362">
        <v>5958400</v>
      </c>
      <c r="K36" s="362"/>
      <c r="L36" s="362">
        <v>0</v>
      </c>
      <c r="M36" s="362">
        <v>0</v>
      </c>
      <c r="N36" s="362">
        <v>0</v>
      </c>
      <c r="O36" s="362">
        <v>0</v>
      </c>
      <c r="P36" s="362">
        <f t="shared" si="0"/>
        <v>0</v>
      </c>
      <c r="Q36" s="475"/>
    </row>
    <row r="37" spans="1:17" ht="25.5" customHeight="1">
      <c r="A37" s="284"/>
      <c r="B37" s="292" t="s">
        <v>119</v>
      </c>
      <c r="C37" s="284">
        <v>15000000</v>
      </c>
      <c r="D37" s="284">
        <v>14000000</v>
      </c>
      <c r="E37" s="284">
        <v>9025900</v>
      </c>
      <c r="F37" s="284">
        <v>39837118</v>
      </c>
      <c r="G37" s="284">
        <v>0</v>
      </c>
      <c r="H37" s="284">
        <v>0</v>
      </c>
      <c r="I37" s="284">
        <v>0</v>
      </c>
      <c r="J37" s="362">
        <v>0</v>
      </c>
      <c r="K37" s="362">
        <v>0</v>
      </c>
      <c r="L37" s="382">
        <f>SUM(L32:L36)</f>
        <v>92028536</v>
      </c>
      <c r="M37" s="382">
        <f>SUM(M32:M36)</f>
        <v>156736266.5</v>
      </c>
      <c r="N37" s="382">
        <f>SUM(N32:N36)</f>
        <v>156736266.5</v>
      </c>
      <c r="O37" s="382">
        <f>SUM(O32:O36)</f>
        <v>56736266.5</v>
      </c>
      <c r="P37" s="362">
        <f t="shared" si="0"/>
        <v>-100000000</v>
      </c>
      <c r="Q37" s="475"/>
    </row>
    <row r="38" spans="1:17" s="387" customFormat="1" ht="25.5" customHeight="1">
      <c r="A38" s="292" t="s">
        <v>293</v>
      </c>
      <c r="B38" s="292" t="s">
        <v>292</v>
      </c>
      <c r="C38" s="292">
        <f t="shared" ref="C38:H38" si="1">SUM(C25:C37)</f>
        <v>42516965</v>
      </c>
      <c r="D38" s="292">
        <f t="shared" si="1"/>
        <v>37545292</v>
      </c>
      <c r="E38" s="292">
        <f t="shared" si="1"/>
        <v>32571192</v>
      </c>
      <c r="F38" s="292">
        <f t="shared" si="1"/>
        <v>107142610</v>
      </c>
      <c r="G38" s="292">
        <f t="shared" si="1"/>
        <v>152480000</v>
      </c>
      <c r="H38" s="292">
        <f t="shared" si="1"/>
        <v>200600000</v>
      </c>
      <c r="I38" s="292">
        <f>SUM(I25:I37)</f>
        <v>165823194</v>
      </c>
      <c r="J38" s="382">
        <f>SUM(J25:J37)</f>
        <v>255053920</v>
      </c>
      <c r="K38" s="382">
        <v>0</v>
      </c>
      <c r="L38" s="382"/>
      <c r="M38" s="382"/>
      <c r="N38" s="382"/>
      <c r="O38" s="382"/>
      <c r="P38" s="362">
        <f t="shared" si="0"/>
        <v>0</v>
      </c>
      <c r="Q38" s="609"/>
    </row>
    <row r="39" spans="1:17" s="387" customFormat="1" ht="25.5" customHeight="1" thickBot="1">
      <c r="A39" s="292" t="s">
        <v>294</v>
      </c>
      <c r="B39" s="292" t="s">
        <v>291</v>
      </c>
      <c r="C39" s="405" t="e">
        <f>C38+C24+C17+#REF!+#REF!</f>
        <v>#REF!</v>
      </c>
      <c r="D39" s="405" t="e">
        <f>D38+D24+D17+#REF!+#REF!</f>
        <v>#REF!</v>
      </c>
      <c r="E39" s="405" t="e">
        <f>E38+E24+E17+#REF!+#REF!</f>
        <v>#REF!</v>
      </c>
      <c r="F39" s="405" t="e">
        <f>F38+F24+F17+#REF!+#REF!</f>
        <v>#REF!</v>
      </c>
      <c r="G39" s="405" t="e">
        <f>G38+G24+G17+#REF!+#REF!</f>
        <v>#REF!</v>
      </c>
      <c r="H39" s="405" t="e">
        <f>H38+H24+H17+#REF!+#REF!</f>
        <v>#REF!</v>
      </c>
      <c r="I39" s="405" t="e">
        <f>I38+I24+I17+#REF!+#REF!</f>
        <v>#REF!</v>
      </c>
      <c r="J39" s="612" t="e">
        <f>J38+J24+J17+#REF!+#REF!</f>
        <v>#REF!</v>
      </c>
      <c r="K39" s="612" t="e">
        <f>K38+K35+K30+K23+K16+#REF!</f>
        <v>#REF!</v>
      </c>
      <c r="L39" s="613"/>
      <c r="M39" s="613"/>
      <c r="N39" s="613"/>
      <c r="O39" s="613"/>
      <c r="P39" s="362">
        <f t="shared" si="0"/>
        <v>0</v>
      </c>
      <c r="Q39" s="609"/>
    </row>
    <row r="40" spans="1:17" ht="25.5" customHeight="1">
      <c r="A40" s="284" t="s">
        <v>389</v>
      </c>
      <c r="B40" s="284" t="s">
        <v>346</v>
      </c>
      <c r="C40" s="379"/>
      <c r="D40" s="379" t="s">
        <v>4</v>
      </c>
      <c r="E40" s="379"/>
      <c r="F40" s="395">
        <v>0</v>
      </c>
      <c r="G40" s="379"/>
      <c r="H40" s="379"/>
      <c r="I40" s="379"/>
      <c r="J40" s="379"/>
      <c r="K40" s="379"/>
      <c r="L40" s="362">
        <v>25000000</v>
      </c>
      <c r="M40" s="362">
        <v>16896000</v>
      </c>
      <c r="N40" s="362">
        <v>0</v>
      </c>
      <c r="O40" s="362">
        <v>0</v>
      </c>
      <c r="P40" s="362">
        <f t="shared" si="0"/>
        <v>0</v>
      </c>
      <c r="Q40" s="475"/>
    </row>
    <row r="41" spans="1:17" ht="25.5" customHeight="1">
      <c r="A41" s="284" t="s">
        <v>388</v>
      </c>
      <c r="B41" s="284" t="s">
        <v>347</v>
      </c>
      <c r="C41" s="379"/>
      <c r="D41" s="467" t="s">
        <v>4</v>
      </c>
      <c r="E41" s="467"/>
      <c r="F41" s="395">
        <v>0</v>
      </c>
      <c r="G41" s="467"/>
      <c r="H41" s="467"/>
      <c r="I41" s="467"/>
      <c r="J41" s="467"/>
      <c r="K41" s="467"/>
      <c r="L41" s="362">
        <v>0</v>
      </c>
      <c r="M41" s="362">
        <v>160000000</v>
      </c>
      <c r="N41" s="362">
        <v>100000000</v>
      </c>
      <c r="O41" s="362">
        <v>120000000</v>
      </c>
      <c r="P41" s="362">
        <f t="shared" si="0"/>
        <v>20000000</v>
      </c>
      <c r="Q41" s="475"/>
    </row>
    <row r="42" spans="1:17" ht="25.5" customHeight="1">
      <c r="A42" s="284" t="s">
        <v>295</v>
      </c>
      <c r="B42" s="284" t="s">
        <v>418</v>
      </c>
      <c r="C42" s="379"/>
      <c r="D42" s="379"/>
      <c r="E42" s="379"/>
      <c r="F42" s="467">
        <v>0</v>
      </c>
      <c r="G42" s="379"/>
      <c r="H42" s="379"/>
      <c r="I42" s="379"/>
      <c r="J42" s="379"/>
      <c r="K42" s="379"/>
      <c r="L42" s="362">
        <v>5586000</v>
      </c>
      <c r="M42" s="362">
        <f>5586000*70%</f>
        <v>3910199.9999999995</v>
      </c>
      <c r="N42" s="362">
        <v>0</v>
      </c>
      <c r="O42" s="362">
        <v>0</v>
      </c>
      <c r="P42" s="362">
        <f t="shared" si="0"/>
        <v>0</v>
      </c>
      <c r="Q42" s="475"/>
    </row>
    <row r="43" spans="1:17" ht="25.5" customHeight="1">
      <c r="A43" s="284" t="s">
        <v>296</v>
      </c>
      <c r="B43" s="284" t="s">
        <v>421</v>
      </c>
      <c r="C43" s="379"/>
      <c r="D43" s="379"/>
      <c r="E43" s="379"/>
      <c r="F43" s="467">
        <v>0</v>
      </c>
      <c r="G43" s="467"/>
      <c r="H43" s="467"/>
      <c r="I43" s="467"/>
      <c r="J43" s="467"/>
      <c r="K43" s="467"/>
      <c r="L43" s="362">
        <v>3996400</v>
      </c>
      <c r="M43" s="362">
        <f>3996400+5000000</f>
        <v>8996400</v>
      </c>
      <c r="N43" s="362">
        <v>0</v>
      </c>
      <c r="O43" s="362">
        <v>0</v>
      </c>
      <c r="P43" s="362">
        <f t="shared" si="0"/>
        <v>0</v>
      </c>
      <c r="Q43" s="475"/>
    </row>
    <row r="44" spans="1:17" ht="25.5" customHeight="1">
      <c r="A44" s="284" t="s">
        <v>348</v>
      </c>
      <c r="B44" s="284" t="s">
        <v>424</v>
      </c>
      <c r="C44" s="379"/>
      <c r="D44" s="379"/>
      <c r="E44" s="379"/>
      <c r="F44" s="467"/>
      <c r="G44" s="467"/>
      <c r="H44" s="467"/>
      <c r="I44" s="467"/>
      <c r="J44" s="467"/>
      <c r="K44" s="467"/>
      <c r="L44" s="362">
        <v>0</v>
      </c>
      <c r="M44" s="362">
        <v>30000000</v>
      </c>
      <c r="N44" s="362">
        <v>0</v>
      </c>
      <c r="O44" s="362">
        <v>0</v>
      </c>
      <c r="P44" s="362">
        <f t="shared" si="0"/>
        <v>0</v>
      </c>
      <c r="Q44" s="475"/>
    </row>
    <row r="45" spans="1:17" ht="25.5" customHeight="1">
      <c r="A45" s="284"/>
      <c r="B45" s="292" t="s">
        <v>119</v>
      </c>
      <c r="C45" s="379"/>
      <c r="D45" s="379"/>
      <c r="E45" s="379"/>
      <c r="F45" s="379">
        <f>1386274192-71600000-798000-176160000-12600000</f>
        <v>1125116192</v>
      </c>
      <c r="G45" s="379"/>
      <c r="H45" s="379"/>
      <c r="I45" s="379"/>
      <c r="J45" s="379"/>
      <c r="K45" s="379"/>
      <c r="L45" s="382">
        <f>SUM(L40:L44)</f>
        <v>34582400</v>
      </c>
      <c r="M45" s="382">
        <f>SUM(M40:M44)</f>
        <v>219802600</v>
      </c>
      <c r="N45" s="382">
        <f>SUM(N40:N44)</f>
        <v>100000000</v>
      </c>
      <c r="O45" s="382">
        <f>SUM(O40:O44)</f>
        <v>120000000</v>
      </c>
      <c r="P45" s="362">
        <f t="shared" si="0"/>
        <v>20000000</v>
      </c>
      <c r="Q45" s="475"/>
    </row>
    <row r="46" spans="1:17" ht="25.5" customHeight="1">
      <c r="A46" s="421" t="s">
        <v>611</v>
      </c>
      <c r="B46" s="422" t="s">
        <v>612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362">
        <f t="shared" si="0"/>
        <v>0</v>
      </c>
      <c r="Q46" s="475"/>
    </row>
    <row r="47" spans="1:17" ht="25.5" customHeight="1">
      <c r="A47" s="283" t="s">
        <v>433</v>
      </c>
      <c r="B47" s="284" t="s">
        <v>393</v>
      </c>
      <c r="C47" s="292"/>
      <c r="D47" s="292"/>
      <c r="E47" s="292"/>
      <c r="F47" s="292"/>
      <c r="G47" s="292"/>
      <c r="H47" s="292"/>
      <c r="I47" s="292"/>
      <c r="J47" s="292"/>
      <c r="K47" s="284"/>
      <c r="L47" s="284">
        <v>199064000</v>
      </c>
      <c r="M47" s="284">
        <f>199064000*70%</f>
        <v>139344800</v>
      </c>
      <c r="N47" s="284">
        <f>199064000*70%</f>
        <v>139344800</v>
      </c>
      <c r="O47" s="284">
        <v>0</v>
      </c>
      <c r="P47" s="362">
        <f t="shared" si="0"/>
        <v>-139344800</v>
      </c>
      <c r="Q47" s="475"/>
    </row>
    <row r="48" spans="1:17" ht="25.5" customHeight="1">
      <c r="A48" s="283"/>
      <c r="B48" s="292" t="s">
        <v>119</v>
      </c>
      <c r="C48" s="284"/>
      <c r="D48" s="284"/>
      <c r="E48" s="284"/>
      <c r="F48" s="284"/>
      <c r="G48" s="284"/>
      <c r="H48" s="284"/>
      <c r="I48" s="284"/>
      <c r="J48" s="292">
        <f t="shared" ref="J48:O48" si="2">SUM(J47)</f>
        <v>0</v>
      </c>
      <c r="K48" s="292">
        <f t="shared" si="2"/>
        <v>0</v>
      </c>
      <c r="L48" s="292">
        <f t="shared" si="2"/>
        <v>199064000</v>
      </c>
      <c r="M48" s="292">
        <f t="shared" si="2"/>
        <v>139344800</v>
      </c>
      <c r="N48" s="292">
        <f t="shared" si="2"/>
        <v>139344800</v>
      </c>
      <c r="O48" s="292">
        <f t="shared" si="2"/>
        <v>0</v>
      </c>
      <c r="P48" s="362">
        <f t="shared" si="0"/>
        <v>-139344800</v>
      </c>
      <c r="Q48" s="475"/>
    </row>
    <row r="49" spans="1:17" ht="25.5" customHeight="1">
      <c r="A49" s="284"/>
      <c r="B49" s="292" t="s">
        <v>42</v>
      </c>
      <c r="C49" s="379"/>
      <c r="D49" s="379"/>
      <c r="E49" s="379"/>
      <c r="F49" s="379"/>
      <c r="G49" s="379"/>
      <c r="H49" s="379"/>
      <c r="I49" s="379"/>
      <c r="J49" s="379"/>
      <c r="K49" s="379"/>
      <c r="L49" s="361">
        <f>L45+L37+L30+L23+L8</f>
        <v>2445624565</v>
      </c>
      <c r="M49" s="361">
        <f>M48+M45+M37+M30+M23+M8</f>
        <v>4211323474.7714286</v>
      </c>
      <c r="N49" s="361">
        <f>N48+N45+N37+N30+N23+N8</f>
        <v>4008757590.7714286</v>
      </c>
      <c r="O49" s="361">
        <f>O48+O45+O37+O30+O23+O8</f>
        <v>3160429640.5</v>
      </c>
      <c r="P49" s="362">
        <f t="shared" si="0"/>
        <v>-848327950.27142859</v>
      </c>
      <c r="Q49" s="475"/>
    </row>
    <row r="50" spans="1:17">
      <c r="N50" s="455"/>
      <c r="O50" s="455"/>
    </row>
    <row r="51" spans="1:17">
      <c r="N51" s="455"/>
      <c r="O51" s="455"/>
    </row>
    <row r="52" spans="1:17">
      <c r="N52" s="455"/>
      <c r="O52" s="455"/>
    </row>
    <row r="53" spans="1:17">
      <c r="N53" s="455"/>
      <c r="O53" s="455"/>
    </row>
    <row r="54" spans="1:17">
      <c r="N54" s="455"/>
      <c r="O54" s="455"/>
    </row>
    <row r="55" spans="1:17">
      <c r="N55" s="455"/>
      <c r="O55" s="455"/>
    </row>
    <row r="56" spans="1:17">
      <c r="N56" s="455"/>
      <c r="O56" s="455"/>
    </row>
    <row r="57" spans="1:17">
      <c r="N57" s="455"/>
      <c r="O57" s="455"/>
    </row>
    <row r="58" spans="1:17">
      <c r="N58" s="455"/>
      <c r="O58" s="455"/>
    </row>
    <row r="59" spans="1:17">
      <c r="N59" s="455"/>
      <c r="O59" s="455"/>
    </row>
    <row r="60" spans="1:17">
      <c r="N60" s="455"/>
      <c r="O60" s="455"/>
    </row>
    <row r="61" spans="1:17">
      <c r="N61" s="455"/>
      <c r="O61" s="455"/>
    </row>
    <row r="62" spans="1:17">
      <c r="N62" s="455"/>
      <c r="O62" s="455"/>
    </row>
    <row r="63" spans="1:17">
      <c r="N63" s="455"/>
      <c r="O63" s="455"/>
    </row>
    <row r="64" spans="1:17">
      <c r="N64" s="455"/>
      <c r="O64" s="455"/>
    </row>
    <row r="65" spans="14:15">
      <c r="N65" s="455"/>
      <c r="O65" s="455"/>
    </row>
    <row r="66" spans="14:15">
      <c r="N66" s="455"/>
      <c r="O66" s="455"/>
    </row>
    <row r="67" spans="14:15">
      <c r="N67" s="455"/>
      <c r="O67" s="455"/>
    </row>
    <row r="68" spans="14:15">
      <c r="N68" s="455"/>
      <c r="O68" s="455"/>
    </row>
    <row r="69" spans="14:15">
      <c r="N69" s="455"/>
      <c r="O69" s="455"/>
    </row>
    <row r="70" spans="14:15">
      <c r="N70" s="455"/>
      <c r="O70" s="455"/>
    </row>
    <row r="71" spans="14:15">
      <c r="N71" s="455"/>
      <c r="O71" s="455"/>
    </row>
    <row r="72" spans="14:15">
      <c r="N72" s="455"/>
      <c r="O72" s="455"/>
    </row>
    <row r="73" spans="14:15">
      <c r="N73" s="455"/>
      <c r="O73" s="455"/>
    </row>
    <row r="74" spans="14:15">
      <c r="N74" s="455"/>
      <c r="O74" s="455"/>
    </row>
    <row r="75" spans="14:15">
      <c r="N75" s="455"/>
      <c r="O75" s="455"/>
    </row>
    <row r="76" spans="14:15">
      <c r="N76" s="455"/>
      <c r="O76" s="455"/>
    </row>
    <row r="77" spans="14:15">
      <c r="N77" s="455"/>
      <c r="O77" s="455"/>
    </row>
    <row r="78" spans="14:15">
      <c r="N78" s="455"/>
      <c r="O78" s="455"/>
    </row>
    <row r="79" spans="14:15">
      <c r="N79" s="455"/>
      <c r="O79" s="455"/>
    </row>
    <row r="80" spans="14:15">
      <c r="N80" s="455"/>
      <c r="O80" s="455"/>
    </row>
    <row r="81" spans="14:15">
      <c r="N81" s="455"/>
      <c r="O81" s="455"/>
    </row>
    <row r="82" spans="14:15">
      <c r="N82" s="455"/>
      <c r="O82" s="455"/>
    </row>
    <row r="83" spans="14:15">
      <c r="N83" s="455"/>
      <c r="O83" s="455"/>
    </row>
    <row r="84" spans="14:15">
      <c r="N84" s="455"/>
      <c r="O84" s="455"/>
    </row>
    <row r="85" spans="14:15">
      <c r="N85" s="455"/>
      <c r="O85" s="455"/>
    </row>
    <row r="86" spans="14:15">
      <c r="N86" s="455"/>
      <c r="O86" s="455"/>
    </row>
    <row r="87" spans="14:15">
      <c r="N87" s="455"/>
      <c r="O87" s="455"/>
    </row>
    <row r="88" spans="14:15">
      <c r="N88" s="455"/>
      <c r="O88" s="455"/>
    </row>
    <row r="89" spans="14:15">
      <c r="N89" s="455"/>
      <c r="O89" s="455"/>
    </row>
    <row r="90" spans="14:15">
      <c r="N90" s="455"/>
      <c r="O90" s="455"/>
    </row>
    <row r="91" spans="14:15">
      <c r="N91" s="455"/>
      <c r="O91" s="455"/>
    </row>
    <row r="92" spans="14:15">
      <c r="N92" s="455"/>
      <c r="O92" s="455"/>
    </row>
    <row r="93" spans="14:15">
      <c r="N93" s="455"/>
      <c r="O93" s="455"/>
    </row>
    <row r="94" spans="14:15">
      <c r="N94" s="455"/>
      <c r="O94" s="455"/>
    </row>
    <row r="95" spans="14:15">
      <c r="N95" s="455"/>
      <c r="O95" s="455"/>
    </row>
    <row r="96" spans="14:15">
      <c r="N96" s="455"/>
      <c r="O96" s="455"/>
    </row>
    <row r="97" spans="14:15">
      <c r="N97" s="455"/>
      <c r="O97" s="455"/>
    </row>
    <row r="98" spans="14:15">
      <c r="N98" s="455"/>
      <c r="O98" s="455"/>
    </row>
    <row r="99" spans="14:15">
      <c r="N99" s="455"/>
      <c r="O99" s="455"/>
    </row>
    <row r="100" spans="14:15">
      <c r="N100" s="455"/>
      <c r="O100" s="455"/>
    </row>
    <row r="101" spans="14:15">
      <c r="N101" s="455"/>
      <c r="O101" s="455"/>
    </row>
    <row r="102" spans="14:15">
      <c r="N102" s="455"/>
      <c r="O102" s="455"/>
    </row>
    <row r="103" spans="14:15">
      <c r="N103" s="455"/>
      <c r="O103" s="455"/>
    </row>
    <row r="104" spans="14:15">
      <c r="N104" s="455"/>
      <c r="O104" s="455"/>
    </row>
    <row r="105" spans="14:15">
      <c r="N105" s="455"/>
      <c r="O105" s="455"/>
    </row>
    <row r="106" spans="14:15">
      <c r="N106" s="455"/>
      <c r="O106" s="455"/>
    </row>
    <row r="107" spans="14:15">
      <c r="N107" s="455"/>
      <c r="O107" s="455"/>
    </row>
    <row r="108" spans="14:15">
      <c r="N108" s="455"/>
      <c r="O108" s="455"/>
    </row>
    <row r="109" spans="14:15">
      <c r="N109" s="455"/>
      <c r="O109" s="455"/>
    </row>
    <row r="110" spans="14:15">
      <c r="N110" s="455"/>
      <c r="O110" s="455"/>
    </row>
    <row r="111" spans="14:15">
      <c r="N111" s="455"/>
      <c r="O111" s="455"/>
    </row>
    <row r="112" spans="14:15">
      <c r="N112" s="455"/>
      <c r="O112" s="455"/>
    </row>
    <row r="113" spans="14:15">
      <c r="N113" s="455"/>
      <c r="O113" s="455"/>
    </row>
    <row r="114" spans="14:15">
      <c r="N114" s="455"/>
      <c r="O114" s="455"/>
    </row>
    <row r="115" spans="14:15">
      <c r="N115" s="455"/>
      <c r="O115" s="455"/>
    </row>
    <row r="116" spans="14:15">
      <c r="N116" s="455"/>
      <c r="O116" s="455"/>
    </row>
    <row r="117" spans="14:15">
      <c r="N117" s="455"/>
      <c r="O117" s="455"/>
    </row>
    <row r="118" spans="14:15">
      <c r="N118" s="455"/>
      <c r="O118" s="455"/>
    </row>
    <row r="119" spans="14:15">
      <c r="N119" s="455"/>
      <c r="O119" s="455"/>
    </row>
    <row r="120" spans="14:15">
      <c r="N120" s="455"/>
      <c r="O120" s="455"/>
    </row>
    <row r="121" spans="14:15">
      <c r="N121" s="455"/>
      <c r="O121" s="455"/>
    </row>
    <row r="122" spans="14:15">
      <c r="N122" s="455"/>
      <c r="O122" s="455"/>
    </row>
    <row r="123" spans="14:15">
      <c r="N123" s="455"/>
      <c r="O123" s="455"/>
    </row>
    <row r="124" spans="14:15">
      <c r="N124" s="455"/>
      <c r="O124" s="455"/>
    </row>
    <row r="125" spans="14:15">
      <c r="N125" s="455"/>
      <c r="O125" s="455"/>
    </row>
    <row r="126" spans="14:15">
      <c r="N126" s="455"/>
      <c r="O126" s="455"/>
    </row>
    <row r="127" spans="14:15">
      <c r="N127" s="455"/>
      <c r="O127" s="455"/>
    </row>
    <row r="128" spans="14:15">
      <c r="N128" s="455"/>
      <c r="O128" s="455"/>
    </row>
    <row r="129" spans="14:15">
      <c r="N129" s="455"/>
      <c r="O129" s="455"/>
    </row>
    <row r="130" spans="14:15">
      <c r="N130" s="455"/>
      <c r="O130" s="455"/>
    </row>
    <row r="131" spans="14:15">
      <c r="N131" s="455"/>
      <c r="O131" s="455"/>
    </row>
    <row r="132" spans="14:15">
      <c r="N132" s="455"/>
      <c r="O132" s="455"/>
    </row>
    <row r="133" spans="14:15">
      <c r="N133" s="455"/>
      <c r="O133" s="455"/>
    </row>
    <row r="134" spans="14:15">
      <c r="N134" s="455"/>
      <c r="O134" s="455"/>
    </row>
    <row r="135" spans="14:15">
      <c r="N135" s="455"/>
      <c r="O135" s="455"/>
    </row>
    <row r="136" spans="14:15">
      <c r="N136" s="455"/>
      <c r="O136" s="455"/>
    </row>
    <row r="137" spans="14:15">
      <c r="N137" s="455"/>
      <c r="O137" s="455"/>
    </row>
    <row r="138" spans="14:15">
      <c r="N138" s="455"/>
      <c r="O138" s="455"/>
    </row>
    <row r="139" spans="14:15">
      <c r="N139" s="455"/>
      <c r="O139" s="455"/>
    </row>
    <row r="140" spans="14:15">
      <c r="N140" s="455"/>
      <c r="O140" s="455"/>
    </row>
    <row r="141" spans="14:15">
      <c r="N141" s="455"/>
      <c r="O141" s="455"/>
    </row>
    <row r="142" spans="14:15">
      <c r="N142" s="455"/>
      <c r="O142" s="455"/>
    </row>
    <row r="143" spans="14:15">
      <c r="N143" s="455"/>
      <c r="O143" s="455"/>
    </row>
    <row r="144" spans="14:15">
      <c r="N144" s="455"/>
      <c r="O144" s="455"/>
    </row>
    <row r="145" spans="14:15">
      <c r="N145" s="455"/>
      <c r="O145" s="455"/>
    </row>
    <row r="146" spans="14:15">
      <c r="N146" s="455"/>
      <c r="O146" s="455"/>
    </row>
    <row r="147" spans="14:15">
      <c r="N147" s="455"/>
      <c r="O147" s="455"/>
    </row>
    <row r="148" spans="14:15">
      <c r="N148" s="455"/>
      <c r="O148" s="455"/>
    </row>
    <row r="149" spans="14:15">
      <c r="N149" s="455"/>
      <c r="O149" s="455"/>
    </row>
    <row r="150" spans="14:15">
      <c r="N150" s="455"/>
      <c r="O150" s="455"/>
    </row>
    <row r="151" spans="14:15">
      <c r="N151" s="455"/>
      <c r="O151" s="455"/>
    </row>
    <row r="152" spans="14:15">
      <c r="N152" s="455"/>
      <c r="O152" s="455"/>
    </row>
    <row r="153" spans="14:15">
      <c r="N153" s="455"/>
      <c r="O153" s="455"/>
    </row>
    <row r="154" spans="14:15">
      <c r="N154" s="455"/>
      <c r="O154" s="455"/>
    </row>
    <row r="155" spans="14:15">
      <c r="N155" s="455"/>
      <c r="O155" s="455"/>
    </row>
    <row r="156" spans="14:15">
      <c r="N156" s="455"/>
      <c r="O156" s="455"/>
    </row>
    <row r="157" spans="14:15">
      <c r="N157" s="455"/>
      <c r="O157" s="455"/>
    </row>
    <row r="158" spans="14:15">
      <c r="N158" s="455"/>
      <c r="O158" s="455"/>
    </row>
    <row r="159" spans="14:15">
      <c r="N159" s="455"/>
      <c r="O159" s="455"/>
    </row>
    <row r="160" spans="14:15">
      <c r="N160" s="455"/>
      <c r="O160" s="455"/>
    </row>
    <row r="161" spans="14:15">
      <c r="N161" s="455"/>
      <c r="O161" s="455"/>
    </row>
    <row r="162" spans="14:15">
      <c r="N162" s="455"/>
      <c r="O162" s="455"/>
    </row>
    <row r="163" spans="14:15">
      <c r="N163" s="455"/>
      <c r="O163" s="455"/>
    </row>
    <row r="164" spans="14:15">
      <c r="N164" s="455"/>
      <c r="O164" s="455"/>
    </row>
    <row r="165" spans="14:15">
      <c r="N165" s="455"/>
      <c r="O165" s="455"/>
    </row>
    <row r="166" spans="14:15">
      <c r="N166" s="455"/>
      <c r="O166" s="455"/>
    </row>
    <row r="167" spans="14:15">
      <c r="N167" s="455"/>
      <c r="O167" s="455"/>
    </row>
    <row r="168" spans="14:15">
      <c r="N168" s="455"/>
      <c r="O168" s="455"/>
    </row>
    <row r="169" spans="14:15">
      <c r="N169" s="455"/>
      <c r="O169" s="455"/>
    </row>
    <row r="170" spans="14:15">
      <c r="N170" s="455"/>
      <c r="O170" s="455"/>
    </row>
    <row r="171" spans="14:15">
      <c r="N171" s="455"/>
      <c r="O171" s="455"/>
    </row>
    <row r="172" spans="14:15">
      <c r="N172" s="455"/>
      <c r="O172" s="455"/>
    </row>
    <row r="173" spans="14:15">
      <c r="N173" s="455"/>
      <c r="O173" s="455"/>
    </row>
    <row r="174" spans="14:15">
      <c r="N174" s="455"/>
      <c r="O174" s="455"/>
    </row>
    <row r="175" spans="14:15">
      <c r="N175" s="455"/>
      <c r="O175" s="455"/>
    </row>
    <row r="176" spans="14:15">
      <c r="N176" s="455"/>
      <c r="O176" s="455"/>
    </row>
    <row r="177" spans="14:15">
      <c r="N177" s="455"/>
      <c r="O177" s="455"/>
    </row>
    <row r="178" spans="14:15">
      <c r="N178" s="455"/>
      <c r="O178" s="455"/>
    </row>
    <row r="179" spans="14:15">
      <c r="N179" s="455"/>
      <c r="O179" s="455"/>
    </row>
    <row r="180" spans="14:15">
      <c r="N180" s="455"/>
      <c r="O180" s="455"/>
    </row>
    <row r="181" spans="14:15">
      <c r="N181" s="455"/>
      <c r="O181" s="455"/>
    </row>
    <row r="182" spans="14:15">
      <c r="N182" s="455"/>
      <c r="O182" s="455"/>
    </row>
    <row r="183" spans="14:15">
      <c r="N183" s="455"/>
      <c r="O183" s="455"/>
    </row>
    <row r="184" spans="14:15">
      <c r="N184" s="455"/>
      <c r="O184" s="455"/>
    </row>
    <row r="185" spans="14:15">
      <c r="N185" s="455"/>
      <c r="O185" s="455"/>
    </row>
    <row r="186" spans="14:15">
      <c r="N186" s="455"/>
      <c r="O186" s="455"/>
    </row>
    <row r="187" spans="14:15">
      <c r="N187" s="455"/>
      <c r="O187" s="455"/>
    </row>
    <row r="188" spans="14:15">
      <c r="N188" s="455"/>
      <c r="O188" s="455"/>
    </row>
    <row r="189" spans="14:15">
      <c r="N189" s="455"/>
      <c r="O189" s="455"/>
    </row>
    <row r="190" spans="14:15">
      <c r="N190" s="455"/>
      <c r="O190" s="455"/>
    </row>
    <row r="191" spans="14:15">
      <c r="N191" s="455"/>
      <c r="O191" s="455"/>
    </row>
    <row r="192" spans="14:15">
      <c r="N192" s="455"/>
      <c r="O192" s="455"/>
    </row>
    <row r="193" spans="14:15">
      <c r="N193" s="455"/>
      <c r="O193" s="455"/>
    </row>
    <row r="194" spans="14:15">
      <c r="N194" s="455"/>
      <c r="O194" s="455"/>
    </row>
    <row r="195" spans="14:15">
      <c r="N195" s="455"/>
      <c r="O195" s="455"/>
    </row>
    <row r="196" spans="14:15">
      <c r="N196" s="455"/>
      <c r="O196" s="455"/>
    </row>
    <row r="197" spans="14:15">
      <c r="N197" s="455"/>
      <c r="O197" s="455"/>
    </row>
    <row r="198" spans="14:15">
      <c r="N198" s="455"/>
      <c r="O198" s="455"/>
    </row>
    <row r="199" spans="14:15">
      <c r="N199" s="455"/>
      <c r="O199" s="455"/>
    </row>
    <row r="200" spans="14:15">
      <c r="N200" s="455"/>
      <c r="O200" s="455"/>
    </row>
    <row r="201" spans="14:15">
      <c r="N201" s="455"/>
      <c r="O201" s="455"/>
    </row>
    <row r="202" spans="14:15">
      <c r="N202" s="455"/>
      <c r="O202" s="455"/>
    </row>
    <row r="203" spans="14:15">
      <c r="N203" s="455"/>
      <c r="O203" s="455"/>
    </row>
    <row r="204" spans="14:15">
      <c r="N204" s="455"/>
      <c r="O204" s="455"/>
    </row>
    <row r="205" spans="14:15">
      <c r="N205" s="455"/>
      <c r="O205" s="455"/>
    </row>
    <row r="206" spans="14:15">
      <c r="N206" s="455"/>
      <c r="O206" s="455"/>
    </row>
    <row r="207" spans="14:15">
      <c r="N207" s="455"/>
      <c r="O207" s="455"/>
    </row>
    <row r="208" spans="14:15">
      <c r="N208" s="455"/>
      <c r="O208" s="455"/>
    </row>
    <row r="209" spans="14:15">
      <c r="N209" s="455"/>
      <c r="O209" s="455"/>
    </row>
    <row r="210" spans="14:15">
      <c r="N210" s="455"/>
      <c r="O210" s="455"/>
    </row>
    <row r="211" spans="14:15">
      <c r="N211" s="455"/>
      <c r="O211" s="455"/>
    </row>
    <row r="212" spans="14:15">
      <c r="N212" s="455"/>
      <c r="O212" s="455"/>
    </row>
    <row r="213" spans="14:15">
      <c r="N213" s="455"/>
      <c r="O213" s="455"/>
    </row>
    <row r="214" spans="14:15">
      <c r="N214" s="455"/>
      <c r="O214" s="455"/>
    </row>
    <row r="215" spans="14:15">
      <c r="N215" s="455"/>
      <c r="O215" s="455"/>
    </row>
    <row r="216" spans="14:15">
      <c r="N216" s="455"/>
      <c r="O216" s="455"/>
    </row>
    <row r="217" spans="14:15">
      <c r="N217" s="455"/>
      <c r="O217" s="455"/>
    </row>
    <row r="218" spans="14:15">
      <c r="N218" s="455"/>
      <c r="O218" s="455"/>
    </row>
    <row r="219" spans="14:15">
      <c r="N219" s="455"/>
      <c r="O219" s="455"/>
    </row>
    <row r="220" spans="14:15">
      <c r="N220" s="455"/>
      <c r="O220" s="455"/>
    </row>
    <row r="221" spans="14:15">
      <c r="N221" s="455"/>
      <c r="O221" s="455"/>
    </row>
    <row r="222" spans="14:15">
      <c r="N222" s="455"/>
      <c r="O222" s="455"/>
    </row>
    <row r="223" spans="14:15">
      <c r="N223" s="455"/>
      <c r="O223" s="455"/>
    </row>
    <row r="224" spans="14:15">
      <c r="N224" s="455"/>
      <c r="O224" s="455"/>
    </row>
    <row r="225" spans="14:15">
      <c r="N225" s="455"/>
      <c r="O225" s="455"/>
    </row>
    <row r="226" spans="14:15">
      <c r="N226" s="455"/>
      <c r="O226" s="455"/>
    </row>
    <row r="227" spans="14:15">
      <c r="N227" s="455"/>
      <c r="O227" s="455"/>
    </row>
    <row r="228" spans="14:15">
      <c r="N228" s="455"/>
      <c r="O228" s="455"/>
    </row>
    <row r="229" spans="14:15">
      <c r="N229" s="455"/>
      <c r="O229" s="455"/>
    </row>
    <row r="230" spans="14:15">
      <c r="N230" s="455"/>
      <c r="O230" s="455"/>
    </row>
    <row r="231" spans="14:15">
      <c r="N231" s="455"/>
      <c r="O231" s="455"/>
    </row>
    <row r="232" spans="14:15">
      <c r="N232" s="455"/>
      <c r="O232" s="455"/>
    </row>
    <row r="233" spans="14:15">
      <c r="N233" s="455"/>
      <c r="O233" s="455"/>
    </row>
    <row r="234" spans="14:15">
      <c r="N234" s="455"/>
      <c r="O234" s="455"/>
    </row>
    <row r="235" spans="14:15">
      <c r="N235" s="455"/>
      <c r="O235" s="455"/>
    </row>
    <row r="236" spans="14:15">
      <c r="N236" s="455"/>
      <c r="O236" s="455"/>
    </row>
    <row r="237" spans="14:15">
      <c r="N237" s="455"/>
      <c r="O237" s="455"/>
    </row>
    <row r="238" spans="14:15">
      <c r="N238" s="455"/>
      <c r="O238" s="455"/>
    </row>
    <row r="239" spans="14:15">
      <c r="N239" s="455"/>
      <c r="O239" s="455"/>
    </row>
    <row r="240" spans="14:15">
      <c r="N240" s="455"/>
      <c r="O240" s="455"/>
    </row>
    <row r="241" spans="14:15">
      <c r="N241" s="455"/>
      <c r="O241" s="455"/>
    </row>
    <row r="242" spans="14:15">
      <c r="N242" s="455"/>
      <c r="O242" s="455"/>
    </row>
    <row r="243" spans="14:15">
      <c r="N243" s="455"/>
      <c r="O243" s="455"/>
    </row>
    <row r="244" spans="14:15">
      <c r="N244" s="455"/>
      <c r="O244" s="455"/>
    </row>
    <row r="245" spans="14:15">
      <c r="N245" s="455"/>
      <c r="O245" s="455"/>
    </row>
    <row r="246" spans="14:15">
      <c r="N246" s="455"/>
      <c r="O246" s="455"/>
    </row>
    <row r="247" spans="14:15">
      <c r="N247" s="455"/>
      <c r="O247" s="455"/>
    </row>
    <row r="248" spans="14:15">
      <c r="N248" s="455"/>
      <c r="O248" s="455"/>
    </row>
    <row r="249" spans="14:15">
      <c r="N249" s="455"/>
      <c r="O249" s="455"/>
    </row>
    <row r="250" spans="14:15">
      <c r="N250" s="455"/>
      <c r="O250" s="455"/>
    </row>
    <row r="251" spans="14:15">
      <c r="N251" s="455"/>
      <c r="O251" s="455"/>
    </row>
    <row r="252" spans="14:15">
      <c r="N252" s="455"/>
      <c r="O252" s="455"/>
    </row>
    <row r="253" spans="14:15">
      <c r="N253" s="455"/>
      <c r="O253" s="455"/>
    </row>
    <row r="254" spans="14:15">
      <c r="N254" s="455"/>
      <c r="O254" s="455"/>
    </row>
    <row r="255" spans="14:15">
      <c r="N255" s="455"/>
      <c r="O255" s="455"/>
    </row>
    <row r="256" spans="14:15">
      <c r="N256" s="455"/>
      <c r="O256" s="455"/>
    </row>
    <row r="257" spans="14:15">
      <c r="N257" s="455"/>
      <c r="O257" s="455"/>
    </row>
    <row r="258" spans="14:15">
      <c r="N258" s="455"/>
      <c r="O258" s="455"/>
    </row>
    <row r="259" spans="14:15">
      <c r="N259" s="455"/>
      <c r="O259" s="455"/>
    </row>
    <row r="260" spans="14:15">
      <c r="N260" s="455"/>
      <c r="O260" s="455"/>
    </row>
    <row r="261" spans="14:15">
      <c r="N261" s="455"/>
      <c r="O261" s="455"/>
    </row>
    <row r="262" spans="14:15">
      <c r="N262" s="455"/>
      <c r="O262" s="455"/>
    </row>
    <row r="263" spans="14:15">
      <c r="N263" s="455"/>
      <c r="O263" s="455"/>
    </row>
    <row r="264" spans="14:15">
      <c r="N264" s="455"/>
      <c r="O264" s="455"/>
    </row>
    <row r="265" spans="14:15">
      <c r="N265" s="455"/>
      <c r="O265" s="455"/>
    </row>
    <row r="266" spans="14:15">
      <c r="N266" s="455"/>
      <c r="O266" s="455"/>
    </row>
    <row r="267" spans="14:15">
      <c r="N267" s="455"/>
      <c r="O267" s="455"/>
    </row>
    <row r="268" spans="14:15">
      <c r="N268" s="455"/>
      <c r="O268" s="455"/>
    </row>
    <row r="269" spans="14:15">
      <c r="N269" s="455"/>
      <c r="O269" s="455"/>
    </row>
    <row r="270" spans="14:15">
      <c r="N270" s="455"/>
      <c r="O270" s="455"/>
    </row>
    <row r="271" spans="14:15">
      <c r="N271" s="455"/>
      <c r="O271" s="455"/>
    </row>
    <row r="272" spans="14:15">
      <c r="N272" s="455"/>
      <c r="O272" s="455"/>
    </row>
    <row r="273" spans="14:15">
      <c r="N273" s="455"/>
      <c r="O273" s="455"/>
    </row>
    <row r="274" spans="14:15">
      <c r="N274" s="455"/>
      <c r="O274" s="455"/>
    </row>
    <row r="275" spans="14:15">
      <c r="N275" s="455"/>
      <c r="O275" s="455"/>
    </row>
    <row r="276" spans="14:15">
      <c r="N276" s="455"/>
      <c r="O276" s="455"/>
    </row>
    <row r="277" spans="14:15">
      <c r="N277" s="455"/>
      <c r="O277" s="455"/>
    </row>
    <row r="278" spans="14:15">
      <c r="N278" s="455"/>
      <c r="O278" s="455"/>
    </row>
    <row r="279" spans="14:15">
      <c r="N279" s="455"/>
      <c r="O279" s="455"/>
    </row>
    <row r="280" spans="14:15">
      <c r="N280" s="455"/>
      <c r="O280" s="455"/>
    </row>
    <row r="281" spans="14:15">
      <c r="N281" s="455"/>
      <c r="O281" s="455"/>
    </row>
    <row r="282" spans="14:15">
      <c r="N282" s="455"/>
      <c r="O282" s="455"/>
    </row>
    <row r="283" spans="14:15">
      <c r="N283" s="455"/>
      <c r="O283" s="455"/>
    </row>
    <row r="284" spans="14:15">
      <c r="N284" s="455"/>
      <c r="O284" s="455"/>
    </row>
    <row r="285" spans="14:15">
      <c r="N285" s="455"/>
      <c r="O285" s="455"/>
    </row>
    <row r="286" spans="14:15">
      <c r="N286" s="455"/>
      <c r="O286" s="455"/>
    </row>
    <row r="287" spans="14:15">
      <c r="N287" s="455"/>
      <c r="O287" s="455"/>
    </row>
    <row r="288" spans="14:15">
      <c r="N288" s="455"/>
      <c r="O288" s="455"/>
    </row>
    <row r="289" spans="14:15">
      <c r="N289" s="455"/>
      <c r="O289" s="455"/>
    </row>
    <row r="290" spans="14:15">
      <c r="N290" s="455"/>
      <c r="O290" s="455"/>
    </row>
    <row r="291" spans="14:15">
      <c r="N291" s="455"/>
      <c r="O291" s="455"/>
    </row>
    <row r="292" spans="14:15">
      <c r="N292" s="455"/>
      <c r="O292" s="455"/>
    </row>
    <row r="293" spans="14:15">
      <c r="N293" s="455"/>
      <c r="O293" s="455"/>
    </row>
    <row r="294" spans="14:15">
      <c r="N294" s="455"/>
      <c r="O294" s="455"/>
    </row>
    <row r="295" spans="14:15">
      <c r="N295" s="455"/>
      <c r="O295" s="455"/>
    </row>
    <row r="296" spans="14:15">
      <c r="N296" s="455"/>
      <c r="O296" s="455"/>
    </row>
    <row r="297" spans="14:15">
      <c r="N297" s="455"/>
      <c r="O297" s="455"/>
    </row>
    <row r="298" spans="14:15">
      <c r="N298" s="455"/>
      <c r="O298" s="455"/>
    </row>
    <row r="299" spans="14:15">
      <c r="N299" s="455"/>
      <c r="O299" s="455"/>
    </row>
    <row r="300" spans="14:15">
      <c r="N300" s="455"/>
      <c r="O300" s="455"/>
    </row>
    <row r="301" spans="14:15">
      <c r="N301" s="455"/>
      <c r="O301" s="455"/>
    </row>
    <row r="302" spans="14:15">
      <c r="N302" s="455"/>
      <c r="O302" s="455"/>
    </row>
    <row r="303" spans="14:15">
      <c r="N303" s="455"/>
      <c r="O303" s="455"/>
    </row>
    <row r="304" spans="14:15">
      <c r="N304" s="455"/>
      <c r="O304" s="455"/>
    </row>
    <row r="305" spans="14:15">
      <c r="N305" s="455"/>
      <c r="O305" s="455"/>
    </row>
    <row r="306" spans="14:15">
      <c r="N306" s="455"/>
      <c r="O306" s="455"/>
    </row>
    <row r="307" spans="14:15">
      <c r="N307" s="455"/>
      <c r="O307" s="455"/>
    </row>
    <row r="308" spans="14:15">
      <c r="N308" s="455"/>
      <c r="O308" s="455"/>
    </row>
    <row r="309" spans="14:15">
      <c r="N309" s="455"/>
      <c r="O309" s="455"/>
    </row>
    <row r="310" spans="14:15">
      <c r="N310" s="455"/>
      <c r="O310" s="455"/>
    </row>
    <row r="311" spans="14:15">
      <c r="N311" s="455"/>
      <c r="O311" s="455"/>
    </row>
    <row r="312" spans="14:15">
      <c r="N312" s="455"/>
      <c r="O312" s="455"/>
    </row>
    <row r="313" spans="14:15">
      <c r="N313" s="455"/>
      <c r="O313" s="455"/>
    </row>
    <row r="314" spans="14:15">
      <c r="N314" s="455"/>
      <c r="O314" s="455"/>
    </row>
    <row r="315" spans="14:15">
      <c r="N315" s="455"/>
      <c r="O315" s="455"/>
    </row>
    <row r="316" spans="14:15">
      <c r="N316" s="455"/>
      <c r="O316" s="455"/>
    </row>
    <row r="317" spans="14:15">
      <c r="N317" s="455"/>
      <c r="O317" s="455"/>
    </row>
    <row r="318" spans="14:15">
      <c r="N318" s="455"/>
      <c r="O318" s="455"/>
    </row>
    <row r="319" spans="14:15">
      <c r="N319" s="455"/>
      <c r="O319" s="455"/>
    </row>
    <row r="320" spans="14:15">
      <c r="N320" s="455"/>
      <c r="O320" s="455"/>
    </row>
    <row r="321" spans="14:15">
      <c r="N321" s="455"/>
      <c r="O321" s="455"/>
    </row>
    <row r="322" spans="14:15">
      <c r="N322" s="455"/>
      <c r="O322" s="455"/>
    </row>
    <row r="323" spans="14:15">
      <c r="N323" s="455"/>
      <c r="O323" s="455"/>
    </row>
    <row r="324" spans="14:15">
      <c r="N324" s="455"/>
      <c r="O324" s="455"/>
    </row>
    <row r="325" spans="14:15">
      <c r="N325" s="455"/>
      <c r="O325" s="455"/>
    </row>
    <row r="326" spans="14:15">
      <c r="N326" s="455"/>
      <c r="O326" s="455"/>
    </row>
    <row r="327" spans="14:15">
      <c r="N327" s="455"/>
      <c r="O327" s="455"/>
    </row>
    <row r="328" spans="14:15">
      <c r="N328" s="455"/>
      <c r="O328" s="455"/>
    </row>
    <row r="329" spans="14:15">
      <c r="N329" s="455"/>
      <c r="O329" s="455"/>
    </row>
    <row r="330" spans="14:15">
      <c r="N330" s="455"/>
      <c r="O330" s="455"/>
    </row>
    <row r="331" spans="14:15">
      <c r="N331" s="455"/>
      <c r="O331" s="455"/>
    </row>
    <row r="332" spans="14:15">
      <c r="N332" s="455"/>
      <c r="O332" s="455"/>
    </row>
    <row r="333" spans="14:15">
      <c r="N333" s="455"/>
      <c r="O333" s="455"/>
    </row>
    <row r="334" spans="14:15">
      <c r="N334" s="455"/>
      <c r="O334" s="455"/>
    </row>
    <row r="335" spans="14:15">
      <c r="N335" s="455"/>
      <c r="O335" s="455"/>
    </row>
    <row r="336" spans="14:15">
      <c r="N336" s="455"/>
      <c r="O336" s="455"/>
    </row>
    <row r="337" spans="14:15">
      <c r="N337" s="455"/>
      <c r="O337" s="455"/>
    </row>
    <row r="338" spans="14:15">
      <c r="N338" s="455"/>
      <c r="O338" s="455"/>
    </row>
    <row r="339" spans="14:15">
      <c r="N339" s="455"/>
      <c r="O339" s="455"/>
    </row>
    <row r="340" spans="14:15">
      <c r="N340" s="455"/>
      <c r="O340" s="455"/>
    </row>
    <row r="341" spans="14:15">
      <c r="N341" s="455"/>
      <c r="O341" s="455"/>
    </row>
    <row r="342" spans="14:15">
      <c r="N342" s="455"/>
      <c r="O342" s="455"/>
    </row>
    <row r="343" spans="14:15">
      <c r="N343" s="455"/>
      <c r="O343" s="455"/>
    </row>
    <row r="344" spans="14:15">
      <c r="N344" s="455"/>
      <c r="O344" s="455"/>
    </row>
    <row r="345" spans="14:15">
      <c r="N345" s="455"/>
      <c r="O345" s="455"/>
    </row>
    <row r="346" spans="14:15">
      <c r="N346" s="455"/>
      <c r="O346" s="455"/>
    </row>
    <row r="347" spans="14:15">
      <c r="N347" s="455"/>
      <c r="O347" s="455"/>
    </row>
    <row r="348" spans="14:15">
      <c r="N348" s="455"/>
      <c r="O348" s="455"/>
    </row>
    <row r="349" spans="14:15">
      <c r="N349" s="455"/>
      <c r="O349" s="455"/>
    </row>
    <row r="350" spans="14:15">
      <c r="N350" s="455"/>
      <c r="O350" s="455"/>
    </row>
    <row r="351" spans="14:15">
      <c r="N351" s="455"/>
      <c r="O351" s="455"/>
    </row>
    <row r="352" spans="14:15">
      <c r="N352" s="455"/>
      <c r="O352" s="455"/>
    </row>
    <row r="353" spans="14:15">
      <c r="N353" s="455"/>
      <c r="O353" s="455"/>
    </row>
    <row r="354" spans="14:15">
      <c r="N354" s="455"/>
      <c r="O354" s="455"/>
    </row>
    <row r="355" spans="14:15">
      <c r="N355" s="455"/>
      <c r="O355" s="455"/>
    </row>
    <row r="356" spans="14:15">
      <c r="N356" s="455"/>
      <c r="O356" s="455"/>
    </row>
    <row r="357" spans="14:15">
      <c r="N357" s="455"/>
      <c r="O357" s="455"/>
    </row>
    <row r="358" spans="14:15">
      <c r="N358" s="455"/>
      <c r="O358" s="455"/>
    </row>
    <row r="359" spans="14:15">
      <c r="N359" s="455"/>
      <c r="O359" s="455"/>
    </row>
    <row r="360" spans="14:15">
      <c r="N360" s="455"/>
      <c r="O360" s="455"/>
    </row>
    <row r="361" spans="14:15">
      <c r="N361" s="455"/>
      <c r="O361" s="455"/>
    </row>
    <row r="362" spans="14:15">
      <c r="N362" s="455"/>
      <c r="O362" s="455"/>
    </row>
    <row r="363" spans="14:15">
      <c r="N363" s="455"/>
      <c r="O363" s="455"/>
    </row>
    <row r="364" spans="14:15">
      <c r="N364" s="455"/>
      <c r="O364" s="455"/>
    </row>
    <row r="365" spans="14:15">
      <c r="N365" s="455"/>
      <c r="O365" s="455"/>
    </row>
    <row r="366" spans="14:15">
      <c r="N366" s="455"/>
      <c r="O366" s="455"/>
    </row>
    <row r="367" spans="14:15">
      <c r="N367" s="455"/>
      <c r="O367" s="455"/>
    </row>
    <row r="368" spans="14:15">
      <c r="N368" s="455"/>
      <c r="O368" s="455"/>
    </row>
    <row r="369" spans="14:15">
      <c r="N369" s="455"/>
      <c r="O369" s="455"/>
    </row>
    <row r="370" spans="14:15">
      <c r="N370" s="455"/>
      <c r="O370" s="455"/>
    </row>
    <row r="371" spans="14:15">
      <c r="N371" s="455"/>
      <c r="O371" s="455"/>
    </row>
    <row r="372" spans="14:15">
      <c r="N372" s="455"/>
      <c r="O372" s="455"/>
    </row>
    <row r="373" spans="14:15">
      <c r="N373" s="455"/>
      <c r="O373" s="455"/>
    </row>
    <row r="374" spans="14:15">
      <c r="N374" s="455"/>
      <c r="O374" s="455"/>
    </row>
    <row r="375" spans="14:15">
      <c r="N375" s="455"/>
      <c r="O375" s="455"/>
    </row>
    <row r="376" spans="14:15">
      <c r="N376" s="455"/>
      <c r="O376" s="455"/>
    </row>
    <row r="377" spans="14:15">
      <c r="N377" s="455"/>
      <c r="O377" s="455"/>
    </row>
    <row r="378" spans="14:15">
      <c r="N378" s="455"/>
      <c r="O378" s="455"/>
    </row>
    <row r="379" spans="14:15">
      <c r="N379" s="455"/>
      <c r="O379" s="455"/>
    </row>
    <row r="380" spans="14:15">
      <c r="N380" s="455"/>
      <c r="O380" s="455"/>
    </row>
    <row r="381" spans="14:15">
      <c r="N381" s="455"/>
      <c r="O381" s="455"/>
    </row>
    <row r="382" spans="14:15">
      <c r="N382" s="455"/>
      <c r="O382" s="455"/>
    </row>
    <row r="383" spans="14:15">
      <c r="N383" s="455"/>
      <c r="O383" s="455"/>
    </row>
    <row r="384" spans="14:15">
      <c r="N384" s="455"/>
      <c r="O384" s="455"/>
    </row>
    <row r="385" spans="14:15">
      <c r="N385" s="455"/>
      <c r="O385" s="455"/>
    </row>
    <row r="386" spans="14:15">
      <c r="N386" s="455"/>
      <c r="O386" s="455"/>
    </row>
    <row r="387" spans="14:15">
      <c r="N387" s="455"/>
      <c r="O387" s="455"/>
    </row>
    <row r="388" spans="14:15">
      <c r="N388" s="455"/>
      <c r="O388" s="455"/>
    </row>
    <row r="389" spans="14:15">
      <c r="N389" s="455"/>
      <c r="O389" s="455"/>
    </row>
    <row r="390" spans="14:15">
      <c r="N390" s="455"/>
      <c r="O390" s="455"/>
    </row>
    <row r="391" spans="14:15">
      <c r="N391" s="455"/>
      <c r="O391" s="455"/>
    </row>
    <row r="392" spans="14:15">
      <c r="N392" s="455"/>
      <c r="O392" s="455"/>
    </row>
    <row r="393" spans="14:15">
      <c r="N393" s="455"/>
      <c r="O393" s="455"/>
    </row>
    <row r="394" spans="14:15">
      <c r="N394" s="455"/>
      <c r="O394" s="455"/>
    </row>
    <row r="395" spans="14:15">
      <c r="N395" s="455"/>
      <c r="O395" s="455"/>
    </row>
    <row r="396" spans="14:15">
      <c r="N396" s="455"/>
      <c r="O396" s="455"/>
    </row>
    <row r="397" spans="14:15">
      <c r="N397" s="455"/>
      <c r="O397" s="455"/>
    </row>
    <row r="398" spans="14:15">
      <c r="N398" s="455"/>
      <c r="O398" s="455"/>
    </row>
    <row r="399" spans="14:15">
      <c r="N399" s="455"/>
      <c r="O399" s="455"/>
    </row>
    <row r="400" spans="14:15">
      <c r="N400" s="455"/>
      <c r="O400" s="455"/>
    </row>
    <row r="401" spans="14:15">
      <c r="N401" s="455"/>
      <c r="O401" s="455"/>
    </row>
    <row r="402" spans="14:15">
      <c r="N402" s="455"/>
      <c r="O402" s="455"/>
    </row>
    <row r="403" spans="14:15">
      <c r="N403" s="455"/>
      <c r="O403" s="455"/>
    </row>
    <row r="404" spans="14:15">
      <c r="N404" s="455"/>
      <c r="O404" s="455"/>
    </row>
    <row r="405" spans="14:15">
      <c r="N405" s="455"/>
      <c r="O405" s="455"/>
    </row>
    <row r="406" spans="14:15">
      <c r="N406" s="455"/>
      <c r="O406" s="455"/>
    </row>
    <row r="407" spans="14:15">
      <c r="N407" s="455"/>
      <c r="O407" s="455"/>
    </row>
    <row r="408" spans="14:15">
      <c r="N408" s="455"/>
      <c r="O408" s="455"/>
    </row>
    <row r="409" spans="14:15">
      <c r="N409" s="455"/>
      <c r="O409" s="455"/>
    </row>
    <row r="410" spans="14:15">
      <c r="N410" s="455"/>
      <c r="O410" s="455"/>
    </row>
    <row r="411" spans="14:15">
      <c r="N411" s="455"/>
      <c r="O411" s="455"/>
    </row>
    <row r="412" spans="14:15">
      <c r="N412" s="455"/>
      <c r="O412" s="455"/>
    </row>
    <row r="413" spans="14:15">
      <c r="N413" s="455"/>
      <c r="O413" s="455"/>
    </row>
    <row r="414" spans="14:15">
      <c r="N414" s="455"/>
      <c r="O414" s="455"/>
    </row>
    <row r="415" spans="14:15">
      <c r="N415" s="455"/>
      <c r="O415" s="455"/>
    </row>
    <row r="416" spans="14:15">
      <c r="N416" s="455"/>
      <c r="O416" s="455"/>
    </row>
    <row r="417" spans="14:15">
      <c r="N417" s="455"/>
      <c r="O417" s="455"/>
    </row>
    <row r="418" spans="14:15">
      <c r="N418" s="455"/>
      <c r="O418" s="455"/>
    </row>
    <row r="419" spans="14:15">
      <c r="N419" s="455"/>
      <c r="O419" s="455"/>
    </row>
    <row r="420" spans="14:15">
      <c r="N420" s="455"/>
      <c r="O420" s="455"/>
    </row>
    <row r="421" spans="14:15">
      <c r="N421" s="455"/>
      <c r="O421" s="455"/>
    </row>
    <row r="422" spans="14:15">
      <c r="N422" s="455"/>
      <c r="O422" s="455"/>
    </row>
    <row r="423" spans="14:15">
      <c r="N423" s="455"/>
      <c r="O423" s="455"/>
    </row>
    <row r="424" spans="14:15">
      <c r="N424" s="455"/>
      <c r="O424" s="455"/>
    </row>
    <row r="425" spans="14:15">
      <c r="N425" s="455"/>
      <c r="O425" s="455"/>
    </row>
    <row r="426" spans="14:15">
      <c r="N426" s="455"/>
      <c r="O426" s="455"/>
    </row>
    <row r="427" spans="14:15">
      <c r="N427" s="455"/>
      <c r="O427" s="455"/>
    </row>
    <row r="428" spans="14:15">
      <c r="N428" s="455"/>
      <c r="O428" s="455"/>
    </row>
    <row r="429" spans="14:15">
      <c r="N429" s="455"/>
      <c r="O429" s="455"/>
    </row>
    <row r="430" spans="14:15">
      <c r="N430" s="455"/>
      <c r="O430" s="455"/>
    </row>
    <row r="431" spans="14:15">
      <c r="N431" s="455"/>
      <c r="O431" s="455"/>
    </row>
    <row r="432" spans="14:15">
      <c r="N432" s="455"/>
      <c r="O432" s="455"/>
    </row>
    <row r="433" spans="14:15">
      <c r="N433" s="455"/>
      <c r="O433" s="455"/>
    </row>
    <row r="434" spans="14:15">
      <c r="N434" s="455"/>
      <c r="O434" s="455"/>
    </row>
    <row r="435" spans="14:15">
      <c r="N435" s="455"/>
      <c r="O435" s="455"/>
    </row>
    <row r="436" spans="14:15">
      <c r="N436" s="455"/>
      <c r="O436" s="455"/>
    </row>
    <row r="437" spans="14:15">
      <c r="N437" s="455"/>
      <c r="O437" s="455"/>
    </row>
    <row r="438" spans="14:15">
      <c r="N438" s="455"/>
      <c r="O438" s="455"/>
    </row>
    <row r="439" spans="14:15">
      <c r="N439" s="455"/>
      <c r="O439" s="455"/>
    </row>
    <row r="440" spans="14:15">
      <c r="N440" s="455"/>
      <c r="O440" s="455"/>
    </row>
    <row r="441" spans="14:15">
      <c r="N441" s="455"/>
      <c r="O441" s="455"/>
    </row>
    <row r="442" spans="14:15">
      <c r="N442" s="455"/>
      <c r="O442" s="455"/>
    </row>
    <row r="443" spans="14:15">
      <c r="N443" s="455"/>
      <c r="O443" s="455"/>
    </row>
    <row r="444" spans="14:15">
      <c r="N444" s="455"/>
      <c r="O444" s="455"/>
    </row>
    <row r="445" spans="14:15">
      <c r="N445" s="455"/>
      <c r="O445" s="455"/>
    </row>
    <row r="446" spans="14:15">
      <c r="N446" s="455"/>
      <c r="O446" s="455"/>
    </row>
    <row r="447" spans="14:15">
      <c r="N447" s="455"/>
      <c r="O447" s="455"/>
    </row>
    <row r="448" spans="14:15">
      <c r="N448" s="455"/>
      <c r="O448" s="455"/>
    </row>
    <row r="449" spans="14:15">
      <c r="N449" s="455"/>
      <c r="O449" s="455"/>
    </row>
    <row r="450" spans="14:15">
      <c r="N450" s="455"/>
      <c r="O450" s="455"/>
    </row>
    <row r="451" spans="14:15">
      <c r="N451" s="455"/>
      <c r="O451" s="455"/>
    </row>
    <row r="452" spans="14:15">
      <c r="N452" s="455"/>
      <c r="O452" s="455"/>
    </row>
    <row r="453" spans="14:15">
      <c r="N453" s="455"/>
      <c r="O453" s="455"/>
    </row>
    <row r="454" spans="14:15">
      <c r="N454" s="455"/>
      <c r="O454" s="455"/>
    </row>
    <row r="455" spans="14:15">
      <c r="N455" s="455"/>
      <c r="O455" s="455"/>
    </row>
    <row r="456" spans="14:15">
      <c r="N456" s="455"/>
      <c r="O456" s="455"/>
    </row>
    <row r="457" spans="14:15">
      <c r="N457" s="455"/>
      <c r="O457" s="455"/>
    </row>
    <row r="458" spans="14:15">
      <c r="N458" s="455"/>
      <c r="O458" s="455"/>
    </row>
    <row r="459" spans="14:15">
      <c r="N459" s="455"/>
      <c r="O459" s="455"/>
    </row>
    <row r="460" spans="14:15">
      <c r="N460" s="455"/>
      <c r="O460" s="455"/>
    </row>
    <row r="461" spans="14:15">
      <c r="N461" s="455"/>
      <c r="O461" s="455"/>
    </row>
    <row r="462" spans="14:15">
      <c r="N462" s="455"/>
      <c r="O462" s="455"/>
    </row>
    <row r="463" spans="14:15">
      <c r="N463" s="455"/>
      <c r="O463" s="455"/>
    </row>
    <row r="464" spans="14:15">
      <c r="N464" s="455"/>
      <c r="O464" s="455"/>
    </row>
    <row r="465" spans="14:15">
      <c r="N465" s="455"/>
      <c r="O465" s="455"/>
    </row>
    <row r="466" spans="14:15">
      <c r="N466" s="455"/>
      <c r="O466" s="455"/>
    </row>
    <row r="467" spans="14:15">
      <c r="N467" s="455"/>
      <c r="O467" s="455"/>
    </row>
    <row r="468" spans="14:15">
      <c r="N468" s="455"/>
      <c r="O468" s="455"/>
    </row>
    <row r="469" spans="14:15">
      <c r="N469" s="455"/>
      <c r="O469" s="455"/>
    </row>
    <row r="470" spans="14:15">
      <c r="N470" s="455"/>
      <c r="O470" s="455"/>
    </row>
    <row r="471" spans="14:15">
      <c r="N471" s="455"/>
      <c r="O471" s="455"/>
    </row>
    <row r="472" spans="14:15">
      <c r="N472" s="455"/>
      <c r="O472" s="455"/>
    </row>
    <row r="473" spans="14:15">
      <c r="N473" s="455"/>
      <c r="O473" s="455"/>
    </row>
    <row r="474" spans="14:15">
      <c r="N474" s="455"/>
      <c r="O474" s="455"/>
    </row>
    <row r="475" spans="14:15">
      <c r="N475" s="455"/>
      <c r="O475" s="455"/>
    </row>
    <row r="476" spans="14:15">
      <c r="N476" s="455"/>
      <c r="O476" s="455"/>
    </row>
    <row r="477" spans="14:15">
      <c r="N477" s="455"/>
      <c r="O477" s="455"/>
    </row>
    <row r="478" spans="14:15">
      <c r="N478" s="455"/>
      <c r="O478" s="455"/>
    </row>
    <row r="479" spans="14:15">
      <c r="N479" s="455"/>
      <c r="O479" s="455"/>
    </row>
    <row r="480" spans="14:15">
      <c r="N480" s="455"/>
      <c r="O480" s="455"/>
    </row>
    <row r="481" spans="14:15">
      <c r="N481" s="455"/>
      <c r="O481" s="455"/>
    </row>
    <row r="482" spans="14:15">
      <c r="N482" s="455"/>
      <c r="O482" s="455"/>
    </row>
    <row r="483" spans="14:15">
      <c r="N483" s="455"/>
      <c r="O483" s="455"/>
    </row>
    <row r="484" spans="14:15">
      <c r="N484" s="455"/>
      <c r="O484" s="455"/>
    </row>
    <row r="485" spans="14:15">
      <c r="N485" s="455"/>
      <c r="O485" s="455"/>
    </row>
    <row r="486" spans="14:15">
      <c r="N486" s="455"/>
      <c r="O486" s="455"/>
    </row>
    <row r="487" spans="14:15">
      <c r="N487" s="455"/>
      <c r="O487" s="455"/>
    </row>
    <row r="488" spans="14:15">
      <c r="N488" s="455"/>
      <c r="O488" s="455"/>
    </row>
    <row r="489" spans="14:15">
      <c r="N489" s="455"/>
      <c r="O489" s="455"/>
    </row>
    <row r="490" spans="14:15">
      <c r="N490" s="455"/>
      <c r="O490" s="455"/>
    </row>
    <row r="491" spans="14:15">
      <c r="N491" s="455"/>
      <c r="O491" s="455"/>
    </row>
    <row r="492" spans="14:15">
      <c r="N492" s="455"/>
      <c r="O492" s="455"/>
    </row>
    <row r="493" spans="14:15">
      <c r="N493" s="455"/>
      <c r="O493" s="455"/>
    </row>
    <row r="494" spans="14:15">
      <c r="N494" s="455"/>
      <c r="O494" s="455"/>
    </row>
    <row r="495" spans="14:15">
      <c r="N495" s="455"/>
      <c r="O495" s="455"/>
    </row>
    <row r="496" spans="14:15">
      <c r="N496" s="455"/>
      <c r="O496" s="455"/>
    </row>
    <row r="497" spans="14:15">
      <c r="N497" s="455"/>
      <c r="O497" s="455"/>
    </row>
    <row r="498" spans="14:15">
      <c r="N498" s="455"/>
      <c r="O498" s="455"/>
    </row>
    <row r="499" spans="14:15">
      <c r="N499" s="455"/>
      <c r="O499" s="455"/>
    </row>
    <row r="500" spans="14:15">
      <c r="N500" s="455"/>
      <c r="O500" s="455"/>
    </row>
    <row r="501" spans="14:15">
      <c r="N501" s="455"/>
      <c r="O501" s="455"/>
    </row>
    <row r="502" spans="14:15">
      <c r="N502" s="455"/>
      <c r="O502" s="455"/>
    </row>
    <row r="503" spans="14:15">
      <c r="N503" s="455"/>
      <c r="O503" s="455"/>
    </row>
    <row r="504" spans="14:15">
      <c r="N504" s="455"/>
      <c r="O504" s="455"/>
    </row>
    <row r="505" spans="14:15">
      <c r="N505" s="455"/>
      <c r="O505" s="455"/>
    </row>
    <row r="506" spans="14:15">
      <c r="N506" s="455"/>
      <c r="O506" s="455"/>
    </row>
    <row r="507" spans="14:15">
      <c r="N507" s="455"/>
      <c r="O507" s="455"/>
    </row>
    <row r="508" spans="14:15">
      <c r="N508" s="455"/>
      <c r="O508" s="455"/>
    </row>
    <row r="509" spans="14:15">
      <c r="N509" s="455"/>
      <c r="O509" s="455"/>
    </row>
    <row r="510" spans="14:15">
      <c r="N510" s="455"/>
      <c r="O510" s="455"/>
    </row>
    <row r="511" spans="14:15">
      <c r="N511" s="455"/>
      <c r="O511" s="455"/>
    </row>
    <row r="512" spans="14:15">
      <c r="N512" s="455"/>
      <c r="O512" s="455"/>
    </row>
    <row r="513" spans="14:15">
      <c r="N513" s="455"/>
      <c r="O513" s="455"/>
    </row>
    <row r="514" spans="14:15">
      <c r="N514" s="455"/>
      <c r="O514" s="455"/>
    </row>
    <row r="515" spans="14:15">
      <c r="N515" s="455"/>
      <c r="O515" s="455"/>
    </row>
    <row r="516" spans="14:15">
      <c r="N516" s="455"/>
      <c r="O516" s="455"/>
    </row>
    <row r="517" spans="14:15">
      <c r="N517" s="455"/>
      <c r="O517" s="455"/>
    </row>
    <row r="518" spans="14:15">
      <c r="N518" s="455"/>
      <c r="O518" s="455"/>
    </row>
    <row r="519" spans="14:15">
      <c r="N519" s="455"/>
      <c r="O519" s="455"/>
    </row>
    <row r="520" spans="14:15">
      <c r="N520" s="455"/>
      <c r="O520" s="455"/>
    </row>
    <row r="521" spans="14:15">
      <c r="N521" s="455"/>
      <c r="O521" s="455"/>
    </row>
    <row r="522" spans="14:15">
      <c r="N522" s="455"/>
      <c r="O522" s="455"/>
    </row>
    <row r="523" spans="14:15">
      <c r="N523" s="455"/>
      <c r="O523" s="455"/>
    </row>
    <row r="524" spans="14:15">
      <c r="N524" s="455"/>
      <c r="O524" s="455"/>
    </row>
    <row r="525" spans="14:15">
      <c r="N525" s="455"/>
      <c r="O525" s="455"/>
    </row>
    <row r="526" spans="14:15">
      <c r="N526" s="455"/>
      <c r="O526" s="455"/>
    </row>
    <row r="527" spans="14:15">
      <c r="N527" s="455"/>
      <c r="O527" s="455"/>
    </row>
    <row r="528" spans="14:15">
      <c r="N528" s="455"/>
      <c r="O528" s="455"/>
    </row>
    <row r="529" spans="14:15">
      <c r="N529" s="455"/>
      <c r="O529" s="455"/>
    </row>
    <row r="530" spans="14:15">
      <c r="N530" s="455"/>
      <c r="O530" s="455"/>
    </row>
    <row r="531" spans="14:15">
      <c r="N531" s="455"/>
      <c r="O531" s="455"/>
    </row>
    <row r="532" spans="14:15">
      <c r="N532" s="455"/>
      <c r="O532" s="455"/>
    </row>
    <row r="533" spans="14:15">
      <c r="N533" s="455"/>
      <c r="O533" s="455"/>
    </row>
    <row r="534" spans="14:15">
      <c r="N534" s="455"/>
      <c r="O534" s="455"/>
    </row>
    <row r="535" spans="14:15">
      <c r="N535" s="455"/>
      <c r="O535" s="455"/>
    </row>
    <row r="536" spans="14:15">
      <c r="N536" s="455"/>
      <c r="O536" s="455"/>
    </row>
    <row r="537" spans="14:15">
      <c r="N537" s="455"/>
      <c r="O537" s="455"/>
    </row>
    <row r="538" spans="14:15">
      <c r="N538" s="455"/>
      <c r="O538" s="455"/>
    </row>
    <row r="539" spans="14:15">
      <c r="N539" s="455"/>
      <c r="O539" s="455"/>
    </row>
    <row r="540" spans="14:15">
      <c r="N540" s="455"/>
      <c r="O540" s="455"/>
    </row>
    <row r="541" spans="14:15">
      <c r="N541" s="455"/>
      <c r="O541" s="455"/>
    </row>
    <row r="542" spans="14:15">
      <c r="N542" s="455"/>
      <c r="O542" s="455"/>
    </row>
    <row r="543" spans="14:15">
      <c r="N543" s="455"/>
      <c r="O543" s="455"/>
    </row>
    <row r="544" spans="14:15">
      <c r="N544" s="455"/>
      <c r="O544" s="455"/>
    </row>
    <row r="545" spans="14:15">
      <c r="N545" s="455"/>
      <c r="O545" s="455"/>
    </row>
    <row r="546" spans="14:15">
      <c r="N546" s="455"/>
      <c r="O546" s="455"/>
    </row>
    <row r="547" spans="14:15">
      <c r="N547" s="455"/>
      <c r="O547" s="455"/>
    </row>
    <row r="548" spans="14:15">
      <c r="N548" s="455"/>
      <c r="O548" s="455"/>
    </row>
    <row r="549" spans="14:15">
      <c r="N549" s="455"/>
      <c r="O549" s="455"/>
    </row>
    <row r="550" spans="14:15">
      <c r="N550" s="455"/>
      <c r="O550" s="455"/>
    </row>
    <row r="551" spans="14:15">
      <c r="N551" s="455"/>
      <c r="O551" s="455"/>
    </row>
    <row r="552" spans="14:15">
      <c r="N552" s="455"/>
      <c r="O552" s="455"/>
    </row>
    <row r="553" spans="14:15">
      <c r="N553" s="455"/>
      <c r="O553" s="455"/>
    </row>
    <row r="554" spans="14:15">
      <c r="N554" s="455"/>
      <c r="O554" s="455"/>
    </row>
    <row r="555" spans="14:15">
      <c r="N555" s="455"/>
      <c r="O555" s="455"/>
    </row>
    <row r="556" spans="14:15">
      <c r="N556" s="455"/>
      <c r="O556" s="455"/>
    </row>
    <row r="557" spans="14:15">
      <c r="N557" s="455"/>
      <c r="O557" s="455"/>
    </row>
    <row r="558" spans="14:15">
      <c r="N558" s="455"/>
      <c r="O558" s="455"/>
    </row>
    <row r="559" spans="14:15">
      <c r="N559" s="455"/>
      <c r="O559" s="455"/>
    </row>
    <row r="560" spans="14:15">
      <c r="N560" s="455"/>
      <c r="O560" s="455"/>
    </row>
    <row r="561" spans="14:15">
      <c r="N561" s="455"/>
      <c r="O561" s="455"/>
    </row>
    <row r="562" spans="14:15">
      <c r="N562" s="455"/>
      <c r="O562" s="455"/>
    </row>
    <row r="563" spans="14:15">
      <c r="N563" s="455"/>
      <c r="O563" s="455"/>
    </row>
    <row r="564" spans="14:15">
      <c r="N564" s="455"/>
      <c r="O564" s="455"/>
    </row>
    <row r="565" spans="14:15">
      <c r="N565" s="455"/>
      <c r="O565" s="455"/>
    </row>
    <row r="566" spans="14:15">
      <c r="N566" s="455"/>
      <c r="O566" s="455"/>
    </row>
    <row r="567" spans="14:15">
      <c r="N567" s="455"/>
      <c r="O567" s="455"/>
    </row>
    <row r="568" spans="14:15">
      <c r="N568" s="455"/>
      <c r="O568" s="455"/>
    </row>
    <row r="569" spans="14:15">
      <c r="N569" s="455"/>
      <c r="O569" s="455"/>
    </row>
    <row r="570" spans="14:15">
      <c r="N570" s="455"/>
      <c r="O570" s="455"/>
    </row>
    <row r="571" spans="14:15">
      <c r="N571" s="455"/>
      <c r="O571" s="455"/>
    </row>
    <row r="572" spans="14:15">
      <c r="N572" s="455"/>
      <c r="O572" s="455"/>
    </row>
    <row r="573" spans="14:15">
      <c r="N573" s="455"/>
      <c r="O573" s="455"/>
    </row>
    <row r="574" spans="14:15">
      <c r="N574" s="455"/>
      <c r="O574" s="455"/>
    </row>
    <row r="575" spans="14:15">
      <c r="N575" s="455"/>
      <c r="O575" s="455"/>
    </row>
    <row r="576" spans="14:15">
      <c r="N576" s="455"/>
      <c r="O576" s="455"/>
    </row>
    <row r="577" spans="14:15">
      <c r="N577" s="455"/>
      <c r="O577" s="455"/>
    </row>
    <row r="578" spans="14:15">
      <c r="N578" s="455"/>
      <c r="O578" s="455"/>
    </row>
    <row r="579" spans="14:15">
      <c r="N579" s="455"/>
      <c r="O579" s="455"/>
    </row>
    <row r="580" spans="14:15">
      <c r="N580" s="455"/>
      <c r="O580" s="455"/>
    </row>
    <row r="581" spans="14:15">
      <c r="N581" s="455"/>
      <c r="O581" s="455"/>
    </row>
    <row r="582" spans="14:15">
      <c r="N582" s="455"/>
      <c r="O582" s="455"/>
    </row>
    <row r="583" spans="14:15">
      <c r="N583" s="455"/>
      <c r="O583" s="455"/>
    </row>
    <row r="584" spans="14:15">
      <c r="N584" s="455"/>
      <c r="O584" s="455"/>
    </row>
    <row r="585" spans="14:15">
      <c r="N585" s="455"/>
      <c r="O585" s="455"/>
    </row>
    <row r="586" spans="14:15">
      <c r="N586" s="455"/>
      <c r="O586" s="455"/>
    </row>
    <row r="587" spans="14:15">
      <c r="N587" s="455"/>
      <c r="O587" s="455"/>
    </row>
    <row r="588" spans="14:15">
      <c r="N588" s="455"/>
      <c r="O588" s="455"/>
    </row>
    <row r="589" spans="14:15">
      <c r="N589" s="455"/>
      <c r="O589" s="455"/>
    </row>
    <row r="590" spans="14:15">
      <c r="N590" s="455"/>
      <c r="O590" s="455"/>
    </row>
    <row r="591" spans="14:15">
      <c r="N591" s="455"/>
      <c r="O591" s="455"/>
    </row>
    <row r="592" spans="14:15">
      <c r="N592" s="455"/>
      <c r="O592" s="455"/>
    </row>
    <row r="593" spans="14:15">
      <c r="N593" s="455"/>
      <c r="O593" s="455"/>
    </row>
    <row r="594" spans="14:15">
      <c r="N594" s="455"/>
      <c r="O594" s="455"/>
    </row>
    <row r="595" spans="14:15">
      <c r="N595" s="455"/>
      <c r="O595" s="455"/>
    </row>
    <row r="596" spans="14:15">
      <c r="N596" s="455"/>
      <c r="O596" s="455"/>
    </row>
    <row r="597" spans="14:15">
      <c r="N597" s="455"/>
      <c r="O597" s="455"/>
    </row>
    <row r="598" spans="14:15">
      <c r="N598" s="455"/>
      <c r="O598" s="455"/>
    </row>
    <row r="599" spans="14:15">
      <c r="N599" s="455"/>
      <c r="O599" s="455"/>
    </row>
    <row r="600" spans="14:15">
      <c r="N600" s="455"/>
      <c r="O600" s="455"/>
    </row>
    <row r="601" spans="14:15">
      <c r="N601" s="455"/>
      <c r="O601" s="455"/>
    </row>
    <row r="602" spans="14:15">
      <c r="N602" s="455"/>
      <c r="O602" s="455"/>
    </row>
    <row r="603" spans="14:15">
      <c r="N603" s="455"/>
      <c r="O603" s="455"/>
    </row>
    <row r="604" spans="14:15">
      <c r="N604" s="455"/>
      <c r="O604" s="455"/>
    </row>
    <row r="605" spans="14:15">
      <c r="N605" s="455"/>
      <c r="O605" s="455"/>
    </row>
    <row r="606" spans="14:15">
      <c r="N606" s="455"/>
      <c r="O606" s="455"/>
    </row>
    <row r="607" spans="14:15">
      <c r="N607" s="455"/>
      <c r="O607" s="455"/>
    </row>
    <row r="608" spans="14:15">
      <c r="N608" s="455"/>
      <c r="O608" s="455"/>
    </row>
    <row r="609" spans="14:15">
      <c r="N609" s="455"/>
      <c r="O609" s="455"/>
    </row>
    <row r="610" spans="14:15">
      <c r="N610" s="455"/>
      <c r="O610" s="455"/>
    </row>
    <row r="611" spans="14:15">
      <c r="N611" s="455"/>
      <c r="O611" s="455"/>
    </row>
    <row r="612" spans="14:15">
      <c r="N612" s="455"/>
      <c r="O612" s="455"/>
    </row>
    <row r="613" spans="14:15">
      <c r="N613" s="455"/>
      <c r="O613" s="455"/>
    </row>
    <row r="614" spans="14:15">
      <c r="N614" s="455"/>
      <c r="O614" s="455"/>
    </row>
    <row r="615" spans="14:15">
      <c r="N615" s="455"/>
      <c r="O615" s="455"/>
    </row>
    <row r="616" spans="14:15">
      <c r="N616" s="455"/>
      <c r="O616" s="455"/>
    </row>
    <row r="617" spans="14:15">
      <c r="N617" s="455"/>
      <c r="O617" s="455"/>
    </row>
    <row r="618" spans="14:15">
      <c r="N618" s="455"/>
      <c r="O618" s="455"/>
    </row>
    <row r="619" spans="14:15">
      <c r="N619" s="455"/>
      <c r="O619" s="455"/>
    </row>
    <row r="620" spans="14:15">
      <c r="N620" s="455"/>
      <c r="O620" s="455"/>
    </row>
    <row r="621" spans="14:15">
      <c r="N621" s="455"/>
      <c r="O621" s="455"/>
    </row>
    <row r="622" spans="14:15">
      <c r="N622" s="455"/>
      <c r="O622" s="455"/>
    </row>
    <row r="623" spans="14:15">
      <c r="N623" s="455"/>
      <c r="O623" s="455"/>
    </row>
    <row r="624" spans="14:15">
      <c r="N624" s="455"/>
      <c r="O624" s="455"/>
    </row>
    <row r="625" spans="14:15">
      <c r="N625" s="455"/>
      <c r="O625" s="455"/>
    </row>
    <row r="626" spans="14:15">
      <c r="N626" s="455"/>
      <c r="O626" s="455"/>
    </row>
    <row r="627" spans="14:15">
      <c r="N627" s="455"/>
      <c r="O627" s="455"/>
    </row>
    <row r="628" spans="14:15">
      <c r="N628" s="455"/>
      <c r="O628" s="455"/>
    </row>
    <row r="629" spans="14:15">
      <c r="N629" s="455"/>
      <c r="O629" s="455"/>
    </row>
    <row r="630" spans="14:15">
      <c r="N630" s="455"/>
      <c r="O630" s="455"/>
    </row>
    <row r="631" spans="14:15">
      <c r="N631" s="455"/>
      <c r="O631" s="455"/>
    </row>
    <row r="632" spans="14:15">
      <c r="N632" s="455"/>
      <c r="O632" s="455"/>
    </row>
    <row r="633" spans="14:15">
      <c r="N633" s="455"/>
      <c r="O633" s="455"/>
    </row>
    <row r="634" spans="14:15">
      <c r="N634" s="455"/>
      <c r="O634" s="455"/>
    </row>
    <row r="635" spans="14:15">
      <c r="N635" s="455"/>
      <c r="O635" s="455"/>
    </row>
    <row r="636" spans="14:15">
      <c r="N636" s="455"/>
      <c r="O636" s="455"/>
    </row>
    <row r="637" spans="14:15">
      <c r="N637" s="455"/>
      <c r="O637" s="455"/>
    </row>
    <row r="638" spans="14:15">
      <c r="N638" s="455"/>
      <c r="O638" s="455"/>
    </row>
    <row r="639" spans="14:15">
      <c r="N639" s="455"/>
      <c r="O639" s="455"/>
    </row>
    <row r="640" spans="14:15">
      <c r="N640" s="455"/>
      <c r="O640" s="455"/>
    </row>
    <row r="641" spans="14:15">
      <c r="N641" s="455"/>
      <c r="O641" s="455"/>
    </row>
    <row r="642" spans="14:15">
      <c r="N642" s="455"/>
      <c r="O642" s="455"/>
    </row>
    <row r="643" spans="14:15">
      <c r="N643" s="455"/>
      <c r="O643" s="455"/>
    </row>
    <row r="644" spans="14:15">
      <c r="N644" s="455"/>
      <c r="O644" s="455"/>
    </row>
    <row r="645" spans="14:15">
      <c r="N645" s="455"/>
      <c r="O645" s="455"/>
    </row>
    <row r="646" spans="14:15">
      <c r="N646" s="455"/>
      <c r="O646" s="455"/>
    </row>
    <row r="647" spans="14:15">
      <c r="N647" s="455"/>
      <c r="O647" s="455"/>
    </row>
    <row r="648" spans="14:15">
      <c r="N648" s="455"/>
      <c r="O648" s="455"/>
    </row>
    <row r="649" spans="14:15">
      <c r="N649" s="455"/>
      <c r="O649" s="455"/>
    </row>
    <row r="650" spans="14:15">
      <c r="N650" s="455"/>
      <c r="O650" s="455"/>
    </row>
    <row r="651" spans="14:15">
      <c r="N651" s="455"/>
      <c r="O651" s="455"/>
    </row>
    <row r="652" spans="14:15">
      <c r="N652" s="455"/>
      <c r="O652" s="455"/>
    </row>
    <row r="653" spans="14:15">
      <c r="N653" s="455"/>
      <c r="O653" s="455"/>
    </row>
    <row r="654" spans="14:15">
      <c r="N654" s="455"/>
      <c r="O654" s="455"/>
    </row>
    <row r="655" spans="14:15">
      <c r="N655" s="455"/>
      <c r="O655" s="455"/>
    </row>
    <row r="656" spans="14:15">
      <c r="N656" s="455"/>
      <c r="O656" s="455"/>
    </row>
    <row r="657" spans="14:15">
      <c r="N657" s="455"/>
      <c r="O657" s="455"/>
    </row>
    <row r="658" spans="14:15">
      <c r="N658" s="455"/>
      <c r="O658" s="455"/>
    </row>
    <row r="659" spans="14:15">
      <c r="N659" s="455"/>
      <c r="O659" s="455"/>
    </row>
    <row r="660" spans="14:15">
      <c r="N660" s="455"/>
      <c r="O660" s="455"/>
    </row>
    <row r="661" spans="14:15">
      <c r="N661" s="455"/>
      <c r="O661" s="455"/>
    </row>
    <row r="662" spans="14:15">
      <c r="N662" s="455"/>
      <c r="O662" s="455"/>
    </row>
    <row r="663" spans="14:15">
      <c r="N663" s="455"/>
      <c r="O663" s="455"/>
    </row>
    <row r="664" spans="14:15">
      <c r="N664" s="455"/>
      <c r="O664" s="455"/>
    </row>
    <row r="665" spans="14:15">
      <c r="N665" s="455"/>
      <c r="O665" s="455"/>
    </row>
    <row r="666" spans="14:15">
      <c r="N666" s="455"/>
      <c r="O666" s="455"/>
    </row>
    <row r="667" spans="14:15">
      <c r="N667" s="455"/>
      <c r="O667" s="455"/>
    </row>
    <row r="668" spans="14:15">
      <c r="N668" s="455"/>
      <c r="O668" s="455"/>
    </row>
    <row r="669" spans="14:15">
      <c r="N669" s="455"/>
      <c r="O669" s="455"/>
    </row>
    <row r="670" spans="14:15">
      <c r="N670" s="455"/>
      <c r="O670" s="455"/>
    </row>
    <row r="671" spans="14:15">
      <c r="N671" s="455"/>
      <c r="O671" s="455"/>
    </row>
    <row r="672" spans="14:15">
      <c r="N672" s="455"/>
      <c r="O672" s="455"/>
    </row>
    <row r="673" spans="14:15">
      <c r="N673" s="455"/>
      <c r="O673" s="455"/>
    </row>
    <row r="674" spans="14:15">
      <c r="N674" s="455"/>
      <c r="O674" s="455"/>
    </row>
    <row r="675" spans="14:15">
      <c r="N675" s="455"/>
      <c r="O675" s="455"/>
    </row>
    <row r="676" spans="14:15">
      <c r="N676" s="455"/>
      <c r="O676" s="455"/>
    </row>
    <row r="677" spans="14:15">
      <c r="N677" s="455"/>
      <c r="O677" s="455"/>
    </row>
    <row r="678" spans="14:15">
      <c r="N678" s="455"/>
      <c r="O678" s="455"/>
    </row>
    <row r="679" spans="14:15">
      <c r="N679" s="455"/>
      <c r="O679" s="455"/>
    </row>
    <row r="680" spans="14:15">
      <c r="N680" s="455"/>
      <c r="O680" s="455"/>
    </row>
    <row r="681" spans="14:15">
      <c r="N681" s="455"/>
      <c r="O681" s="455"/>
    </row>
    <row r="682" spans="14:15">
      <c r="N682" s="455"/>
      <c r="O682" s="455"/>
    </row>
    <row r="683" spans="14:15">
      <c r="N683" s="455"/>
      <c r="O683" s="455"/>
    </row>
    <row r="684" spans="14:15">
      <c r="N684" s="455"/>
      <c r="O684" s="455"/>
    </row>
    <row r="685" spans="14:15">
      <c r="N685" s="455"/>
      <c r="O685" s="455"/>
    </row>
    <row r="686" spans="14:15">
      <c r="N686" s="455"/>
      <c r="O686" s="455"/>
    </row>
    <row r="687" spans="14:15">
      <c r="N687" s="455"/>
      <c r="O687" s="455"/>
    </row>
    <row r="688" spans="14:15">
      <c r="N688" s="455"/>
      <c r="O688" s="455"/>
    </row>
    <row r="689" spans="14:15">
      <c r="N689" s="455"/>
      <c r="O689" s="455"/>
    </row>
    <row r="690" spans="14:15">
      <c r="N690" s="455"/>
      <c r="O690" s="455"/>
    </row>
    <row r="691" spans="14:15">
      <c r="N691" s="455"/>
      <c r="O691" s="455"/>
    </row>
    <row r="692" spans="14:15">
      <c r="N692" s="455"/>
      <c r="O692" s="455"/>
    </row>
    <row r="693" spans="14:15">
      <c r="N693" s="455"/>
      <c r="O693" s="455"/>
    </row>
    <row r="694" spans="14:15">
      <c r="N694" s="455"/>
      <c r="O694" s="455"/>
    </row>
    <row r="695" spans="14:15">
      <c r="N695" s="455"/>
      <c r="O695" s="455"/>
    </row>
    <row r="696" spans="14:15">
      <c r="N696" s="455"/>
      <c r="O696" s="455"/>
    </row>
    <row r="697" spans="14:15">
      <c r="N697" s="455"/>
      <c r="O697" s="455"/>
    </row>
    <row r="698" spans="14:15">
      <c r="N698" s="455"/>
      <c r="O698" s="455"/>
    </row>
    <row r="699" spans="14:15">
      <c r="N699" s="455"/>
      <c r="O699" s="455"/>
    </row>
    <row r="700" spans="14:15">
      <c r="N700" s="455"/>
      <c r="O700" s="455"/>
    </row>
    <row r="701" spans="14:15">
      <c r="N701" s="455"/>
      <c r="O701" s="455"/>
    </row>
    <row r="702" spans="14:15">
      <c r="N702" s="455"/>
      <c r="O702" s="455"/>
    </row>
    <row r="703" spans="14:15">
      <c r="N703" s="455"/>
      <c r="O703" s="455"/>
    </row>
    <row r="704" spans="14:15">
      <c r="N704" s="455"/>
      <c r="O704" s="455"/>
    </row>
    <row r="705" spans="14:15">
      <c r="N705" s="455"/>
      <c r="O705" s="455"/>
    </row>
    <row r="706" spans="14:15">
      <c r="N706" s="455"/>
      <c r="O706" s="455"/>
    </row>
    <row r="707" spans="14:15">
      <c r="N707" s="455"/>
      <c r="O707" s="455"/>
    </row>
    <row r="708" spans="14:15">
      <c r="N708" s="455"/>
      <c r="O708" s="455"/>
    </row>
    <row r="709" spans="14:15">
      <c r="N709" s="455"/>
      <c r="O709" s="455"/>
    </row>
    <row r="710" spans="14:15">
      <c r="N710" s="455"/>
      <c r="O710" s="455"/>
    </row>
    <row r="711" spans="14:15">
      <c r="N711" s="455"/>
      <c r="O711" s="455"/>
    </row>
    <row r="712" spans="14:15">
      <c r="N712" s="455"/>
      <c r="O712" s="455"/>
    </row>
    <row r="713" spans="14:15">
      <c r="N713" s="455"/>
      <c r="O713" s="455"/>
    </row>
    <row r="714" spans="14:15">
      <c r="N714" s="455"/>
      <c r="O714" s="455"/>
    </row>
    <row r="715" spans="14:15">
      <c r="N715" s="455"/>
      <c r="O715" s="455"/>
    </row>
    <row r="716" spans="14:15">
      <c r="N716" s="455"/>
      <c r="O716" s="455"/>
    </row>
    <row r="717" spans="14:15">
      <c r="N717" s="455"/>
      <c r="O717" s="455"/>
    </row>
    <row r="718" spans="14:15">
      <c r="N718" s="455"/>
      <c r="O718" s="455"/>
    </row>
    <row r="719" spans="14:15">
      <c r="N719" s="455"/>
      <c r="O719" s="455"/>
    </row>
    <row r="720" spans="14:15">
      <c r="N720" s="455"/>
      <c r="O720" s="455"/>
    </row>
    <row r="721" spans="14:15">
      <c r="N721" s="455"/>
      <c r="O721" s="455"/>
    </row>
    <row r="722" spans="14:15">
      <c r="N722" s="455"/>
      <c r="O722" s="455"/>
    </row>
    <row r="723" spans="14:15">
      <c r="N723" s="455"/>
      <c r="O723" s="455"/>
    </row>
    <row r="724" spans="14:15">
      <c r="N724" s="455"/>
      <c r="O724" s="455"/>
    </row>
    <row r="725" spans="14:15">
      <c r="N725" s="455"/>
      <c r="O725" s="455"/>
    </row>
    <row r="726" spans="14:15">
      <c r="N726" s="455"/>
      <c r="O726" s="455"/>
    </row>
    <row r="727" spans="14:15">
      <c r="N727" s="455"/>
      <c r="O727" s="455"/>
    </row>
    <row r="728" spans="14:15">
      <c r="N728" s="455"/>
      <c r="O728" s="455"/>
    </row>
    <row r="729" spans="14:15">
      <c r="N729" s="455"/>
      <c r="O729" s="455"/>
    </row>
    <row r="730" spans="14:15">
      <c r="N730" s="455"/>
      <c r="O730" s="455"/>
    </row>
    <row r="731" spans="14:15">
      <c r="N731" s="455"/>
      <c r="O731" s="455"/>
    </row>
    <row r="732" spans="14:15">
      <c r="N732" s="455"/>
      <c r="O732" s="455"/>
    </row>
    <row r="733" spans="14:15">
      <c r="N733" s="455"/>
      <c r="O733" s="455"/>
    </row>
    <row r="734" spans="14:15">
      <c r="N734" s="455"/>
      <c r="O734" s="455"/>
    </row>
    <row r="735" spans="14:15">
      <c r="N735" s="455"/>
      <c r="O735" s="455"/>
    </row>
    <row r="736" spans="14:15">
      <c r="N736" s="455"/>
      <c r="O736" s="455"/>
    </row>
    <row r="737" spans="14:15">
      <c r="N737" s="455"/>
      <c r="O737" s="455"/>
    </row>
    <row r="738" spans="14:15">
      <c r="N738" s="455"/>
      <c r="O738" s="455"/>
    </row>
    <row r="739" spans="14:15">
      <c r="N739" s="455"/>
      <c r="O739" s="455"/>
    </row>
    <row r="740" spans="14:15">
      <c r="N740" s="455"/>
      <c r="O740" s="455"/>
    </row>
    <row r="741" spans="14:15">
      <c r="N741" s="455"/>
      <c r="O741" s="455"/>
    </row>
    <row r="742" spans="14:15">
      <c r="N742" s="455"/>
      <c r="O742" s="455"/>
    </row>
    <row r="743" spans="14:15">
      <c r="N743" s="455"/>
      <c r="O743" s="455"/>
    </row>
    <row r="744" spans="14:15">
      <c r="N744" s="455"/>
      <c r="O744" s="455"/>
    </row>
    <row r="745" spans="14:15">
      <c r="N745" s="455"/>
      <c r="O745" s="455"/>
    </row>
    <row r="746" spans="14:15">
      <c r="N746" s="455"/>
      <c r="O746" s="455"/>
    </row>
    <row r="747" spans="14:15">
      <c r="N747" s="455"/>
      <c r="O747" s="455"/>
    </row>
    <row r="748" spans="14:15">
      <c r="N748" s="455"/>
      <c r="O748" s="455"/>
    </row>
    <row r="749" spans="14:15">
      <c r="N749" s="455"/>
      <c r="O749" s="455"/>
    </row>
    <row r="750" spans="14:15">
      <c r="N750" s="455"/>
      <c r="O750" s="455"/>
    </row>
    <row r="751" spans="14:15">
      <c r="N751" s="455"/>
      <c r="O751" s="455"/>
    </row>
    <row r="752" spans="14:15">
      <c r="N752" s="455"/>
      <c r="O752" s="455"/>
    </row>
    <row r="753" spans="14:15">
      <c r="N753" s="455"/>
      <c r="O753" s="455"/>
    </row>
    <row r="754" spans="14:15">
      <c r="N754" s="455"/>
      <c r="O754" s="455"/>
    </row>
    <row r="755" spans="14:15">
      <c r="N755" s="455"/>
      <c r="O755" s="455"/>
    </row>
    <row r="756" spans="14:15">
      <c r="N756" s="455"/>
      <c r="O756" s="455"/>
    </row>
    <row r="757" spans="14:15">
      <c r="N757" s="455"/>
      <c r="O757" s="455"/>
    </row>
    <row r="758" spans="14:15">
      <c r="N758" s="455"/>
      <c r="O758" s="455"/>
    </row>
    <row r="759" spans="14:15">
      <c r="N759" s="455"/>
      <c r="O759" s="455"/>
    </row>
    <row r="760" spans="14:15">
      <c r="N760" s="455"/>
      <c r="O760" s="455"/>
    </row>
    <row r="761" spans="14:15">
      <c r="N761" s="455"/>
      <c r="O761" s="455"/>
    </row>
    <row r="762" spans="14:15">
      <c r="N762" s="455"/>
      <c r="O762" s="455"/>
    </row>
    <row r="763" spans="14:15">
      <c r="N763" s="455"/>
      <c r="O763" s="455"/>
    </row>
    <row r="764" spans="14:15">
      <c r="N764" s="455"/>
      <c r="O764" s="455"/>
    </row>
    <row r="765" spans="14:15">
      <c r="N765" s="455"/>
      <c r="O765" s="455"/>
    </row>
    <row r="766" spans="14:15">
      <c r="N766" s="455"/>
      <c r="O766" s="455"/>
    </row>
    <row r="767" spans="14:15">
      <c r="N767" s="455"/>
      <c r="O767" s="455"/>
    </row>
    <row r="768" spans="14:15">
      <c r="N768" s="455"/>
      <c r="O768" s="455"/>
    </row>
    <row r="769" spans="14:15">
      <c r="N769" s="455"/>
      <c r="O769" s="455"/>
    </row>
    <row r="770" spans="14:15">
      <c r="N770" s="455"/>
      <c r="O770" s="455"/>
    </row>
    <row r="771" spans="14:15">
      <c r="N771" s="455"/>
      <c r="O771" s="455"/>
    </row>
    <row r="772" spans="14:15">
      <c r="N772" s="455"/>
      <c r="O772" s="455"/>
    </row>
    <row r="773" spans="14:15">
      <c r="N773" s="455"/>
      <c r="O773" s="455"/>
    </row>
    <row r="774" spans="14:15">
      <c r="N774" s="455"/>
      <c r="O774" s="455"/>
    </row>
    <row r="775" spans="14:15">
      <c r="N775" s="455"/>
      <c r="O775" s="455"/>
    </row>
    <row r="776" spans="14:15">
      <c r="N776" s="455"/>
      <c r="O776" s="455"/>
    </row>
    <row r="777" spans="14:15">
      <c r="N777" s="455"/>
      <c r="O777" s="455"/>
    </row>
    <row r="778" spans="14:15">
      <c r="N778" s="455"/>
      <c r="O778" s="455"/>
    </row>
    <row r="779" spans="14:15">
      <c r="N779" s="455"/>
      <c r="O779" s="455"/>
    </row>
    <row r="780" spans="14:15">
      <c r="N780" s="455"/>
      <c r="O780" s="455"/>
    </row>
    <row r="781" spans="14:15">
      <c r="N781" s="455"/>
      <c r="O781" s="455"/>
    </row>
    <row r="782" spans="14:15">
      <c r="N782" s="455"/>
      <c r="O782" s="455"/>
    </row>
    <row r="783" spans="14:15">
      <c r="N783" s="455"/>
      <c r="O783" s="455"/>
    </row>
    <row r="784" spans="14:15">
      <c r="N784" s="455"/>
      <c r="O784" s="455"/>
    </row>
    <row r="785" spans="14:15">
      <c r="N785" s="455"/>
      <c r="O785" s="455"/>
    </row>
    <row r="786" spans="14:15">
      <c r="N786" s="455"/>
      <c r="O786" s="455"/>
    </row>
    <row r="787" spans="14:15">
      <c r="N787" s="455"/>
      <c r="O787" s="455"/>
    </row>
    <row r="788" spans="14:15">
      <c r="N788" s="455"/>
      <c r="O788" s="455"/>
    </row>
    <row r="789" spans="14:15">
      <c r="N789" s="455"/>
      <c r="O789" s="455"/>
    </row>
    <row r="790" spans="14:15">
      <c r="N790" s="455"/>
      <c r="O790" s="455"/>
    </row>
    <row r="791" spans="14:15">
      <c r="N791" s="455"/>
      <c r="O791" s="455"/>
    </row>
    <row r="792" spans="14:15">
      <c r="N792" s="455"/>
      <c r="O792" s="455"/>
    </row>
    <row r="793" spans="14:15">
      <c r="N793" s="455"/>
      <c r="O793" s="455"/>
    </row>
    <row r="794" spans="14:15">
      <c r="N794" s="455"/>
      <c r="O794" s="455"/>
    </row>
    <row r="795" spans="14:15">
      <c r="N795" s="455"/>
      <c r="O795" s="455"/>
    </row>
    <row r="796" spans="14:15">
      <c r="N796" s="455"/>
      <c r="O796" s="455"/>
    </row>
    <row r="797" spans="14:15">
      <c r="N797" s="455"/>
      <c r="O797" s="455"/>
    </row>
    <row r="798" spans="14:15">
      <c r="N798" s="455"/>
      <c r="O798" s="455"/>
    </row>
    <row r="799" spans="14:15">
      <c r="N799" s="455"/>
      <c r="O799" s="455"/>
    </row>
    <row r="800" spans="14:15">
      <c r="N800" s="455"/>
      <c r="O800" s="455"/>
    </row>
    <row r="801" spans="14:15">
      <c r="N801" s="455"/>
      <c r="O801" s="455"/>
    </row>
    <row r="802" spans="14:15">
      <c r="N802" s="455"/>
      <c r="O802" s="455"/>
    </row>
    <row r="803" spans="14:15">
      <c r="N803" s="455"/>
      <c r="O803" s="455"/>
    </row>
    <row r="804" spans="14:15">
      <c r="N804" s="455"/>
      <c r="O804" s="455"/>
    </row>
    <row r="805" spans="14:15">
      <c r="N805" s="455"/>
      <c r="O805" s="455"/>
    </row>
    <row r="806" spans="14:15">
      <c r="N806" s="455"/>
      <c r="O806" s="455"/>
    </row>
    <row r="807" spans="14:15">
      <c r="N807" s="455"/>
      <c r="O807" s="455"/>
    </row>
    <row r="808" spans="14:15">
      <c r="N808" s="455"/>
      <c r="O808" s="455"/>
    </row>
    <row r="809" spans="14:15">
      <c r="N809" s="455"/>
      <c r="O809" s="455"/>
    </row>
    <row r="810" spans="14:15">
      <c r="N810" s="455"/>
      <c r="O810" s="455"/>
    </row>
    <row r="811" spans="14:15">
      <c r="N811" s="455"/>
      <c r="O811" s="455"/>
    </row>
    <row r="812" spans="14:15">
      <c r="N812" s="455"/>
      <c r="O812" s="455"/>
    </row>
    <row r="813" spans="14:15">
      <c r="N813" s="455"/>
      <c r="O813" s="455"/>
    </row>
    <row r="814" spans="14:15">
      <c r="N814" s="455"/>
      <c r="O814" s="455"/>
    </row>
    <row r="815" spans="14:15">
      <c r="N815" s="455"/>
      <c r="O815" s="455"/>
    </row>
    <row r="816" spans="14:15">
      <c r="N816" s="455"/>
      <c r="O816" s="455"/>
    </row>
    <row r="817" spans="14:15">
      <c r="N817" s="455"/>
      <c r="O817" s="455"/>
    </row>
    <row r="818" spans="14:15">
      <c r="N818" s="455"/>
      <c r="O818" s="455"/>
    </row>
    <row r="819" spans="14:15">
      <c r="N819" s="455"/>
      <c r="O819" s="455"/>
    </row>
    <row r="820" spans="14:15">
      <c r="N820" s="455"/>
      <c r="O820" s="455"/>
    </row>
    <row r="821" spans="14:15">
      <c r="N821" s="455"/>
      <c r="O821" s="455"/>
    </row>
    <row r="822" spans="14:15">
      <c r="N822" s="455"/>
      <c r="O822" s="455"/>
    </row>
    <row r="823" spans="14:15">
      <c r="N823" s="455"/>
      <c r="O823" s="455"/>
    </row>
    <row r="824" spans="14:15">
      <c r="N824" s="455"/>
      <c r="O824" s="455"/>
    </row>
    <row r="825" spans="14:15">
      <c r="N825" s="455"/>
      <c r="O825" s="455"/>
    </row>
    <row r="826" spans="14:15">
      <c r="N826" s="455"/>
      <c r="O826" s="455"/>
    </row>
    <row r="827" spans="14:15">
      <c r="N827" s="455"/>
      <c r="O827" s="455"/>
    </row>
    <row r="828" spans="14:15">
      <c r="N828" s="455"/>
      <c r="O828" s="455"/>
    </row>
    <row r="829" spans="14:15">
      <c r="N829" s="455"/>
      <c r="O829" s="455"/>
    </row>
    <row r="830" spans="14:15">
      <c r="N830" s="455"/>
      <c r="O830" s="455"/>
    </row>
    <row r="831" spans="14:15">
      <c r="N831" s="455"/>
      <c r="O831" s="455"/>
    </row>
    <row r="832" spans="14:15">
      <c r="N832" s="455"/>
      <c r="O832" s="455"/>
    </row>
    <row r="833" spans="14:15">
      <c r="N833" s="455"/>
      <c r="O833" s="455"/>
    </row>
    <row r="834" spans="14:15">
      <c r="N834" s="455"/>
      <c r="O834" s="455"/>
    </row>
    <row r="835" spans="14:15">
      <c r="N835" s="455"/>
      <c r="O835" s="455"/>
    </row>
    <row r="836" spans="14:15">
      <c r="N836" s="455"/>
      <c r="O836" s="455"/>
    </row>
    <row r="837" spans="14:15">
      <c r="N837" s="455"/>
      <c r="O837" s="455"/>
    </row>
    <row r="838" spans="14:15">
      <c r="N838" s="455"/>
      <c r="O838" s="455"/>
    </row>
    <row r="839" spans="14:15">
      <c r="N839" s="455"/>
      <c r="O839" s="455"/>
    </row>
    <row r="840" spans="14:15">
      <c r="N840" s="455"/>
      <c r="O840" s="455"/>
    </row>
    <row r="841" spans="14:15">
      <c r="N841" s="455"/>
      <c r="O841" s="455"/>
    </row>
    <row r="842" spans="14:15">
      <c r="N842" s="455"/>
      <c r="O842" s="455"/>
    </row>
    <row r="843" spans="14:15">
      <c r="N843" s="455"/>
      <c r="O843" s="455"/>
    </row>
    <row r="844" spans="14:15">
      <c r="N844" s="455"/>
      <c r="O844" s="455"/>
    </row>
    <row r="845" spans="14:15">
      <c r="N845" s="455"/>
      <c r="O845" s="455"/>
    </row>
    <row r="846" spans="14:15">
      <c r="N846" s="455"/>
      <c r="O846" s="455"/>
    </row>
    <row r="847" spans="14:15">
      <c r="N847" s="455"/>
      <c r="O847" s="455"/>
    </row>
    <row r="848" spans="14:15">
      <c r="N848" s="455"/>
      <c r="O848" s="455"/>
    </row>
    <row r="849" spans="14:15">
      <c r="N849" s="455"/>
      <c r="O849" s="455"/>
    </row>
    <row r="850" spans="14:15">
      <c r="N850" s="455"/>
      <c r="O850" s="455"/>
    </row>
    <row r="851" spans="14:15">
      <c r="N851" s="455"/>
      <c r="O851" s="455"/>
    </row>
    <row r="852" spans="14:15">
      <c r="N852" s="455"/>
      <c r="O852" s="455"/>
    </row>
    <row r="853" spans="14:15">
      <c r="N853" s="455"/>
      <c r="O853" s="455"/>
    </row>
    <row r="854" spans="14:15">
      <c r="N854" s="455"/>
      <c r="O854" s="455"/>
    </row>
    <row r="855" spans="14:15">
      <c r="N855" s="455"/>
      <c r="O855" s="455"/>
    </row>
    <row r="856" spans="14:15">
      <c r="N856" s="455"/>
      <c r="O856" s="455"/>
    </row>
    <row r="857" spans="14:15">
      <c r="N857" s="455"/>
      <c r="O857" s="455"/>
    </row>
    <row r="858" spans="14:15">
      <c r="N858" s="455"/>
      <c r="O858" s="455"/>
    </row>
    <row r="859" spans="14:15">
      <c r="N859" s="455"/>
      <c r="O859" s="455"/>
    </row>
    <row r="860" spans="14:15">
      <c r="N860" s="455"/>
      <c r="O860" s="455"/>
    </row>
    <row r="861" spans="14:15">
      <c r="N861" s="455"/>
      <c r="O861" s="455"/>
    </row>
    <row r="862" spans="14:15">
      <c r="N862" s="455"/>
      <c r="O862" s="455"/>
    </row>
    <row r="863" spans="14:15">
      <c r="N863" s="455"/>
      <c r="O863" s="455"/>
    </row>
    <row r="864" spans="14:15">
      <c r="N864" s="455"/>
      <c r="O864" s="455"/>
    </row>
    <row r="865" spans="14:15">
      <c r="N865" s="455"/>
      <c r="O865" s="455"/>
    </row>
    <row r="866" spans="14:15">
      <c r="N866" s="455"/>
      <c r="O866" s="455"/>
    </row>
    <row r="867" spans="14:15">
      <c r="N867" s="455"/>
      <c r="O867" s="455"/>
    </row>
    <row r="868" spans="14:15">
      <c r="N868" s="455"/>
      <c r="O868" s="455"/>
    </row>
    <row r="869" spans="14:15">
      <c r="N869" s="455"/>
      <c r="O869" s="455"/>
    </row>
    <row r="870" spans="14:15">
      <c r="N870" s="455"/>
      <c r="O870" s="455"/>
    </row>
    <row r="871" spans="14:15">
      <c r="N871" s="455"/>
      <c r="O871" s="455"/>
    </row>
    <row r="872" spans="14:15">
      <c r="N872" s="455"/>
      <c r="O872" s="455"/>
    </row>
    <row r="873" spans="14:15">
      <c r="N873" s="455"/>
      <c r="O873" s="455"/>
    </row>
    <row r="874" spans="14:15">
      <c r="N874" s="455"/>
      <c r="O874" s="455"/>
    </row>
    <row r="875" spans="14:15">
      <c r="N875" s="455"/>
      <c r="O875" s="455"/>
    </row>
    <row r="876" spans="14:15">
      <c r="N876" s="455"/>
      <c r="O876" s="455"/>
    </row>
    <row r="877" spans="14:15">
      <c r="N877" s="455"/>
      <c r="O877" s="455"/>
    </row>
    <row r="878" spans="14:15">
      <c r="N878" s="455"/>
      <c r="O878" s="455"/>
    </row>
    <row r="879" spans="14:15">
      <c r="N879" s="455"/>
      <c r="O879" s="455"/>
    </row>
    <row r="880" spans="14:15">
      <c r="N880" s="455"/>
      <c r="O880" s="455"/>
    </row>
    <row r="881" spans="14:15">
      <c r="N881" s="455"/>
      <c r="O881" s="455"/>
    </row>
    <row r="882" spans="14:15">
      <c r="N882" s="455"/>
      <c r="O882" s="455"/>
    </row>
    <row r="883" spans="14:15">
      <c r="N883" s="455"/>
      <c r="O883" s="455"/>
    </row>
    <row r="884" spans="14:15">
      <c r="N884" s="455"/>
      <c r="O884" s="455"/>
    </row>
    <row r="885" spans="14:15">
      <c r="N885" s="455"/>
      <c r="O885" s="455"/>
    </row>
    <row r="886" spans="14:15">
      <c r="N886" s="455"/>
      <c r="O886" s="455"/>
    </row>
    <row r="887" spans="14:15">
      <c r="N887" s="455"/>
      <c r="O887" s="455"/>
    </row>
    <row r="888" spans="14:15">
      <c r="N888" s="455"/>
      <c r="O888" s="455"/>
    </row>
    <row r="889" spans="14:15">
      <c r="N889" s="455"/>
      <c r="O889" s="455"/>
    </row>
    <row r="890" spans="14:15">
      <c r="N890" s="455"/>
      <c r="O890" s="455"/>
    </row>
    <row r="891" spans="14:15">
      <c r="N891" s="455"/>
      <c r="O891" s="455"/>
    </row>
    <row r="892" spans="14:15">
      <c r="N892" s="455"/>
      <c r="O892" s="455"/>
    </row>
    <row r="893" spans="14:15">
      <c r="N893" s="455"/>
      <c r="O893" s="455"/>
    </row>
    <row r="894" spans="14:15">
      <c r="N894" s="455"/>
      <c r="O894" s="455"/>
    </row>
    <row r="895" spans="14:15">
      <c r="N895" s="455"/>
      <c r="O895" s="455"/>
    </row>
    <row r="896" spans="14:15">
      <c r="N896" s="455"/>
      <c r="O896" s="455"/>
    </row>
    <row r="897" spans="14:15">
      <c r="N897" s="455"/>
      <c r="O897" s="455"/>
    </row>
    <row r="898" spans="14:15">
      <c r="N898" s="455"/>
      <c r="O898" s="455"/>
    </row>
    <row r="899" spans="14:15">
      <c r="N899" s="455"/>
      <c r="O899" s="455"/>
    </row>
    <row r="900" spans="14:15">
      <c r="N900" s="455"/>
      <c r="O900" s="455"/>
    </row>
    <row r="901" spans="14:15">
      <c r="N901" s="455"/>
      <c r="O901" s="455"/>
    </row>
    <row r="902" spans="14:15">
      <c r="N902" s="455"/>
      <c r="O902" s="455"/>
    </row>
    <row r="903" spans="14:15">
      <c r="N903" s="455"/>
      <c r="O903" s="455"/>
    </row>
    <row r="904" spans="14:15">
      <c r="N904" s="455"/>
      <c r="O904" s="455"/>
    </row>
    <row r="905" spans="14:15">
      <c r="N905" s="455"/>
      <c r="O905" s="455"/>
    </row>
    <row r="906" spans="14:15">
      <c r="N906" s="455"/>
      <c r="O906" s="455"/>
    </row>
    <row r="907" spans="14:15">
      <c r="N907" s="455"/>
      <c r="O907" s="455"/>
    </row>
    <row r="908" spans="14:15">
      <c r="N908" s="455"/>
      <c r="O908" s="455"/>
    </row>
    <row r="909" spans="14:15">
      <c r="N909" s="455"/>
      <c r="O909" s="455"/>
    </row>
    <row r="910" spans="14:15">
      <c r="N910" s="455"/>
      <c r="O910" s="455"/>
    </row>
    <row r="911" spans="14:15">
      <c r="N911" s="455"/>
      <c r="O911" s="455"/>
    </row>
    <row r="912" spans="14:15">
      <c r="N912" s="455"/>
      <c r="O912" s="455"/>
    </row>
    <row r="913" spans="14:15">
      <c r="N913" s="455"/>
      <c r="O913" s="455"/>
    </row>
    <row r="914" spans="14:15">
      <c r="N914" s="455"/>
      <c r="O914" s="455"/>
    </row>
    <row r="915" spans="14:15">
      <c r="N915" s="455"/>
      <c r="O915" s="455"/>
    </row>
    <row r="916" spans="14:15">
      <c r="N916" s="455"/>
      <c r="O916" s="455"/>
    </row>
    <row r="917" spans="14:15">
      <c r="N917" s="455"/>
      <c r="O917" s="455"/>
    </row>
    <row r="918" spans="14:15">
      <c r="N918" s="455"/>
      <c r="O918" s="455"/>
    </row>
    <row r="919" spans="14:15">
      <c r="N919" s="455"/>
      <c r="O919" s="455"/>
    </row>
    <row r="920" spans="14:15">
      <c r="N920" s="455"/>
      <c r="O920" s="455"/>
    </row>
    <row r="921" spans="14:15">
      <c r="N921" s="455"/>
      <c r="O921" s="455"/>
    </row>
    <row r="922" spans="14:15">
      <c r="N922" s="455"/>
      <c r="O922" s="455"/>
    </row>
    <row r="923" spans="14:15">
      <c r="N923" s="455"/>
      <c r="O923" s="455"/>
    </row>
    <row r="924" spans="14:15">
      <c r="N924" s="455"/>
      <c r="O924" s="455"/>
    </row>
    <row r="925" spans="14:15">
      <c r="N925" s="455"/>
      <c r="O925" s="455"/>
    </row>
    <row r="926" spans="14:15">
      <c r="N926" s="455"/>
      <c r="O926" s="455"/>
    </row>
    <row r="927" spans="14:15">
      <c r="N927" s="455"/>
      <c r="O927" s="455"/>
    </row>
    <row r="928" spans="14:15">
      <c r="N928" s="455"/>
      <c r="O928" s="455"/>
    </row>
    <row r="929" spans="14:15">
      <c r="N929" s="455"/>
      <c r="O929" s="455"/>
    </row>
    <row r="930" spans="14:15">
      <c r="N930" s="455"/>
      <c r="O930" s="455"/>
    </row>
    <row r="931" spans="14:15">
      <c r="N931" s="455"/>
      <c r="O931" s="455"/>
    </row>
    <row r="932" spans="14:15">
      <c r="N932" s="455"/>
      <c r="O932" s="455"/>
    </row>
    <row r="933" spans="14:15">
      <c r="N933" s="455"/>
      <c r="O933" s="455"/>
    </row>
    <row r="934" spans="14:15">
      <c r="N934" s="455"/>
      <c r="O934" s="455"/>
    </row>
    <row r="935" spans="14:15">
      <c r="N935" s="455"/>
      <c r="O935" s="455"/>
    </row>
    <row r="936" spans="14:15">
      <c r="N936" s="455"/>
      <c r="O936" s="455"/>
    </row>
    <row r="937" spans="14:15">
      <c r="N937" s="455"/>
      <c r="O937" s="455"/>
    </row>
    <row r="938" spans="14:15">
      <c r="N938" s="455"/>
      <c r="O938" s="455"/>
    </row>
    <row r="939" spans="14:15">
      <c r="N939" s="455"/>
      <c r="O939" s="455"/>
    </row>
    <row r="940" spans="14:15">
      <c r="N940" s="455"/>
      <c r="O940" s="455"/>
    </row>
    <row r="941" spans="14:15">
      <c r="N941" s="455"/>
      <c r="O941" s="455"/>
    </row>
    <row r="942" spans="14:15">
      <c r="N942" s="455"/>
      <c r="O942" s="455"/>
    </row>
    <row r="943" spans="14:15">
      <c r="N943" s="455"/>
      <c r="O943" s="455"/>
    </row>
    <row r="944" spans="14:15">
      <c r="N944" s="455"/>
      <c r="O944" s="455"/>
    </row>
    <row r="945" spans="14:15">
      <c r="N945" s="455"/>
      <c r="O945" s="455"/>
    </row>
    <row r="946" spans="14:15">
      <c r="N946" s="455"/>
      <c r="O946" s="455"/>
    </row>
    <row r="947" spans="14:15">
      <c r="N947" s="455"/>
      <c r="O947" s="455"/>
    </row>
    <row r="948" spans="14:15">
      <c r="N948" s="455"/>
      <c r="O948" s="455"/>
    </row>
    <row r="949" spans="14:15">
      <c r="N949" s="455"/>
      <c r="O949" s="455"/>
    </row>
    <row r="950" spans="14:15">
      <c r="N950" s="455"/>
      <c r="O950" s="455"/>
    </row>
    <row r="951" spans="14:15">
      <c r="N951" s="455"/>
      <c r="O951" s="455"/>
    </row>
    <row r="952" spans="14:15">
      <c r="N952" s="455"/>
      <c r="O952" s="455"/>
    </row>
    <row r="953" spans="14:15">
      <c r="N953" s="455"/>
      <c r="O953" s="455"/>
    </row>
    <row r="954" spans="14:15">
      <c r="N954" s="455"/>
      <c r="O954" s="455"/>
    </row>
    <row r="955" spans="14:15">
      <c r="N955" s="455"/>
      <c r="O955" s="455"/>
    </row>
    <row r="956" spans="14:15">
      <c r="N956" s="455"/>
      <c r="O956" s="455"/>
    </row>
    <row r="957" spans="14:15">
      <c r="N957" s="455"/>
      <c r="O957" s="455"/>
    </row>
    <row r="958" spans="14:15">
      <c r="N958" s="455"/>
      <c r="O958" s="455"/>
    </row>
    <row r="959" spans="14:15">
      <c r="N959" s="455"/>
      <c r="O959" s="455"/>
    </row>
    <row r="960" spans="14:15">
      <c r="N960" s="455"/>
      <c r="O960" s="455"/>
    </row>
    <row r="961" spans="14:15">
      <c r="N961" s="455"/>
      <c r="O961" s="455"/>
    </row>
    <row r="962" spans="14:15">
      <c r="N962" s="455"/>
      <c r="O962" s="455"/>
    </row>
    <row r="963" spans="14:15">
      <c r="N963" s="455"/>
      <c r="O963" s="455"/>
    </row>
    <row r="964" spans="14:15">
      <c r="N964" s="455"/>
      <c r="O964" s="455"/>
    </row>
    <row r="965" spans="14:15">
      <c r="N965" s="455"/>
      <c r="O965" s="455"/>
    </row>
    <row r="966" spans="14:15">
      <c r="N966" s="455"/>
      <c r="O966" s="455"/>
    </row>
    <row r="967" spans="14:15">
      <c r="N967" s="455"/>
      <c r="O967" s="455"/>
    </row>
    <row r="968" spans="14:15">
      <c r="N968" s="455"/>
      <c r="O968" s="455"/>
    </row>
    <row r="969" spans="14:15">
      <c r="N969" s="455"/>
      <c r="O969" s="455"/>
    </row>
    <row r="970" spans="14:15">
      <c r="N970" s="455"/>
      <c r="O970" s="455"/>
    </row>
    <row r="971" spans="14:15">
      <c r="N971" s="455"/>
      <c r="O971" s="455"/>
    </row>
    <row r="972" spans="14:15">
      <c r="N972" s="455"/>
      <c r="O972" s="455"/>
    </row>
    <row r="973" spans="14:15">
      <c r="N973" s="455"/>
      <c r="O973" s="455"/>
    </row>
    <row r="974" spans="14:15">
      <c r="N974" s="455"/>
      <c r="O974" s="455"/>
    </row>
    <row r="975" spans="14:15">
      <c r="N975" s="455"/>
      <c r="O975" s="455"/>
    </row>
    <row r="976" spans="14:15">
      <c r="N976" s="455"/>
      <c r="O976" s="455"/>
    </row>
    <row r="977" spans="14:15">
      <c r="N977" s="455"/>
      <c r="O977" s="455"/>
    </row>
    <row r="978" spans="14:15">
      <c r="N978" s="455"/>
      <c r="O978" s="455"/>
    </row>
    <row r="979" spans="14:15">
      <c r="N979" s="455"/>
      <c r="O979" s="455"/>
    </row>
    <row r="980" spans="14:15">
      <c r="N980" s="455"/>
      <c r="O980" s="455"/>
    </row>
    <row r="981" spans="14:15">
      <c r="N981" s="455"/>
      <c r="O981" s="455"/>
    </row>
    <row r="982" spans="14:15">
      <c r="N982" s="455"/>
      <c r="O982" s="455"/>
    </row>
    <row r="983" spans="14:15">
      <c r="N983" s="455"/>
      <c r="O983" s="455"/>
    </row>
    <row r="984" spans="14:15">
      <c r="N984" s="455"/>
      <c r="O984" s="455"/>
    </row>
    <row r="985" spans="14:15">
      <c r="N985" s="455"/>
      <c r="O985" s="455"/>
    </row>
    <row r="986" spans="14:15">
      <c r="N986" s="455"/>
      <c r="O986" s="455"/>
    </row>
    <row r="987" spans="14:15">
      <c r="N987" s="455"/>
      <c r="O987" s="455"/>
    </row>
    <row r="988" spans="14:15">
      <c r="N988" s="455"/>
      <c r="O988" s="455"/>
    </row>
    <row r="989" spans="14:15">
      <c r="N989" s="455"/>
      <c r="O989" s="455"/>
    </row>
    <row r="990" spans="14:15">
      <c r="N990" s="455"/>
      <c r="O990" s="455"/>
    </row>
    <row r="991" spans="14:15">
      <c r="N991" s="455"/>
      <c r="O991" s="455"/>
    </row>
    <row r="992" spans="14:15">
      <c r="N992" s="455"/>
      <c r="O992" s="455"/>
    </row>
    <row r="993" spans="14:15">
      <c r="N993" s="455"/>
      <c r="O993" s="455"/>
    </row>
    <row r="994" spans="14:15">
      <c r="N994" s="455"/>
      <c r="O994" s="455"/>
    </row>
    <row r="995" spans="14:15">
      <c r="N995" s="455"/>
      <c r="O995" s="455"/>
    </row>
    <row r="996" spans="14:15">
      <c r="N996" s="455"/>
      <c r="O996" s="455"/>
    </row>
    <row r="997" spans="14:15">
      <c r="N997" s="455"/>
      <c r="O997" s="455"/>
    </row>
    <row r="998" spans="14:15">
      <c r="N998" s="455"/>
      <c r="O998" s="455"/>
    </row>
    <row r="999" spans="14:15">
      <c r="N999" s="455"/>
      <c r="O999" s="455"/>
    </row>
    <row r="1000" spans="14:15">
      <c r="N1000" s="455"/>
      <c r="O1000" s="455"/>
    </row>
    <row r="1001" spans="14:15">
      <c r="N1001" s="455"/>
      <c r="O1001" s="455"/>
    </row>
    <row r="1002" spans="14:15">
      <c r="N1002" s="455"/>
      <c r="O1002" s="455"/>
    </row>
    <row r="1003" spans="14:15">
      <c r="N1003" s="455"/>
      <c r="O1003" s="455"/>
    </row>
    <row r="1004" spans="14:15">
      <c r="N1004" s="455"/>
      <c r="O1004" s="455"/>
    </row>
    <row r="1005" spans="14:15">
      <c r="N1005" s="455"/>
      <c r="O1005" s="455"/>
    </row>
    <row r="1006" spans="14:15">
      <c r="N1006" s="455"/>
      <c r="O1006" s="455"/>
    </row>
    <row r="1007" spans="14:15">
      <c r="N1007" s="455"/>
      <c r="O1007" s="455"/>
    </row>
    <row r="1008" spans="14:15">
      <c r="N1008" s="455"/>
      <c r="O1008" s="455"/>
    </row>
    <row r="1009" spans="14:15">
      <c r="N1009" s="455"/>
      <c r="O1009" s="455"/>
    </row>
    <row r="1010" spans="14:15">
      <c r="N1010" s="455"/>
      <c r="O1010" s="455"/>
    </row>
    <row r="1011" spans="14:15">
      <c r="N1011" s="455"/>
      <c r="O1011" s="455"/>
    </row>
    <row r="1012" spans="14:15">
      <c r="N1012" s="455"/>
      <c r="O1012" s="455"/>
    </row>
    <row r="1013" spans="14:15">
      <c r="N1013" s="455"/>
      <c r="O1013" s="455"/>
    </row>
    <row r="1014" spans="14:15">
      <c r="N1014" s="455"/>
      <c r="O1014" s="455"/>
    </row>
    <row r="1015" spans="14:15">
      <c r="N1015" s="455"/>
      <c r="O1015" s="455"/>
    </row>
    <row r="1016" spans="14:15">
      <c r="N1016" s="455"/>
      <c r="O1016" s="455"/>
    </row>
    <row r="1017" spans="14:15">
      <c r="N1017" s="455"/>
      <c r="O1017" s="455"/>
    </row>
    <row r="1018" spans="14:15">
      <c r="N1018" s="455"/>
      <c r="O1018" s="455"/>
    </row>
    <row r="1019" spans="14:15">
      <c r="N1019" s="455"/>
      <c r="O1019" s="455"/>
    </row>
    <row r="1020" spans="14:15">
      <c r="N1020" s="455"/>
      <c r="O1020" s="455"/>
    </row>
    <row r="1021" spans="14:15">
      <c r="N1021" s="455"/>
      <c r="O1021" s="455"/>
    </row>
    <row r="1022" spans="14:15">
      <c r="N1022" s="455"/>
      <c r="O1022" s="455"/>
    </row>
    <row r="1023" spans="14:15">
      <c r="N1023" s="455"/>
      <c r="O1023" s="455"/>
    </row>
    <row r="1024" spans="14:15">
      <c r="N1024" s="455"/>
      <c r="O1024" s="455"/>
    </row>
    <row r="1025" spans="14:15">
      <c r="N1025" s="455"/>
      <c r="O1025" s="455"/>
    </row>
    <row r="1026" spans="14:15">
      <c r="N1026" s="455"/>
      <c r="O1026" s="455"/>
    </row>
    <row r="1027" spans="14:15">
      <c r="N1027" s="455"/>
      <c r="O1027" s="455"/>
    </row>
    <row r="1028" spans="14:15">
      <c r="N1028" s="455"/>
      <c r="O1028" s="455"/>
    </row>
    <row r="1029" spans="14:15">
      <c r="N1029" s="455"/>
      <c r="O1029" s="455"/>
    </row>
    <row r="1030" spans="14:15">
      <c r="N1030" s="455"/>
      <c r="O1030" s="455"/>
    </row>
    <row r="1031" spans="14:15">
      <c r="N1031" s="455"/>
      <c r="O1031" s="455"/>
    </row>
    <row r="1032" spans="14:15">
      <c r="N1032" s="455"/>
      <c r="O1032" s="455"/>
    </row>
    <row r="1033" spans="14:15">
      <c r="N1033" s="455"/>
      <c r="O1033" s="455"/>
    </row>
    <row r="1034" spans="14:15">
      <c r="N1034" s="455"/>
      <c r="O1034" s="455"/>
    </row>
    <row r="1035" spans="14:15">
      <c r="N1035" s="455"/>
      <c r="O1035" s="455"/>
    </row>
    <row r="1036" spans="14:15">
      <c r="N1036" s="455"/>
      <c r="O1036" s="455"/>
    </row>
    <row r="1037" spans="14:15">
      <c r="N1037" s="455"/>
      <c r="O1037" s="455"/>
    </row>
    <row r="1038" spans="14:15">
      <c r="N1038" s="455"/>
      <c r="O1038" s="455"/>
    </row>
    <row r="1039" spans="14:15">
      <c r="N1039" s="455"/>
      <c r="O1039" s="455"/>
    </row>
    <row r="1040" spans="14:15">
      <c r="N1040" s="455"/>
      <c r="O1040" s="455"/>
    </row>
    <row r="1041" spans="14:15">
      <c r="N1041" s="455"/>
      <c r="O1041" s="455"/>
    </row>
    <row r="1042" spans="14:15">
      <c r="N1042" s="455"/>
      <c r="O1042" s="455"/>
    </row>
    <row r="1043" spans="14:15">
      <c r="N1043" s="455"/>
      <c r="O1043" s="455"/>
    </row>
    <row r="1044" spans="14:15">
      <c r="N1044" s="455"/>
      <c r="O1044" s="455"/>
    </row>
    <row r="1045" spans="14:15">
      <c r="N1045" s="455"/>
      <c r="O1045" s="455"/>
    </row>
    <row r="1046" spans="14:15">
      <c r="N1046" s="455"/>
      <c r="O1046" s="455"/>
    </row>
    <row r="1047" spans="14:15">
      <c r="N1047" s="455"/>
      <c r="O1047" s="455"/>
    </row>
    <row r="1048" spans="14:15">
      <c r="N1048" s="455"/>
      <c r="O1048" s="455"/>
    </row>
    <row r="1049" spans="14:15">
      <c r="N1049" s="455"/>
      <c r="O1049" s="455"/>
    </row>
    <row r="1050" spans="14:15">
      <c r="N1050" s="455"/>
      <c r="O1050" s="455"/>
    </row>
    <row r="1051" spans="14:15">
      <c r="N1051" s="455"/>
      <c r="O1051" s="455"/>
    </row>
    <row r="1052" spans="14:15">
      <c r="N1052" s="455"/>
      <c r="O1052" s="455"/>
    </row>
    <row r="1053" spans="14:15">
      <c r="N1053" s="455"/>
      <c r="O1053" s="455"/>
    </row>
    <row r="1054" spans="14:15">
      <c r="N1054" s="455"/>
      <c r="O1054" s="455"/>
    </row>
    <row r="1055" spans="14:15">
      <c r="N1055" s="455"/>
      <c r="O1055" s="455"/>
    </row>
    <row r="1056" spans="14:15">
      <c r="N1056" s="455"/>
      <c r="O1056" s="455"/>
    </row>
    <row r="1057" spans="14:15">
      <c r="N1057" s="455"/>
      <c r="O1057" s="455"/>
    </row>
    <row r="1058" spans="14:15">
      <c r="N1058" s="455"/>
      <c r="O1058" s="455"/>
    </row>
    <row r="1059" spans="14:15">
      <c r="N1059" s="455"/>
      <c r="O1059" s="455"/>
    </row>
    <row r="1060" spans="14:15">
      <c r="N1060" s="455"/>
      <c r="O1060" s="455"/>
    </row>
    <row r="1061" spans="14:15">
      <c r="N1061" s="455"/>
      <c r="O1061" s="455"/>
    </row>
    <row r="1062" spans="14:15">
      <c r="N1062" s="455"/>
      <c r="O1062" s="455"/>
    </row>
    <row r="1063" spans="14:15">
      <c r="N1063" s="455"/>
      <c r="O1063" s="455"/>
    </row>
    <row r="1064" spans="14:15">
      <c r="N1064" s="455"/>
      <c r="O1064" s="455"/>
    </row>
    <row r="1065" spans="14:15">
      <c r="N1065" s="455"/>
      <c r="O1065" s="455"/>
    </row>
    <row r="1066" spans="14:15">
      <c r="N1066" s="455"/>
      <c r="O1066" s="455"/>
    </row>
    <row r="1067" spans="14:15">
      <c r="N1067" s="455"/>
      <c r="O1067" s="455"/>
    </row>
    <row r="1068" spans="14:15">
      <c r="N1068" s="455"/>
      <c r="O1068" s="455"/>
    </row>
    <row r="1069" spans="14:15">
      <c r="N1069" s="455"/>
      <c r="O1069" s="455"/>
    </row>
    <row r="1070" spans="14:15">
      <c r="N1070" s="455"/>
      <c r="O1070" s="455"/>
    </row>
    <row r="1071" spans="14:15">
      <c r="N1071" s="455"/>
      <c r="O1071" s="455"/>
    </row>
    <row r="1072" spans="14:15">
      <c r="N1072" s="455"/>
      <c r="O1072" s="455"/>
    </row>
    <row r="1073" spans="14:15">
      <c r="N1073" s="455"/>
      <c r="O1073" s="455"/>
    </row>
    <row r="1074" spans="14:15">
      <c r="N1074" s="455"/>
      <c r="O1074" s="455"/>
    </row>
    <row r="1075" spans="14:15">
      <c r="N1075" s="455"/>
      <c r="O1075" s="455"/>
    </row>
    <row r="1076" spans="14:15">
      <c r="N1076" s="455"/>
      <c r="O1076" s="455"/>
    </row>
    <row r="1077" spans="14:15">
      <c r="N1077" s="455"/>
      <c r="O1077" s="455"/>
    </row>
    <row r="1078" spans="14:15">
      <c r="N1078" s="455"/>
      <c r="O1078" s="455"/>
    </row>
    <row r="1079" spans="14:15">
      <c r="N1079" s="455"/>
      <c r="O1079" s="455"/>
    </row>
    <row r="1080" spans="14:15">
      <c r="N1080" s="455"/>
      <c r="O1080" s="455"/>
    </row>
    <row r="1081" spans="14:15">
      <c r="N1081" s="455"/>
      <c r="O1081" s="455"/>
    </row>
    <row r="1082" spans="14:15">
      <c r="N1082" s="455"/>
      <c r="O1082" s="455"/>
    </row>
    <row r="1083" spans="14:15">
      <c r="N1083" s="455"/>
      <c r="O1083" s="455"/>
    </row>
    <row r="1084" spans="14:15">
      <c r="N1084" s="455"/>
      <c r="O1084" s="455"/>
    </row>
    <row r="1085" spans="14:15">
      <c r="N1085" s="455"/>
      <c r="O1085" s="455"/>
    </row>
    <row r="1086" spans="14:15">
      <c r="N1086" s="455"/>
      <c r="O1086" s="455"/>
    </row>
    <row r="1087" spans="14:15">
      <c r="N1087" s="455"/>
      <c r="O1087" s="455"/>
    </row>
    <row r="1088" spans="14:15">
      <c r="N1088" s="455"/>
      <c r="O1088" s="455"/>
    </row>
    <row r="1089" spans="14:15">
      <c r="N1089" s="455"/>
      <c r="O1089" s="455"/>
    </row>
    <row r="1090" spans="14:15">
      <c r="N1090" s="455"/>
      <c r="O1090" s="455"/>
    </row>
    <row r="1091" spans="14:15">
      <c r="N1091" s="455"/>
      <c r="O1091" s="455"/>
    </row>
    <row r="1092" spans="14:15">
      <c r="N1092" s="455"/>
      <c r="O1092" s="455"/>
    </row>
    <row r="1093" spans="14:15">
      <c r="N1093" s="455"/>
      <c r="O1093" s="455"/>
    </row>
    <row r="1094" spans="14:15">
      <c r="N1094" s="455"/>
      <c r="O1094" s="455"/>
    </row>
    <row r="1095" spans="14:15">
      <c r="N1095" s="455"/>
      <c r="O1095" s="455"/>
    </row>
    <row r="1096" spans="14:15">
      <c r="N1096" s="455"/>
      <c r="O1096" s="455"/>
    </row>
    <row r="1097" spans="14:15">
      <c r="N1097" s="455"/>
      <c r="O1097" s="455"/>
    </row>
    <row r="1098" spans="14:15">
      <c r="N1098" s="455"/>
      <c r="O1098" s="455"/>
    </row>
    <row r="1099" spans="14:15">
      <c r="N1099" s="455"/>
      <c r="O1099" s="455"/>
    </row>
    <row r="1100" spans="14:15">
      <c r="N1100" s="455"/>
      <c r="O1100" s="455"/>
    </row>
    <row r="1101" spans="14:15">
      <c r="N1101" s="455"/>
      <c r="O1101" s="455"/>
    </row>
    <row r="1102" spans="14:15">
      <c r="N1102" s="455"/>
      <c r="O1102" s="455"/>
    </row>
    <row r="1103" spans="14:15">
      <c r="N1103" s="455"/>
      <c r="O1103" s="455"/>
    </row>
    <row r="1104" spans="14:15">
      <c r="N1104" s="455"/>
      <c r="O1104" s="455"/>
    </row>
    <row r="1105" spans="14:15">
      <c r="N1105" s="455"/>
      <c r="O1105" s="455"/>
    </row>
    <row r="1106" spans="14:15">
      <c r="N1106" s="455"/>
      <c r="O1106" s="455"/>
    </row>
    <row r="1107" spans="14:15">
      <c r="N1107" s="455"/>
      <c r="O1107" s="455"/>
    </row>
    <row r="1108" spans="14:15">
      <c r="N1108" s="455"/>
      <c r="O1108" s="455"/>
    </row>
    <row r="1109" spans="14:15">
      <c r="N1109" s="455"/>
      <c r="O1109" s="455"/>
    </row>
    <row r="1110" spans="14:15">
      <c r="N1110" s="455"/>
      <c r="O1110" s="455"/>
    </row>
    <row r="1111" spans="14:15">
      <c r="N1111" s="455"/>
      <c r="O1111" s="455"/>
    </row>
    <row r="1112" spans="14:15">
      <c r="N1112" s="455"/>
      <c r="O1112" s="455"/>
    </row>
    <row r="1113" spans="14:15">
      <c r="N1113" s="455"/>
      <c r="O1113" s="455"/>
    </row>
    <row r="1114" spans="14:15">
      <c r="N1114" s="455"/>
      <c r="O1114" s="455"/>
    </row>
    <row r="1115" spans="14:15">
      <c r="N1115" s="455"/>
      <c r="O1115" s="455"/>
    </row>
    <row r="1116" spans="14:15">
      <c r="N1116" s="455"/>
      <c r="O1116" s="455"/>
    </row>
    <row r="1117" spans="14:15">
      <c r="N1117" s="455"/>
      <c r="O1117" s="455"/>
    </row>
    <row r="1118" spans="14:15">
      <c r="N1118" s="455"/>
      <c r="O1118" s="455"/>
    </row>
    <row r="1119" spans="14:15">
      <c r="N1119" s="455"/>
      <c r="O1119" s="455"/>
    </row>
    <row r="1120" spans="14:15">
      <c r="N1120" s="455"/>
      <c r="O1120" s="455"/>
    </row>
    <row r="1121" spans="14:15">
      <c r="N1121" s="455"/>
      <c r="O1121" s="455"/>
    </row>
    <row r="1122" spans="14:15">
      <c r="N1122" s="455"/>
      <c r="O1122" s="455"/>
    </row>
    <row r="1123" spans="14:15">
      <c r="N1123" s="455"/>
      <c r="O1123" s="455"/>
    </row>
    <row r="1124" spans="14:15">
      <c r="N1124" s="455"/>
      <c r="O1124" s="455"/>
    </row>
    <row r="1125" spans="14:15">
      <c r="N1125" s="455"/>
      <c r="O1125" s="455"/>
    </row>
    <row r="1126" spans="14:15">
      <c r="N1126" s="455"/>
      <c r="O1126" s="455"/>
    </row>
    <row r="1127" spans="14:15">
      <c r="N1127" s="455"/>
      <c r="O1127" s="455"/>
    </row>
    <row r="1128" spans="14:15">
      <c r="N1128" s="455"/>
      <c r="O1128" s="455"/>
    </row>
    <row r="1129" spans="14:15">
      <c r="N1129" s="455"/>
      <c r="O1129" s="455"/>
    </row>
    <row r="1130" spans="14:15">
      <c r="N1130" s="455"/>
      <c r="O1130" s="455"/>
    </row>
    <row r="1131" spans="14:15">
      <c r="N1131" s="455"/>
      <c r="O1131" s="455"/>
    </row>
    <row r="1132" spans="14:15">
      <c r="N1132" s="455"/>
      <c r="O1132" s="455"/>
    </row>
    <row r="1133" spans="14:15">
      <c r="N1133" s="455"/>
      <c r="O1133" s="455"/>
    </row>
    <row r="1134" spans="14:15">
      <c r="N1134" s="455"/>
      <c r="O1134" s="455"/>
    </row>
    <row r="1135" spans="14:15">
      <c r="N1135" s="455"/>
      <c r="O1135" s="455"/>
    </row>
    <row r="1136" spans="14:15">
      <c r="N1136" s="455"/>
      <c r="O1136" s="455"/>
    </row>
    <row r="1137" spans="14:15">
      <c r="N1137" s="455"/>
      <c r="O1137" s="455"/>
    </row>
    <row r="1138" spans="14:15">
      <c r="N1138" s="455"/>
      <c r="O1138" s="455"/>
    </row>
    <row r="1139" spans="14:15">
      <c r="N1139" s="455"/>
      <c r="O1139" s="455"/>
    </row>
    <row r="1140" spans="14:15">
      <c r="N1140" s="455"/>
      <c r="O1140" s="455"/>
    </row>
    <row r="1141" spans="14:15">
      <c r="N1141" s="455"/>
      <c r="O1141" s="455"/>
    </row>
    <row r="1142" spans="14:15">
      <c r="N1142" s="455"/>
      <c r="O1142" s="455"/>
    </row>
    <row r="1143" spans="14:15">
      <c r="N1143" s="455"/>
      <c r="O1143" s="455"/>
    </row>
    <row r="1144" spans="14:15">
      <c r="N1144" s="455"/>
      <c r="O1144" s="455"/>
    </row>
    <row r="1145" spans="14:15">
      <c r="N1145" s="455"/>
      <c r="O1145" s="455"/>
    </row>
    <row r="1146" spans="14:15">
      <c r="N1146" s="455"/>
      <c r="O1146" s="455"/>
    </row>
    <row r="1147" spans="14:15">
      <c r="N1147" s="455"/>
      <c r="O1147" s="455"/>
    </row>
    <row r="1148" spans="14:15">
      <c r="N1148" s="455"/>
      <c r="O1148" s="455"/>
    </row>
    <row r="1149" spans="14:15">
      <c r="N1149" s="455"/>
      <c r="O1149" s="455"/>
    </row>
    <row r="1150" spans="14:15">
      <c r="N1150" s="455"/>
      <c r="O1150" s="455"/>
    </row>
    <row r="1151" spans="14:15">
      <c r="N1151" s="455"/>
      <c r="O1151" s="455"/>
    </row>
    <row r="1152" spans="14:15">
      <c r="N1152" s="455"/>
      <c r="O1152" s="455"/>
    </row>
    <row r="1153" spans="14:15">
      <c r="N1153" s="455"/>
      <c r="O1153" s="455"/>
    </row>
    <row r="1154" spans="14:15">
      <c r="N1154" s="455"/>
      <c r="O1154" s="455"/>
    </row>
    <row r="1155" spans="14:15">
      <c r="N1155" s="455"/>
      <c r="O1155" s="455"/>
    </row>
    <row r="1156" spans="14:15">
      <c r="N1156" s="455"/>
      <c r="O1156" s="455"/>
    </row>
    <row r="1157" spans="14:15">
      <c r="N1157" s="455"/>
      <c r="O1157" s="455"/>
    </row>
    <row r="1158" spans="14:15">
      <c r="N1158" s="455"/>
      <c r="O1158" s="455"/>
    </row>
    <row r="1159" spans="14:15">
      <c r="N1159" s="455"/>
      <c r="O1159" s="455"/>
    </row>
    <row r="1160" spans="14:15">
      <c r="N1160" s="455"/>
      <c r="O1160" s="455"/>
    </row>
    <row r="1161" spans="14:15">
      <c r="N1161" s="455"/>
      <c r="O1161" s="455"/>
    </row>
    <row r="1162" spans="14:15">
      <c r="N1162" s="455"/>
      <c r="O1162" s="455"/>
    </row>
    <row r="1163" spans="14:15">
      <c r="N1163" s="455"/>
      <c r="O1163" s="455"/>
    </row>
    <row r="1164" spans="14:15">
      <c r="N1164" s="455"/>
      <c r="O1164" s="455"/>
    </row>
    <row r="1165" spans="14:15">
      <c r="N1165" s="455"/>
      <c r="O1165" s="455"/>
    </row>
    <row r="1166" spans="14:15">
      <c r="N1166" s="455"/>
      <c r="O1166" s="455"/>
    </row>
    <row r="1167" spans="14:15">
      <c r="N1167" s="455"/>
      <c r="O1167" s="455"/>
    </row>
    <row r="1168" spans="14:15">
      <c r="N1168" s="455"/>
      <c r="O1168" s="455"/>
    </row>
    <row r="1169" spans="14:15">
      <c r="N1169" s="455"/>
      <c r="O1169" s="455"/>
    </row>
    <row r="1170" spans="14:15">
      <c r="N1170" s="455"/>
      <c r="O1170" s="455"/>
    </row>
    <row r="1171" spans="14:15">
      <c r="N1171" s="455"/>
      <c r="O1171" s="455"/>
    </row>
    <row r="1172" spans="14:15">
      <c r="N1172" s="455"/>
      <c r="O1172" s="455"/>
    </row>
    <row r="1173" spans="14:15">
      <c r="N1173" s="455"/>
      <c r="O1173" s="455"/>
    </row>
    <row r="1174" spans="14:15">
      <c r="N1174" s="455"/>
      <c r="O1174" s="455"/>
    </row>
    <row r="1175" spans="14:15">
      <c r="N1175" s="455"/>
      <c r="O1175" s="455"/>
    </row>
    <row r="1176" spans="14:15">
      <c r="N1176" s="455"/>
      <c r="O1176" s="455"/>
    </row>
    <row r="1177" spans="14:15">
      <c r="N1177" s="455"/>
      <c r="O1177" s="455"/>
    </row>
    <row r="1178" spans="14:15">
      <c r="N1178" s="455"/>
      <c r="O1178" s="455"/>
    </row>
    <row r="1179" spans="14:15">
      <c r="N1179" s="455"/>
      <c r="O1179" s="455"/>
    </row>
    <row r="1180" spans="14:15">
      <c r="N1180" s="455"/>
      <c r="O1180" s="455"/>
    </row>
    <row r="1181" spans="14:15">
      <c r="N1181" s="455"/>
      <c r="O1181" s="455"/>
    </row>
    <row r="1182" spans="14:15">
      <c r="N1182" s="455"/>
      <c r="O1182" s="455"/>
    </row>
    <row r="1183" spans="14:15">
      <c r="N1183" s="455"/>
      <c r="O1183" s="455"/>
    </row>
    <row r="1184" spans="14:15">
      <c r="N1184" s="455"/>
      <c r="O1184" s="455"/>
    </row>
    <row r="1185" spans="14:15">
      <c r="N1185" s="455"/>
      <c r="O1185" s="455"/>
    </row>
    <row r="1186" spans="14:15">
      <c r="N1186" s="455"/>
      <c r="O1186" s="455"/>
    </row>
    <row r="1187" spans="14:15">
      <c r="N1187" s="455"/>
      <c r="O1187" s="455"/>
    </row>
    <row r="1188" spans="14:15">
      <c r="N1188" s="455"/>
      <c r="O1188" s="455"/>
    </row>
    <row r="1189" spans="14:15">
      <c r="N1189" s="455"/>
      <c r="O1189" s="455"/>
    </row>
    <row r="1190" spans="14:15">
      <c r="N1190" s="455"/>
      <c r="O1190" s="455"/>
    </row>
    <row r="1191" spans="14:15">
      <c r="N1191" s="455"/>
      <c r="O1191" s="455"/>
    </row>
    <row r="1192" spans="14:15">
      <c r="N1192" s="455"/>
      <c r="O1192" s="455"/>
    </row>
    <row r="1193" spans="14:15">
      <c r="N1193" s="455"/>
      <c r="O1193" s="455"/>
    </row>
    <row r="1194" spans="14:15">
      <c r="N1194" s="455"/>
      <c r="O1194" s="455"/>
    </row>
    <row r="1195" spans="14:15">
      <c r="N1195" s="455"/>
      <c r="O1195" s="455"/>
    </row>
    <row r="1196" spans="14:15">
      <c r="N1196" s="455"/>
      <c r="O1196" s="455"/>
    </row>
    <row r="1197" spans="14:15">
      <c r="N1197" s="455"/>
      <c r="O1197" s="455"/>
    </row>
    <row r="1198" spans="14:15">
      <c r="N1198" s="455"/>
      <c r="O1198" s="455"/>
    </row>
    <row r="1199" spans="14:15">
      <c r="N1199" s="455"/>
      <c r="O1199" s="455"/>
    </row>
    <row r="1200" spans="14:15">
      <c r="N1200" s="455"/>
      <c r="O1200" s="455"/>
    </row>
    <row r="1201" spans="14:15">
      <c r="N1201" s="455"/>
      <c r="O1201" s="455"/>
    </row>
    <row r="1202" spans="14:15">
      <c r="N1202" s="455"/>
      <c r="O1202" s="455"/>
    </row>
    <row r="1203" spans="14:15">
      <c r="N1203" s="455"/>
      <c r="O1203" s="455"/>
    </row>
    <row r="1204" spans="14:15">
      <c r="N1204" s="455"/>
      <c r="O1204" s="455"/>
    </row>
    <row r="1205" spans="14:15">
      <c r="N1205" s="455"/>
      <c r="O1205" s="455"/>
    </row>
    <row r="1206" spans="14:15">
      <c r="N1206" s="455"/>
      <c r="O1206" s="455"/>
    </row>
    <row r="1207" spans="14:15">
      <c r="N1207" s="455"/>
      <c r="O1207" s="455"/>
    </row>
    <row r="1208" spans="14:15">
      <c r="N1208" s="455"/>
      <c r="O1208" s="455"/>
    </row>
    <row r="1209" spans="14:15">
      <c r="N1209" s="455"/>
      <c r="O1209" s="455"/>
    </row>
    <row r="1210" spans="14:15">
      <c r="N1210" s="455"/>
      <c r="O1210" s="455"/>
    </row>
    <row r="1211" spans="14:15">
      <c r="N1211" s="455"/>
      <c r="O1211" s="455"/>
    </row>
    <row r="1212" spans="14:15">
      <c r="N1212" s="455"/>
      <c r="O1212" s="455"/>
    </row>
    <row r="1213" spans="14:15">
      <c r="N1213" s="455"/>
      <c r="O1213" s="455"/>
    </row>
    <row r="1214" spans="14:15">
      <c r="N1214" s="455"/>
      <c r="O1214" s="455"/>
    </row>
    <row r="1215" spans="14:15">
      <c r="N1215" s="455"/>
      <c r="O1215" s="455"/>
    </row>
    <row r="1216" spans="14:15">
      <c r="N1216" s="455"/>
      <c r="O1216" s="455"/>
    </row>
    <row r="1217" spans="14:15">
      <c r="N1217" s="455"/>
      <c r="O1217" s="455"/>
    </row>
    <row r="1218" spans="14:15">
      <c r="N1218" s="455"/>
      <c r="O1218" s="455"/>
    </row>
    <row r="1219" spans="14:15">
      <c r="N1219" s="455"/>
      <c r="O1219" s="455"/>
    </row>
    <row r="1220" spans="14:15">
      <c r="N1220" s="455"/>
      <c r="O1220" s="455"/>
    </row>
    <row r="1221" spans="14:15">
      <c r="N1221" s="455"/>
      <c r="O1221" s="455"/>
    </row>
    <row r="1222" spans="14:15">
      <c r="N1222" s="455"/>
      <c r="O1222" s="455"/>
    </row>
    <row r="1223" spans="14:15">
      <c r="N1223" s="455"/>
      <c r="O1223" s="455"/>
    </row>
    <row r="1224" spans="14:15">
      <c r="N1224" s="455"/>
      <c r="O1224" s="455"/>
    </row>
    <row r="1225" spans="14:15">
      <c r="N1225" s="455"/>
      <c r="O1225" s="455"/>
    </row>
    <row r="1226" spans="14:15">
      <c r="N1226" s="455"/>
      <c r="O1226" s="455"/>
    </row>
    <row r="1227" spans="14:15">
      <c r="N1227" s="455"/>
      <c r="O1227" s="455"/>
    </row>
    <row r="1228" spans="14:15">
      <c r="N1228" s="455"/>
      <c r="O1228" s="455"/>
    </row>
    <row r="1229" spans="14:15">
      <c r="N1229" s="455"/>
      <c r="O1229" s="455"/>
    </row>
    <row r="1230" spans="14:15">
      <c r="N1230" s="455"/>
      <c r="O1230" s="455"/>
    </row>
    <row r="1231" spans="14:15">
      <c r="N1231" s="455"/>
      <c r="O1231" s="455"/>
    </row>
    <row r="1232" spans="14:15">
      <c r="N1232" s="455"/>
      <c r="O1232" s="455"/>
    </row>
    <row r="1233" spans="14:15">
      <c r="N1233" s="455"/>
      <c r="O1233" s="455"/>
    </row>
    <row r="1234" spans="14:15">
      <c r="N1234" s="455"/>
      <c r="O1234" s="455"/>
    </row>
    <row r="1235" spans="14:15">
      <c r="N1235" s="455"/>
      <c r="O1235" s="455"/>
    </row>
    <row r="1236" spans="14:15">
      <c r="N1236" s="455"/>
      <c r="O1236" s="455"/>
    </row>
    <row r="1237" spans="14:15">
      <c r="N1237" s="455"/>
      <c r="O1237" s="455"/>
    </row>
    <row r="1238" spans="14:15">
      <c r="N1238" s="455"/>
      <c r="O1238" s="455"/>
    </row>
    <row r="1239" spans="14:15">
      <c r="N1239" s="455"/>
      <c r="O1239" s="455"/>
    </row>
    <row r="1240" spans="14:15">
      <c r="N1240" s="455"/>
      <c r="O1240" s="455"/>
    </row>
    <row r="1241" spans="14:15">
      <c r="N1241" s="455"/>
      <c r="O1241" s="455"/>
    </row>
    <row r="1242" spans="14:15">
      <c r="N1242" s="455"/>
      <c r="O1242" s="455"/>
    </row>
    <row r="1243" spans="14:15">
      <c r="N1243" s="455"/>
      <c r="O1243" s="455"/>
    </row>
    <row r="1244" spans="14:15">
      <c r="N1244" s="455"/>
      <c r="O1244" s="455"/>
    </row>
    <row r="1245" spans="14:15">
      <c r="N1245" s="455"/>
      <c r="O1245" s="455"/>
    </row>
    <row r="1246" spans="14:15">
      <c r="N1246" s="455"/>
      <c r="O1246" s="455"/>
    </row>
    <row r="1247" spans="14:15">
      <c r="N1247" s="455"/>
      <c r="O1247" s="455"/>
    </row>
    <row r="1248" spans="14:15">
      <c r="N1248" s="455"/>
      <c r="O1248" s="455"/>
    </row>
    <row r="1249" spans="14:15">
      <c r="N1249" s="455"/>
      <c r="O1249" s="455"/>
    </row>
    <row r="1250" spans="14:15">
      <c r="N1250" s="455"/>
      <c r="O1250" s="455"/>
    </row>
    <row r="1251" spans="14:15">
      <c r="N1251" s="455"/>
      <c r="O1251" s="455"/>
    </row>
    <row r="1252" spans="14:15">
      <c r="N1252" s="455"/>
      <c r="O1252" s="455"/>
    </row>
    <row r="1253" spans="14:15">
      <c r="N1253" s="455"/>
      <c r="O1253" s="455"/>
    </row>
    <row r="1254" spans="14:15">
      <c r="N1254" s="455"/>
      <c r="O1254" s="455"/>
    </row>
    <row r="1255" spans="14:15">
      <c r="N1255" s="455"/>
      <c r="O1255" s="455"/>
    </row>
    <row r="1256" spans="14:15">
      <c r="N1256" s="455"/>
      <c r="O1256" s="455"/>
    </row>
    <row r="1257" spans="14:15">
      <c r="N1257" s="455"/>
      <c r="O1257" s="455"/>
    </row>
    <row r="1258" spans="14:15">
      <c r="N1258" s="455"/>
      <c r="O1258" s="455"/>
    </row>
    <row r="1259" spans="14:15">
      <c r="N1259" s="455"/>
      <c r="O1259" s="455"/>
    </row>
    <row r="1260" spans="14:15">
      <c r="N1260" s="455"/>
      <c r="O1260" s="455"/>
    </row>
    <row r="1261" spans="14:15">
      <c r="N1261" s="455"/>
      <c r="O1261" s="455"/>
    </row>
    <row r="1262" spans="14:15">
      <c r="N1262" s="455"/>
      <c r="O1262" s="455"/>
    </row>
    <row r="1263" spans="14:15">
      <c r="N1263" s="455"/>
      <c r="O1263" s="455"/>
    </row>
    <row r="1264" spans="14:15">
      <c r="N1264" s="455"/>
      <c r="O1264" s="455"/>
    </row>
    <row r="1265" spans="14:15">
      <c r="N1265" s="455"/>
      <c r="O1265" s="455"/>
    </row>
    <row r="1266" spans="14:15">
      <c r="N1266" s="455"/>
      <c r="O1266" s="455"/>
    </row>
    <row r="1267" spans="14:15">
      <c r="N1267" s="455"/>
      <c r="O1267" s="455"/>
    </row>
    <row r="1268" spans="14:15">
      <c r="N1268" s="455"/>
      <c r="O1268" s="455"/>
    </row>
    <row r="1269" spans="14:15">
      <c r="N1269" s="455"/>
      <c r="O1269" s="455"/>
    </row>
    <row r="1270" spans="14:15">
      <c r="N1270" s="455"/>
      <c r="O1270" s="455"/>
    </row>
    <row r="1271" spans="14:15">
      <c r="N1271" s="455"/>
      <c r="O1271" s="455"/>
    </row>
    <row r="1272" spans="14:15">
      <c r="N1272" s="455"/>
      <c r="O1272" s="455"/>
    </row>
    <row r="1273" spans="14:15">
      <c r="N1273" s="455"/>
      <c r="O1273" s="455"/>
    </row>
    <row r="1274" spans="14:15">
      <c r="N1274" s="455"/>
      <c r="O1274" s="455"/>
    </row>
    <row r="1275" spans="14:15">
      <c r="N1275" s="455"/>
      <c r="O1275" s="455"/>
    </row>
    <row r="1276" spans="14:15">
      <c r="N1276" s="455"/>
      <c r="O1276" s="455"/>
    </row>
    <row r="1277" spans="14:15">
      <c r="N1277" s="455"/>
      <c r="O1277" s="455"/>
    </row>
    <row r="1278" spans="14:15">
      <c r="N1278" s="455"/>
      <c r="O1278" s="455"/>
    </row>
    <row r="1279" spans="14:15">
      <c r="N1279" s="455"/>
      <c r="O1279" s="455"/>
    </row>
    <row r="1280" spans="14:15">
      <c r="N1280" s="455"/>
      <c r="O1280" s="455"/>
    </row>
    <row r="1281" spans="14:15">
      <c r="N1281" s="455"/>
      <c r="O1281" s="455"/>
    </row>
    <row r="1282" spans="14:15">
      <c r="N1282" s="455"/>
      <c r="O1282" s="455"/>
    </row>
    <row r="1283" spans="14:15">
      <c r="N1283" s="455"/>
      <c r="O1283" s="455"/>
    </row>
    <row r="1284" spans="14:15">
      <c r="N1284" s="455"/>
      <c r="O1284" s="455"/>
    </row>
    <row r="1285" spans="14:15">
      <c r="N1285" s="455"/>
      <c r="O1285" s="455"/>
    </row>
    <row r="1286" spans="14:15">
      <c r="N1286" s="455"/>
      <c r="O1286" s="455"/>
    </row>
    <row r="1287" spans="14:15">
      <c r="N1287" s="455"/>
      <c r="O1287" s="455"/>
    </row>
    <row r="1288" spans="14:15">
      <c r="N1288" s="455"/>
      <c r="O1288" s="455"/>
    </row>
    <row r="1289" spans="14:15">
      <c r="N1289" s="455"/>
      <c r="O1289" s="455"/>
    </row>
    <row r="1290" spans="14:15">
      <c r="N1290" s="455"/>
      <c r="O1290" s="455"/>
    </row>
    <row r="1291" spans="14:15">
      <c r="N1291" s="455"/>
      <c r="O1291" s="455"/>
    </row>
    <row r="1292" spans="14:15">
      <c r="N1292" s="455"/>
      <c r="O1292" s="455"/>
    </row>
    <row r="1293" spans="14:15">
      <c r="N1293" s="455"/>
      <c r="O1293" s="455"/>
    </row>
    <row r="1294" spans="14:15">
      <c r="N1294" s="455"/>
      <c r="O1294" s="455"/>
    </row>
    <row r="1295" spans="14:15">
      <c r="N1295" s="455"/>
      <c r="O1295" s="455"/>
    </row>
    <row r="1296" spans="14:15">
      <c r="N1296" s="455"/>
      <c r="O1296" s="455"/>
    </row>
    <row r="1297" spans="14:15">
      <c r="N1297" s="455"/>
      <c r="O1297" s="455"/>
    </row>
    <row r="1298" spans="14:15">
      <c r="N1298" s="455"/>
      <c r="O1298" s="455"/>
    </row>
    <row r="1299" spans="14:15">
      <c r="N1299" s="455"/>
      <c r="O1299" s="455"/>
    </row>
    <row r="1300" spans="14:15">
      <c r="N1300" s="455"/>
      <c r="O1300" s="455"/>
    </row>
    <row r="1301" spans="14:15">
      <c r="N1301" s="455"/>
      <c r="O1301" s="455"/>
    </row>
    <row r="1302" spans="14:15">
      <c r="N1302" s="455"/>
      <c r="O1302" s="455"/>
    </row>
    <row r="1303" spans="14:15">
      <c r="N1303" s="455"/>
      <c r="O1303" s="455"/>
    </row>
    <row r="1304" spans="14:15">
      <c r="N1304" s="455"/>
      <c r="O1304" s="455"/>
    </row>
    <row r="1305" spans="14:15">
      <c r="N1305" s="455"/>
      <c r="O1305" s="455"/>
    </row>
    <row r="1306" spans="14:15">
      <c r="N1306" s="455"/>
      <c r="O1306" s="455"/>
    </row>
    <row r="1307" spans="14:15">
      <c r="N1307" s="455"/>
      <c r="O1307" s="455"/>
    </row>
    <row r="1308" spans="14:15">
      <c r="N1308" s="455"/>
      <c r="O1308" s="455"/>
    </row>
    <row r="1309" spans="14:15">
      <c r="N1309" s="455"/>
      <c r="O1309" s="455"/>
    </row>
    <row r="1310" spans="14:15">
      <c r="N1310" s="455"/>
      <c r="O1310" s="455"/>
    </row>
    <row r="1311" spans="14:15">
      <c r="N1311" s="455"/>
      <c r="O1311" s="455"/>
    </row>
    <row r="1312" spans="14:15">
      <c r="N1312" s="455"/>
      <c r="O1312" s="455"/>
    </row>
    <row r="1313" spans="14:15">
      <c r="N1313" s="455"/>
      <c r="O1313" s="455"/>
    </row>
    <row r="1314" spans="14:15">
      <c r="N1314" s="455"/>
      <c r="O1314" s="455"/>
    </row>
    <row r="1315" spans="14:15">
      <c r="N1315" s="455"/>
      <c r="O1315" s="455"/>
    </row>
    <row r="1316" spans="14:15">
      <c r="N1316" s="455"/>
      <c r="O1316" s="455"/>
    </row>
    <row r="1317" spans="14:15">
      <c r="N1317" s="455"/>
      <c r="O1317" s="455"/>
    </row>
    <row r="1318" spans="14:15">
      <c r="N1318" s="455"/>
      <c r="O1318" s="455"/>
    </row>
    <row r="1319" spans="14:15">
      <c r="N1319" s="455"/>
      <c r="O1319" s="455"/>
    </row>
    <row r="1320" spans="14:15">
      <c r="N1320" s="455"/>
      <c r="O1320" s="455"/>
    </row>
    <row r="1321" spans="14:15">
      <c r="N1321" s="455"/>
      <c r="O1321" s="455"/>
    </row>
    <row r="1322" spans="14:15">
      <c r="N1322" s="455"/>
      <c r="O1322" s="455"/>
    </row>
    <row r="1323" spans="14:15">
      <c r="N1323" s="455"/>
      <c r="O1323" s="455"/>
    </row>
    <row r="1324" spans="14:15">
      <c r="N1324" s="455"/>
      <c r="O1324" s="455"/>
    </row>
    <row r="1325" spans="14:15">
      <c r="N1325" s="455"/>
      <c r="O1325" s="455"/>
    </row>
    <row r="1326" spans="14:15">
      <c r="N1326" s="455"/>
      <c r="O1326" s="455"/>
    </row>
    <row r="1327" spans="14:15">
      <c r="N1327" s="455"/>
      <c r="O1327" s="455"/>
    </row>
    <row r="1328" spans="14:15">
      <c r="N1328" s="455"/>
      <c r="O1328" s="455"/>
    </row>
    <row r="1329" spans="14:15">
      <c r="N1329" s="455"/>
      <c r="O1329" s="455"/>
    </row>
    <row r="1330" spans="14:15">
      <c r="N1330" s="455"/>
      <c r="O1330" s="455"/>
    </row>
    <row r="1331" spans="14:15">
      <c r="N1331" s="455"/>
      <c r="O1331" s="455"/>
    </row>
    <row r="1332" spans="14:15">
      <c r="N1332" s="455"/>
      <c r="O1332" s="455"/>
    </row>
    <row r="1333" spans="14:15">
      <c r="N1333" s="455"/>
      <c r="O1333" s="455"/>
    </row>
    <row r="1334" spans="14:15">
      <c r="N1334" s="455"/>
      <c r="O1334" s="455"/>
    </row>
    <row r="1335" spans="14:15">
      <c r="N1335" s="455"/>
      <c r="O1335" s="455"/>
    </row>
    <row r="1336" spans="14:15">
      <c r="N1336" s="455"/>
      <c r="O1336" s="455"/>
    </row>
    <row r="1337" spans="14:15">
      <c r="N1337" s="455"/>
      <c r="O1337" s="455"/>
    </row>
    <row r="1338" spans="14:15">
      <c r="N1338" s="455"/>
      <c r="O1338" s="455"/>
    </row>
    <row r="1339" spans="14:15">
      <c r="N1339" s="455"/>
      <c r="O1339" s="455"/>
    </row>
    <row r="1340" spans="14:15">
      <c r="N1340" s="455"/>
      <c r="O1340" s="455"/>
    </row>
    <row r="1341" spans="14:15">
      <c r="N1341" s="455"/>
      <c r="O1341" s="455"/>
    </row>
    <row r="1342" spans="14:15">
      <c r="N1342" s="455"/>
      <c r="O1342" s="455"/>
    </row>
    <row r="1343" spans="14:15">
      <c r="N1343" s="455"/>
      <c r="O1343" s="455"/>
    </row>
    <row r="1344" spans="14:15">
      <c r="N1344" s="455"/>
      <c r="O1344" s="455"/>
    </row>
    <row r="1345" spans="14:15">
      <c r="N1345" s="455"/>
      <c r="O1345" s="455"/>
    </row>
    <row r="1346" spans="14:15">
      <c r="N1346" s="455"/>
      <c r="O1346" s="455"/>
    </row>
    <row r="1347" spans="14:15">
      <c r="N1347" s="455"/>
      <c r="O1347" s="455"/>
    </row>
    <row r="1348" spans="14:15">
      <c r="N1348" s="455"/>
      <c r="O1348" s="455"/>
    </row>
    <row r="1349" spans="14:15">
      <c r="N1349" s="455"/>
      <c r="O1349" s="455"/>
    </row>
    <row r="1350" spans="14:15">
      <c r="N1350" s="455"/>
      <c r="O1350" s="455"/>
    </row>
    <row r="1351" spans="14:15">
      <c r="N1351" s="455"/>
      <c r="O1351" s="455"/>
    </row>
    <row r="1352" spans="14:15">
      <c r="N1352" s="455"/>
      <c r="O1352" s="455"/>
    </row>
    <row r="1353" spans="14:15">
      <c r="N1353" s="455"/>
      <c r="O1353" s="455"/>
    </row>
    <row r="1354" spans="14:15">
      <c r="N1354" s="455"/>
      <c r="O1354" s="455"/>
    </row>
    <row r="1355" spans="14:15">
      <c r="N1355" s="455"/>
      <c r="O1355" s="455"/>
    </row>
    <row r="1356" spans="14:15">
      <c r="N1356" s="455"/>
      <c r="O1356" s="455"/>
    </row>
    <row r="1357" spans="14:15">
      <c r="N1357" s="455"/>
      <c r="O1357" s="455"/>
    </row>
    <row r="1358" spans="14:15">
      <c r="N1358" s="455"/>
      <c r="O1358" s="455"/>
    </row>
    <row r="1359" spans="14:15">
      <c r="N1359" s="455"/>
      <c r="O1359" s="455"/>
    </row>
    <row r="1360" spans="14:15">
      <c r="N1360" s="455"/>
      <c r="O1360" s="455"/>
    </row>
    <row r="1361" spans="14:15">
      <c r="N1361" s="455"/>
      <c r="O1361" s="455"/>
    </row>
    <row r="1362" spans="14:15">
      <c r="N1362" s="455"/>
      <c r="O1362" s="455"/>
    </row>
    <row r="1363" spans="14:15">
      <c r="N1363" s="455"/>
      <c r="O1363" s="455"/>
    </row>
    <row r="1364" spans="14:15">
      <c r="N1364" s="455"/>
      <c r="O1364" s="455"/>
    </row>
    <row r="1365" spans="14:15">
      <c r="N1365" s="455"/>
      <c r="O1365" s="455"/>
    </row>
    <row r="1366" spans="14:15">
      <c r="N1366" s="455"/>
      <c r="O1366" s="455"/>
    </row>
    <row r="1367" spans="14:15">
      <c r="N1367" s="455"/>
      <c r="O1367" s="455"/>
    </row>
    <row r="1368" spans="14:15">
      <c r="N1368" s="455"/>
      <c r="O1368" s="455"/>
    </row>
    <row r="1369" spans="14:15">
      <c r="N1369" s="455"/>
      <c r="O1369" s="455"/>
    </row>
    <row r="1370" spans="14:15">
      <c r="N1370" s="455"/>
      <c r="O1370" s="455"/>
    </row>
    <row r="1371" spans="14:15">
      <c r="N1371" s="455"/>
      <c r="O1371" s="455"/>
    </row>
    <row r="1372" spans="14:15">
      <c r="N1372" s="455"/>
      <c r="O1372" s="455"/>
    </row>
    <row r="1373" spans="14:15">
      <c r="N1373" s="455"/>
      <c r="O1373" s="455"/>
    </row>
    <row r="1374" spans="14:15">
      <c r="N1374" s="455"/>
      <c r="O1374" s="455"/>
    </row>
    <row r="1375" spans="14:15">
      <c r="N1375" s="455"/>
      <c r="O1375" s="455"/>
    </row>
    <row r="1376" spans="14:15">
      <c r="N1376" s="455"/>
      <c r="O1376" s="455"/>
    </row>
    <row r="1377" spans="14:15">
      <c r="N1377" s="455"/>
      <c r="O1377" s="455"/>
    </row>
    <row r="1378" spans="14:15">
      <c r="N1378" s="455"/>
      <c r="O1378" s="455"/>
    </row>
    <row r="1379" spans="14:15">
      <c r="N1379" s="455"/>
      <c r="O1379" s="455"/>
    </row>
    <row r="1380" spans="14:15">
      <c r="N1380" s="455"/>
      <c r="O1380" s="455"/>
    </row>
    <row r="1381" spans="14:15">
      <c r="N1381" s="455"/>
      <c r="O1381" s="455"/>
    </row>
    <row r="1382" spans="14:15">
      <c r="N1382" s="455"/>
      <c r="O1382" s="455"/>
    </row>
    <row r="1383" spans="14:15">
      <c r="N1383" s="455"/>
      <c r="O1383" s="455"/>
    </row>
    <row r="1384" spans="14:15">
      <c r="N1384" s="455"/>
      <c r="O1384" s="455"/>
    </row>
    <row r="1385" spans="14:15">
      <c r="N1385" s="455"/>
      <c r="O1385" s="455"/>
    </row>
    <row r="1386" spans="14:15">
      <c r="N1386" s="455"/>
      <c r="O1386" s="455"/>
    </row>
    <row r="1387" spans="14:15">
      <c r="N1387" s="455"/>
      <c r="O1387" s="455"/>
    </row>
    <row r="1388" spans="14:15">
      <c r="N1388" s="455"/>
      <c r="O1388" s="455"/>
    </row>
    <row r="1389" spans="14:15">
      <c r="N1389" s="455"/>
      <c r="O1389" s="455"/>
    </row>
    <row r="1390" spans="14:15">
      <c r="N1390" s="455"/>
      <c r="O1390" s="455"/>
    </row>
    <row r="1391" spans="14:15">
      <c r="N1391" s="455"/>
      <c r="O1391" s="455"/>
    </row>
    <row r="1392" spans="14:15">
      <c r="N1392" s="455"/>
      <c r="O1392" s="455"/>
    </row>
    <row r="1393" spans="14:15">
      <c r="N1393" s="455"/>
      <c r="O1393" s="455"/>
    </row>
    <row r="1394" spans="14:15">
      <c r="N1394" s="455"/>
      <c r="O1394" s="455"/>
    </row>
    <row r="1395" spans="14:15">
      <c r="N1395" s="455"/>
      <c r="O1395" s="455"/>
    </row>
    <row r="1396" spans="14:15">
      <c r="N1396" s="455"/>
      <c r="O1396" s="455"/>
    </row>
    <row r="1397" spans="14:15">
      <c r="N1397" s="455"/>
      <c r="O1397" s="455"/>
    </row>
    <row r="1398" spans="14:15">
      <c r="N1398" s="455"/>
      <c r="O1398" s="455"/>
    </row>
    <row r="1399" spans="14:15">
      <c r="N1399" s="455"/>
      <c r="O1399" s="455"/>
    </row>
    <row r="1400" spans="14:15">
      <c r="N1400" s="455"/>
      <c r="O1400" s="455"/>
    </row>
    <row r="1401" spans="14:15">
      <c r="N1401" s="455"/>
      <c r="O1401" s="455"/>
    </row>
    <row r="1402" spans="14:15">
      <c r="N1402" s="455"/>
      <c r="O1402" s="455"/>
    </row>
    <row r="1403" spans="14:15">
      <c r="N1403" s="455"/>
      <c r="O1403" s="455"/>
    </row>
    <row r="1404" spans="14:15">
      <c r="N1404" s="455"/>
      <c r="O1404" s="455"/>
    </row>
    <row r="1405" spans="14:15">
      <c r="N1405" s="455"/>
      <c r="O1405" s="455"/>
    </row>
    <row r="1406" spans="14:15">
      <c r="N1406" s="455"/>
      <c r="O1406" s="455"/>
    </row>
    <row r="1407" spans="14:15">
      <c r="N1407" s="455"/>
      <c r="O1407" s="455"/>
    </row>
    <row r="1408" spans="14:15">
      <c r="N1408" s="455"/>
      <c r="O1408" s="455"/>
    </row>
    <row r="1409" spans="14:15">
      <c r="N1409" s="455"/>
      <c r="O1409" s="455"/>
    </row>
    <row r="1410" spans="14:15">
      <c r="N1410" s="455"/>
      <c r="O1410" s="455"/>
    </row>
    <row r="1411" spans="14:15">
      <c r="N1411" s="455"/>
      <c r="O1411" s="455"/>
    </row>
    <row r="1412" spans="14:15">
      <c r="N1412" s="455"/>
      <c r="O1412" s="455"/>
    </row>
    <row r="1413" spans="14:15">
      <c r="N1413" s="455"/>
      <c r="O1413" s="455"/>
    </row>
    <row r="1414" spans="14:15">
      <c r="N1414" s="455"/>
      <c r="O1414" s="455"/>
    </row>
    <row r="1415" spans="14:15">
      <c r="N1415" s="455"/>
      <c r="O1415" s="455"/>
    </row>
    <row r="1416" spans="14:15">
      <c r="N1416" s="455"/>
      <c r="O1416" s="455"/>
    </row>
    <row r="1417" spans="14:15">
      <c r="N1417" s="455"/>
      <c r="O1417" s="455"/>
    </row>
    <row r="1418" spans="14:15">
      <c r="N1418" s="455"/>
      <c r="O1418" s="455"/>
    </row>
    <row r="1419" spans="14:15">
      <c r="N1419" s="455"/>
      <c r="O1419" s="455"/>
    </row>
    <row r="1420" spans="14:15">
      <c r="N1420" s="455"/>
      <c r="O1420" s="455"/>
    </row>
    <row r="1421" spans="14:15">
      <c r="N1421" s="455"/>
      <c r="O1421" s="455"/>
    </row>
    <row r="1422" spans="14:15">
      <c r="N1422" s="455"/>
      <c r="O1422" s="455"/>
    </row>
    <row r="1423" spans="14:15">
      <c r="N1423" s="455"/>
      <c r="O1423" s="455"/>
    </row>
    <row r="1424" spans="14:15">
      <c r="N1424" s="455"/>
      <c r="O1424" s="455"/>
    </row>
    <row r="1425" spans="14:15">
      <c r="N1425" s="455"/>
      <c r="O1425" s="455"/>
    </row>
    <row r="1426" spans="14:15">
      <c r="N1426" s="455"/>
      <c r="O1426" s="455"/>
    </row>
    <row r="1427" spans="14:15">
      <c r="N1427" s="455"/>
      <c r="O1427" s="455"/>
    </row>
    <row r="1428" spans="14:15">
      <c r="N1428" s="455"/>
      <c r="O1428" s="455"/>
    </row>
    <row r="1429" spans="14:15">
      <c r="N1429" s="455"/>
      <c r="O1429" s="455"/>
    </row>
    <row r="1430" spans="14:15">
      <c r="N1430" s="455"/>
      <c r="O1430" s="455"/>
    </row>
    <row r="1431" spans="14:15">
      <c r="N1431" s="455"/>
      <c r="O1431" s="455"/>
    </row>
    <row r="1432" spans="14:15">
      <c r="N1432" s="455"/>
      <c r="O1432" s="455"/>
    </row>
    <row r="1433" spans="14:15">
      <c r="N1433" s="455"/>
      <c r="O1433" s="455"/>
    </row>
    <row r="1434" spans="14:15">
      <c r="N1434" s="455"/>
      <c r="O1434" s="455"/>
    </row>
    <row r="1435" spans="14:15">
      <c r="N1435" s="455"/>
      <c r="O1435" s="455"/>
    </row>
    <row r="1436" spans="14:15">
      <c r="N1436" s="455"/>
      <c r="O1436" s="455"/>
    </row>
    <row r="1437" spans="14:15">
      <c r="N1437" s="455"/>
      <c r="O1437" s="455"/>
    </row>
    <row r="1438" spans="14:15">
      <c r="N1438" s="455"/>
      <c r="O1438" s="455"/>
    </row>
    <row r="1439" spans="14:15">
      <c r="N1439" s="455"/>
      <c r="O1439" s="455"/>
    </row>
    <row r="1440" spans="14:15">
      <c r="N1440" s="455"/>
      <c r="O1440" s="455"/>
    </row>
    <row r="1441" spans="14:15">
      <c r="N1441" s="455"/>
      <c r="O1441" s="455"/>
    </row>
    <row r="1442" spans="14:15">
      <c r="N1442" s="455"/>
      <c r="O1442" s="455"/>
    </row>
    <row r="1443" spans="14:15">
      <c r="N1443" s="455"/>
      <c r="O1443" s="455"/>
    </row>
    <row r="1444" spans="14:15">
      <c r="N1444" s="455"/>
      <c r="O1444" s="455"/>
    </row>
    <row r="1445" spans="14:15">
      <c r="N1445" s="455"/>
      <c r="O1445" s="455"/>
    </row>
    <row r="1446" spans="14:15">
      <c r="N1446" s="455"/>
      <c r="O1446" s="455"/>
    </row>
    <row r="1447" spans="14:15">
      <c r="N1447" s="455"/>
      <c r="O1447" s="455"/>
    </row>
    <row r="1448" spans="14:15">
      <c r="N1448" s="455"/>
      <c r="O1448" s="455"/>
    </row>
    <row r="1449" spans="14:15">
      <c r="N1449" s="455"/>
      <c r="O1449" s="455"/>
    </row>
    <row r="1450" spans="14:15">
      <c r="N1450" s="455"/>
      <c r="O1450" s="455"/>
    </row>
    <row r="1451" spans="14:15">
      <c r="N1451" s="455"/>
      <c r="O1451" s="455"/>
    </row>
    <row r="1452" spans="14:15">
      <c r="N1452" s="455"/>
      <c r="O1452" s="455"/>
    </row>
    <row r="1453" spans="14:15">
      <c r="N1453" s="455"/>
      <c r="O1453" s="455"/>
    </row>
    <row r="1454" spans="14:15">
      <c r="N1454" s="455"/>
      <c r="O1454" s="455"/>
    </row>
    <row r="1455" spans="14:15">
      <c r="N1455" s="455"/>
      <c r="O1455" s="455"/>
    </row>
    <row r="1456" spans="14:15">
      <c r="N1456" s="455"/>
      <c r="O1456" s="455"/>
    </row>
    <row r="1457" spans="14:15">
      <c r="N1457" s="455"/>
      <c r="O1457" s="455"/>
    </row>
    <row r="1458" spans="14:15">
      <c r="N1458" s="455"/>
      <c r="O1458" s="455"/>
    </row>
    <row r="1459" spans="14:15">
      <c r="N1459" s="455"/>
      <c r="O1459" s="455"/>
    </row>
    <row r="1460" spans="14:15">
      <c r="N1460" s="455"/>
      <c r="O1460" s="455"/>
    </row>
    <row r="1461" spans="14:15">
      <c r="N1461" s="455"/>
      <c r="O1461" s="455"/>
    </row>
    <row r="1462" spans="14:15">
      <c r="N1462" s="455"/>
      <c r="O1462" s="455"/>
    </row>
    <row r="1463" spans="14:15">
      <c r="N1463" s="455"/>
      <c r="O1463" s="455"/>
    </row>
    <row r="1464" spans="14:15">
      <c r="N1464" s="455"/>
      <c r="O1464" s="455"/>
    </row>
    <row r="1465" spans="14:15">
      <c r="N1465" s="455"/>
      <c r="O1465" s="455"/>
    </row>
    <row r="1466" spans="14:15">
      <c r="N1466" s="455"/>
      <c r="O1466" s="455"/>
    </row>
    <row r="1467" spans="14:15">
      <c r="N1467" s="455"/>
      <c r="O1467" s="455"/>
    </row>
    <row r="1468" spans="14:15">
      <c r="N1468" s="455"/>
      <c r="O1468" s="455"/>
    </row>
    <row r="1469" spans="14:15">
      <c r="N1469" s="455"/>
      <c r="O1469" s="455"/>
    </row>
    <row r="1470" spans="14:15">
      <c r="N1470" s="455"/>
      <c r="O1470" s="455"/>
    </row>
    <row r="1471" spans="14:15">
      <c r="N1471" s="455"/>
      <c r="O1471" s="455"/>
    </row>
    <row r="1472" spans="14:15">
      <c r="N1472" s="455"/>
      <c r="O1472" s="455"/>
    </row>
    <row r="1473" spans="14:15">
      <c r="N1473" s="455"/>
      <c r="O1473" s="455"/>
    </row>
    <row r="1474" spans="14:15">
      <c r="N1474" s="455"/>
      <c r="O1474" s="455"/>
    </row>
    <row r="1475" spans="14:15">
      <c r="N1475" s="455"/>
      <c r="O1475" s="455"/>
    </row>
    <row r="1476" spans="14:15">
      <c r="N1476" s="455"/>
      <c r="O1476" s="455"/>
    </row>
    <row r="1477" spans="14:15">
      <c r="N1477" s="455"/>
      <c r="O1477" s="455"/>
    </row>
    <row r="1478" spans="14:15">
      <c r="N1478" s="455"/>
      <c r="O1478" s="455"/>
    </row>
    <row r="1479" spans="14:15">
      <c r="N1479" s="455"/>
      <c r="O1479" s="455"/>
    </row>
    <row r="1480" spans="14:15">
      <c r="N1480" s="455"/>
      <c r="O1480" s="455"/>
    </row>
    <row r="1481" spans="14:15">
      <c r="N1481" s="455"/>
      <c r="O1481" s="455"/>
    </row>
    <row r="1482" spans="14:15">
      <c r="N1482" s="455"/>
      <c r="O1482" s="455"/>
    </row>
    <row r="1483" spans="14:15">
      <c r="N1483" s="455"/>
      <c r="O1483" s="455"/>
    </row>
    <row r="1484" spans="14:15">
      <c r="N1484" s="455"/>
      <c r="O1484" s="455"/>
    </row>
    <row r="1485" spans="14:15">
      <c r="N1485" s="455"/>
      <c r="O1485" s="455"/>
    </row>
    <row r="1486" spans="14:15">
      <c r="N1486" s="455"/>
      <c r="O1486" s="455"/>
    </row>
    <row r="1487" spans="14:15">
      <c r="N1487" s="455"/>
      <c r="O1487" s="455"/>
    </row>
    <row r="1488" spans="14:15">
      <c r="N1488" s="455"/>
      <c r="O1488" s="455"/>
    </row>
    <row r="1489" spans="14:15">
      <c r="N1489" s="455"/>
      <c r="O1489" s="455"/>
    </row>
    <row r="1490" spans="14:15">
      <c r="N1490" s="455"/>
      <c r="O1490" s="455"/>
    </row>
    <row r="1491" spans="14:15">
      <c r="N1491" s="455"/>
      <c r="O1491" s="455"/>
    </row>
    <row r="1492" spans="14:15">
      <c r="N1492" s="455"/>
      <c r="O1492" s="455"/>
    </row>
    <row r="1493" spans="14:15">
      <c r="N1493" s="455"/>
      <c r="O1493" s="455"/>
    </row>
    <row r="1494" spans="14:15">
      <c r="N1494" s="455"/>
      <c r="O1494" s="455"/>
    </row>
    <row r="1495" spans="14:15">
      <c r="N1495" s="455"/>
      <c r="O1495" s="455"/>
    </row>
    <row r="1496" spans="14:15">
      <c r="N1496" s="455"/>
      <c r="O1496" s="455"/>
    </row>
    <row r="1497" spans="14:15">
      <c r="N1497" s="455"/>
      <c r="O1497" s="455"/>
    </row>
    <row r="1498" spans="14:15">
      <c r="N1498" s="455"/>
      <c r="O1498" s="455"/>
    </row>
    <row r="1499" spans="14:15">
      <c r="N1499" s="455"/>
      <c r="O1499" s="455"/>
    </row>
    <row r="1500" spans="14:15">
      <c r="N1500" s="455"/>
      <c r="O1500" s="455"/>
    </row>
    <row r="1501" spans="14:15">
      <c r="N1501" s="455"/>
      <c r="O1501" s="455"/>
    </row>
    <row r="1502" spans="14:15">
      <c r="N1502" s="455"/>
      <c r="O1502" s="455"/>
    </row>
    <row r="1503" spans="14:15">
      <c r="N1503" s="455"/>
      <c r="O1503" s="455"/>
    </row>
    <row r="1504" spans="14:15">
      <c r="N1504" s="455"/>
      <c r="O1504" s="455"/>
    </row>
    <row r="1505" spans="14:15">
      <c r="N1505" s="455"/>
      <c r="O1505" s="455"/>
    </row>
    <row r="1506" spans="14:15">
      <c r="N1506" s="455"/>
      <c r="O1506" s="455"/>
    </row>
    <row r="1507" spans="14:15">
      <c r="N1507" s="455"/>
      <c r="O1507" s="455"/>
    </row>
    <row r="1508" spans="14:15">
      <c r="N1508" s="455"/>
      <c r="O1508" s="455"/>
    </row>
    <row r="1509" spans="14:15">
      <c r="N1509" s="455"/>
      <c r="O1509" s="455"/>
    </row>
    <row r="1510" spans="14:15">
      <c r="N1510" s="455"/>
      <c r="O1510" s="455"/>
    </row>
    <row r="1511" spans="14:15">
      <c r="N1511" s="455"/>
      <c r="O1511" s="455"/>
    </row>
    <row r="1512" spans="14:15">
      <c r="N1512" s="455"/>
      <c r="O1512" s="455"/>
    </row>
    <row r="1513" spans="14:15">
      <c r="N1513" s="455"/>
      <c r="O1513" s="455"/>
    </row>
    <row r="1514" spans="14:15">
      <c r="N1514" s="455"/>
      <c r="O1514" s="455"/>
    </row>
    <row r="1515" spans="14:15">
      <c r="N1515" s="455"/>
      <c r="O1515" s="455"/>
    </row>
    <row r="1516" spans="14:15">
      <c r="N1516" s="455"/>
      <c r="O1516" s="455"/>
    </row>
    <row r="1517" spans="14:15">
      <c r="N1517" s="455"/>
      <c r="O1517" s="455"/>
    </row>
    <row r="1518" spans="14:15">
      <c r="N1518" s="455"/>
      <c r="O1518" s="455"/>
    </row>
    <row r="1519" spans="14:15">
      <c r="N1519" s="455"/>
      <c r="O1519" s="455"/>
    </row>
    <row r="1520" spans="14:15">
      <c r="N1520" s="455"/>
      <c r="O1520" s="455"/>
    </row>
    <row r="1521" spans="14:15">
      <c r="N1521" s="455"/>
      <c r="O1521" s="455"/>
    </row>
    <row r="1522" spans="14:15">
      <c r="N1522" s="455"/>
      <c r="O1522" s="455"/>
    </row>
    <row r="1523" spans="14:15">
      <c r="N1523" s="455"/>
      <c r="O1523" s="455"/>
    </row>
    <row r="1524" spans="14:15">
      <c r="N1524" s="455"/>
      <c r="O1524" s="455"/>
    </row>
    <row r="1525" spans="14:15">
      <c r="N1525" s="455"/>
      <c r="O1525" s="455"/>
    </row>
    <row r="1526" spans="14:15">
      <c r="N1526" s="455"/>
      <c r="O1526" s="455"/>
    </row>
    <row r="1527" spans="14:15">
      <c r="N1527" s="455"/>
      <c r="O1527" s="455"/>
    </row>
    <row r="1528" spans="14:15">
      <c r="N1528" s="455"/>
      <c r="O1528" s="455"/>
    </row>
    <row r="1529" spans="14:15">
      <c r="N1529" s="455"/>
      <c r="O1529" s="455"/>
    </row>
    <row r="1530" spans="14:15">
      <c r="N1530" s="455"/>
      <c r="O1530" s="455"/>
    </row>
    <row r="1531" spans="14:15">
      <c r="N1531" s="455"/>
      <c r="O1531" s="455"/>
    </row>
    <row r="1532" spans="14:15">
      <c r="N1532" s="455"/>
      <c r="O1532" s="455"/>
    </row>
    <row r="1533" spans="14:15">
      <c r="N1533" s="455"/>
      <c r="O1533" s="455"/>
    </row>
    <row r="1534" spans="14:15">
      <c r="N1534" s="455"/>
      <c r="O1534" s="455"/>
    </row>
    <row r="1535" spans="14:15">
      <c r="N1535" s="455"/>
      <c r="O1535" s="455"/>
    </row>
    <row r="1536" spans="14:15">
      <c r="N1536" s="455"/>
      <c r="O1536" s="455"/>
    </row>
    <row r="1537" spans="14:15">
      <c r="N1537" s="455"/>
      <c r="O1537" s="455"/>
    </row>
    <row r="1538" spans="14:15">
      <c r="N1538" s="455"/>
      <c r="O1538" s="455"/>
    </row>
    <row r="1539" spans="14:15">
      <c r="N1539" s="455"/>
      <c r="O1539" s="455"/>
    </row>
    <row r="1540" spans="14:15">
      <c r="N1540" s="455"/>
      <c r="O1540" s="455"/>
    </row>
    <row r="1541" spans="14:15">
      <c r="N1541" s="455"/>
      <c r="O1541" s="455"/>
    </row>
    <row r="1542" spans="14:15">
      <c r="N1542" s="455"/>
      <c r="O1542" s="455"/>
    </row>
    <row r="1543" spans="14:15">
      <c r="N1543" s="455"/>
      <c r="O1543" s="455"/>
    </row>
    <row r="1544" spans="14:15">
      <c r="N1544" s="455"/>
      <c r="O1544" s="455"/>
    </row>
    <row r="1545" spans="14:15">
      <c r="N1545" s="455"/>
      <c r="O1545" s="455"/>
    </row>
    <row r="1546" spans="14:15">
      <c r="N1546" s="455"/>
      <c r="O1546" s="455"/>
    </row>
    <row r="1547" spans="14:15">
      <c r="N1547" s="455"/>
      <c r="O1547" s="455"/>
    </row>
    <row r="1548" spans="14:15">
      <c r="N1548" s="455"/>
      <c r="O1548" s="455"/>
    </row>
    <row r="1549" spans="14:15">
      <c r="N1549" s="455"/>
      <c r="O1549" s="455"/>
    </row>
    <row r="1550" spans="14:15">
      <c r="N1550" s="455"/>
      <c r="O1550" s="455"/>
    </row>
    <row r="1551" spans="14:15">
      <c r="N1551" s="455"/>
      <c r="O1551" s="455"/>
    </row>
    <row r="1552" spans="14:15">
      <c r="N1552" s="455"/>
      <c r="O1552" s="455"/>
    </row>
    <row r="1553" spans="14:15">
      <c r="N1553" s="455"/>
      <c r="O1553" s="455"/>
    </row>
    <row r="1554" spans="14:15">
      <c r="N1554" s="455"/>
      <c r="O1554" s="455"/>
    </row>
    <row r="1555" spans="14:15">
      <c r="N1555" s="455"/>
      <c r="O1555" s="455"/>
    </row>
    <row r="1556" spans="14:15">
      <c r="N1556" s="455"/>
      <c r="O1556" s="455"/>
    </row>
    <row r="1557" spans="14:15">
      <c r="N1557" s="455"/>
      <c r="O1557" s="455"/>
    </row>
    <row r="1558" spans="14:15">
      <c r="N1558" s="455"/>
      <c r="O1558" s="455"/>
    </row>
    <row r="1559" spans="14:15">
      <c r="N1559" s="455"/>
      <c r="O1559" s="455"/>
    </row>
    <row r="1560" spans="14:15">
      <c r="N1560" s="455"/>
      <c r="O1560" s="455"/>
    </row>
    <row r="1561" spans="14:15">
      <c r="N1561" s="455"/>
      <c r="O1561" s="455"/>
    </row>
    <row r="1562" spans="14:15">
      <c r="N1562" s="455"/>
      <c r="O1562" s="455"/>
    </row>
    <row r="1563" spans="14:15">
      <c r="N1563" s="455"/>
      <c r="O1563" s="455"/>
    </row>
    <row r="1564" spans="14:15">
      <c r="N1564" s="455"/>
      <c r="O1564" s="455"/>
    </row>
    <row r="1565" spans="14:15">
      <c r="N1565" s="455"/>
      <c r="O1565" s="455"/>
    </row>
    <row r="1566" spans="14:15">
      <c r="N1566" s="455"/>
      <c r="O1566" s="455"/>
    </row>
    <row r="1567" spans="14:15">
      <c r="N1567" s="455"/>
      <c r="O1567" s="455"/>
    </row>
    <row r="1568" spans="14:15">
      <c r="N1568" s="455"/>
      <c r="O1568" s="455"/>
    </row>
    <row r="1569" spans="14:15">
      <c r="N1569" s="455"/>
      <c r="O1569" s="455"/>
    </row>
    <row r="1570" spans="14:15">
      <c r="N1570" s="455"/>
      <c r="O1570" s="455"/>
    </row>
    <row r="1571" spans="14:15">
      <c r="N1571" s="455"/>
      <c r="O1571" s="455"/>
    </row>
    <row r="1572" spans="14:15">
      <c r="N1572" s="455"/>
      <c r="O1572" s="455"/>
    </row>
    <row r="1573" spans="14:15">
      <c r="N1573" s="455"/>
      <c r="O1573" s="455"/>
    </row>
    <row r="1574" spans="14:15">
      <c r="N1574" s="455"/>
      <c r="O1574" s="455"/>
    </row>
    <row r="1575" spans="14:15">
      <c r="N1575" s="455"/>
      <c r="O1575" s="455"/>
    </row>
    <row r="1576" spans="14:15">
      <c r="N1576" s="455"/>
      <c r="O1576" s="455"/>
    </row>
    <row r="1577" spans="14:15">
      <c r="N1577" s="455"/>
      <c r="O1577" s="455"/>
    </row>
    <row r="1578" spans="14:15">
      <c r="N1578" s="455"/>
      <c r="O1578" s="455"/>
    </row>
    <row r="1579" spans="14:15">
      <c r="N1579" s="455"/>
      <c r="O1579" s="455"/>
    </row>
    <row r="1580" spans="14:15">
      <c r="N1580" s="455"/>
      <c r="O1580" s="455"/>
    </row>
    <row r="1581" spans="14:15">
      <c r="N1581" s="455"/>
      <c r="O1581" s="455"/>
    </row>
    <row r="1582" spans="14:15">
      <c r="N1582" s="455"/>
      <c r="O1582" s="455"/>
    </row>
    <row r="1583" spans="14:15">
      <c r="N1583" s="455"/>
      <c r="O1583" s="455"/>
    </row>
    <row r="1584" spans="14:15">
      <c r="N1584" s="455"/>
      <c r="O1584" s="455"/>
    </row>
    <row r="1585" spans="14:15">
      <c r="N1585" s="455"/>
      <c r="O1585" s="455"/>
    </row>
    <row r="1586" spans="14:15">
      <c r="N1586" s="455"/>
      <c r="O1586" s="455"/>
    </row>
    <row r="1587" spans="14:15">
      <c r="N1587" s="455"/>
      <c r="O1587" s="455"/>
    </row>
    <row r="1588" spans="14:15">
      <c r="N1588" s="455"/>
      <c r="O1588" s="455"/>
    </row>
    <row r="1589" spans="14:15">
      <c r="N1589" s="455"/>
      <c r="O1589" s="455"/>
    </row>
    <row r="1590" spans="14:15">
      <c r="N1590" s="455"/>
      <c r="O1590" s="455"/>
    </row>
    <row r="1591" spans="14:15">
      <c r="N1591" s="455"/>
      <c r="O1591" s="455"/>
    </row>
    <row r="1592" spans="14:15">
      <c r="N1592" s="455"/>
      <c r="O1592" s="455"/>
    </row>
    <row r="1593" spans="14:15">
      <c r="N1593" s="455"/>
      <c r="O1593" s="455"/>
    </row>
    <row r="1594" spans="14:15">
      <c r="N1594" s="455"/>
      <c r="O1594" s="455"/>
    </row>
    <row r="1595" spans="14:15">
      <c r="N1595" s="455"/>
      <c r="O1595" s="455"/>
    </row>
    <row r="1596" spans="14:15">
      <c r="N1596" s="455"/>
      <c r="O1596" s="455"/>
    </row>
    <row r="1597" spans="14:15">
      <c r="N1597" s="455"/>
      <c r="O1597" s="455"/>
    </row>
    <row r="1598" spans="14:15">
      <c r="N1598" s="455"/>
      <c r="O1598" s="455"/>
    </row>
    <row r="1599" spans="14:15">
      <c r="N1599" s="455"/>
      <c r="O1599" s="455"/>
    </row>
    <row r="1600" spans="14:15">
      <c r="N1600" s="455"/>
      <c r="O1600" s="455"/>
    </row>
    <row r="1601" spans="14:15">
      <c r="N1601" s="455"/>
      <c r="O1601" s="455"/>
    </row>
    <row r="1602" spans="14:15">
      <c r="N1602" s="455"/>
      <c r="O1602" s="455"/>
    </row>
    <row r="1603" spans="14:15">
      <c r="N1603" s="455"/>
      <c r="O1603" s="455"/>
    </row>
    <row r="1604" spans="14:15">
      <c r="N1604" s="455"/>
      <c r="O1604" s="455"/>
    </row>
    <row r="1605" spans="14:15">
      <c r="N1605" s="455"/>
      <c r="O1605" s="455"/>
    </row>
    <row r="1606" spans="14:15">
      <c r="N1606" s="455"/>
      <c r="O1606" s="455"/>
    </row>
    <row r="1607" spans="14:15">
      <c r="N1607" s="455"/>
      <c r="O1607" s="455"/>
    </row>
    <row r="1608" spans="14:15">
      <c r="N1608" s="455"/>
      <c r="O1608" s="455"/>
    </row>
    <row r="1609" spans="14:15">
      <c r="N1609" s="455"/>
      <c r="O1609" s="455"/>
    </row>
    <row r="1610" spans="14:15">
      <c r="N1610" s="455"/>
      <c r="O1610" s="455"/>
    </row>
    <row r="1611" spans="14:15">
      <c r="N1611" s="455"/>
      <c r="O1611" s="455"/>
    </row>
    <row r="1612" spans="14:15">
      <c r="N1612" s="455"/>
      <c r="O1612" s="455"/>
    </row>
    <row r="1613" spans="14:15">
      <c r="N1613" s="455"/>
      <c r="O1613" s="455"/>
    </row>
    <row r="1614" spans="14:15">
      <c r="N1614" s="455"/>
      <c r="O1614" s="455"/>
    </row>
    <row r="1615" spans="14:15">
      <c r="N1615" s="455"/>
      <c r="O1615" s="455"/>
    </row>
    <row r="1616" spans="14:15">
      <c r="N1616" s="455"/>
      <c r="O1616" s="455"/>
    </row>
    <row r="1617" spans="14:15">
      <c r="N1617" s="455"/>
      <c r="O1617" s="455"/>
    </row>
    <row r="1618" spans="14:15">
      <c r="N1618" s="455"/>
      <c r="O1618" s="455"/>
    </row>
    <row r="1619" spans="14:15">
      <c r="N1619" s="455"/>
      <c r="O1619" s="455"/>
    </row>
    <row r="1620" spans="14:15">
      <c r="N1620" s="455"/>
      <c r="O1620" s="455"/>
    </row>
    <row r="1621" spans="14:15">
      <c r="N1621" s="455"/>
      <c r="O1621" s="455"/>
    </row>
    <row r="1622" spans="14:15">
      <c r="N1622" s="455"/>
      <c r="O1622" s="455"/>
    </row>
    <row r="1623" spans="14:15">
      <c r="N1623" s="455"/>
      <c r="O1623" s="455"/>
    </row>
    <row r="1624" spans="14:15">
      <c r="N1624" s="455"/>
      <c r="O1624" s="455"/>
    </row>
    <row r="1625" spans="14:15">
      <c r="N1625" s="455"/>
      <c r="O1625" s="455"/>
    </row>
    <row r="1626" spans="14:15">
      <c r="N1626" s="455"/>
      <c r="O1626" s="455"/>
    </row>
    <row r="1627" spans="14:15">
      <c r="N1627" s="455"/>
      <c r="O1627" s="455"/>
    </row>
    <row r="1628" spans="14:15">
      <c r="N1628" s="455"/>
      <c r="O1628" s="455"/>
    </row>
    <row r="1629" spans="14:15">
      <c r="N1629" s="455"/>
      <c r="O1629" s="455"/>
    </row>
    <row r="1630" spans="14:15">
      <c r="N1630" s="455"/>
      <c r="O1630" s="455"/>
    </row>
    <row r="1631" spans="14:15">
      <c r="N1631" s="455"/>
      <c r="O1631" s="455"/>
    </row>
    <row r="1632" spans="14:15">
      <c r="N1632" s="455"/>
      <c r="O1632" s="455"/>
    </row>
    <row r="1633" spans="14:15">
      <c r="N1633" s="455"/>
      <c r="O1633" s="455"/>
    </row>
    <row r="1634" spans="14:15">
      <c r="N1634" s="455"/>
      <c r="O1634" s="455"/>
    </row>
    <row r="1635" spans="14:15">
      <c r="N1635" s="455"/>
      <c r="O1635" s="455"/>
    </row>
    <row r="1636" spans="14:15">
      <c r="N1636" s="455"/>
      <c r="O1636" s="455"/>
    </row>
    <row r="1637" spans="14:15">
      <c r="N1637" s="455"/>
      <c r="O1637" s="455"/>
    </row>
    <row r="1638" spans="14:15">
      <c r="N1638" s="455"/>
      <c r="O1638" s="455"/>
    </row>
    <row r="1639" spans="14:15">
      <c r="N1639" s="455"/>
      <c r="O1639" s="455"/>
    </row>
    <row r="1640" spans="14:15">
      <c r="N1640" s="455"/>
      <c r="O1640" s="455"/>
    </row>
    <row r="1641" spans="14:15">
      <c r="N1641" s="455"/>
      <c r="O1641" s="455"/>
    </row>
    <row r="1642" spans="14:15">
      <c r="N1642" s="455"/>
      <c r="O1642" s="455"/>
    </row>
    <row r="1643" spans="14:15">
      <c r="N1643" s="455"/>
      <c r="O1643" s="455"/>
    </row>
    <row r="1644" spans="14:15">
      <c r="N1644" s="455"/>
      <c r="O1644" s="455"/>
    </row>
    <row r="1645" spans="14:15">
      <c r="N1645" s="455"/>
      <c r="O1645" s="455"/>
    </row>
    <row r="1646" spans="14:15">
      <c r="N1646" s="455"/>
      <c r="O1646" s="455"/>
    </row>
    <row r="1647" spans="14:15">
      <c r="N1647" s="455"/>
      <c r="O1647" s="455"/>
    </row>
    <row r="1648" spans="14:15">
      <c r="N1648" s="455"/>
      <c r="O1648" s="455"/>
    </row>
    <row r="1649" spans="14:15">
      <c r="N1649" s="455"/>
      <c r="O1649" s="455"/>
    </row>
    <row r="1650" spans="14:15">
      <c r="N1650" s="455"/>
      <c r="O1650" s="455"/>
    </row>
    <row r="1651" spans="14:15">
      <c r="N1651" s="455"/>
      <c r="O1651" s="455"/>
    </row>
    <row r="1652" spans="14:15">
      <c r="N1652" s="455"/>
      <c r="O1652" s="455"/>
    </row>
    <row r="1653" spans="14:15">
      <c r="N1653" s="455"/>
      <c r="O1653" s="455"/>
    </row>
    <row r="1654" spans="14:15">
      <c r="N1654" s="455"/>
      <c r="O1654" s="455"/>
    </row>
    <row r="1655" spans="14:15">
      <c r="N1655" s="455"/>
      <c r="O1655" s="455"/>
    </row>
    <row r="1656" spans="14:15">
      <c r="N1656" s="455"/>
      <c r="O1656" s="455"/>
    </row>
    <row r="1657" spans="14:15">
      <c r="N1657" s="455"/>
      <c r="O1657" s="455"/>
    </row>
    <row r="1658" spans="14:15">
      <c r="N1658" s="455"/>
      <c r="O1658" s="455"/>
    </row>
    <row r="1659" spans="14:15">
      <c r="N1659" s="455"/>
      <c r="O1659" s="455"/>
    </row>
    <row r="1660" spans="14:15">
      <c r="N1660" s="455"/>
      <c r="O1660" s="455"/>
    </row>
    <row r="1661" spans="14:15">
      <c r="N1661" s="455"/>
      <c r="O1661" s="455"/>
    </row>
    <row r="1662" spans="14:15">
      <c r="N1662" s="455"/>
      <c r="O1662" s="455"/>
    </row>
    <row r="1663" spans="14:15">
      <c r="N1663" s="455"/>
      <c r="O1663" s="455"/>
    </row>
    <row r="1664" spans="14:15">
      <c r="N1664" s="455"/>
      <c r="O1664" s="455"/>
    </row>
    <row r="1665" spans="14:15">
      <c r="N1665" s="455"/>
      <c r="O1665" s="455"/>
    </row>
    <row r="1666" spans="14:15">
      <c r="N1666" s="455"/>
      <c r="O1666" s="455"/>
    </row>
    <row r="1667" spans="14:15">
      <c r="N1667" s="455"/>
      <c r="O1667" s="455"/>
    </row>
    <row r="1668" spans="14:15">
      <c r="N1668" s="455"/>
      <c r="O1668" s="455"/>
    </row>
    <row r="1669" spans="14:15">
      <c r="N1669" s="455"/>
      <c r="O1669" s="455"/>
    </row>
    <row r="1670" spans="14:15">
      <c r="N1670" s="455"/>
      <c r="O1670" s="455"/>
    </row>
    <row r="1671" spans="14:15">
      <c r="N1671" s="455"/>
      <c r="O1671" s="455"/>
    </row>
    <row r="1672" spans="14:15">
      <c r="N1672" s="455"/>
      <c r="O1672" s="455"/>
    </row>
    <row r="1673" spans="14:15">
      <c r="N1673" s="455"/>
      <c r="O1673" s="455"/>
    </row>
    <row r="1674" spans="14:15">
      <c r="N1674" s="455"/>
      <c r="O1674" s="455"/>
    </row>
    <row r="1675" spans="14:15">
      <c r="N1675" s="455"/>
      <c r="O1675" s="455"/>
    </row>
    <row r="1676" spans="14:15">
      <c r="N1676" s="455"/>
      <c r="O1676" s="455"/>
    </row>
    <row r="1677" spans="14:15">
      <c r="N1677" s="455"/>
      <c r="O1677" s="455"/>
    </row>
    <row r="1678" spans="14:15">
      <c r="N1678" s="455"/>
      <c r="O1678" s="455"/>
    </row>
    <row r="1679" spans="14:15">
      <c r="N1679" s="455"/>
      <c r="O1679" s="455"/>
    </row>
    <row r="1680" spans="14:15">
      <c r="N1680" s="455"/>
      <c r="O1680" s="455"/>
    </row>
    <row r="1681" spans="14:15">
      <c r="N1681" s="455"/>
      <c r="O1681" s="455"/>
    </row>
    <row r="1682" spans="14:15">
      <c r="N1682" s="455"/>
      <c r="O1682" s="455"/>
    </row>
    <row r="1683" spans="14:15">
      <c r="N1683" s="455"/>
      <c r="O1683" s="455"/>
    </row>
    <row r="1684" spans="14:15">
      <c r="N1684" s="455"/>
      <c r="O1684" s="455"/>
    </row>
    <row r="1685" spans="14:15">
      <c r="N1685" s="455"/>
      <c r="O1685" s="455"/>
    </row>
    <row r="1686" spans="14:15">
      <c r="N1686" s="455"/>
      <c r="O1686" s="455"/>
    </row>
    <row r="1687" spans="14:15">
      <c r="N1687" s="455"/>
      <c r="O1687" s="455"/>
    </row>
    <row r="1688" spans="14:15">
      <c r="N1688" s="455"/>
      <c r="O1688" s="455"/>
    </row>
    <row r="1689" spans="14:15">
      <c r="N1689" s="455"/>
      <c r="O1689" s="455"/>
    </row>
    <row r="1690" spans="14:15">
      <c r="N1690" s="455"/>
      <c r="O1690" s="455"/>
    </row>
    <row r="1691" spans="14:15">
      <c r="N1691" s="455"/>
      <c r="O1691" s="455"/>
    </row>
    <row r="1692" spans="14:15">
      <c r="N1692" s="455"/>
      <c r="O1692" s="455"/>
    </row>
    <row r="1693" spans="14:15">
      <c r="N1693" s="455"/>
      <c r="O1693" s="455"/>
    </row>
    <row r="1694" spans="14:15">
      <c r="N1694" s="455"/>
      <c r="O1694" s="455"/>
    </row>
    <row r="1695" spans="14:15">
      <c r="N1695" s="455"/>
      <c r="O1695" s="455"/>
    </row>
    <row r="1696" spans="14:15">
      <c r="N1696" s="455"/>
      <c r="O1696" s="455"/>
    </row>
    <row r="1697" spans="14:15">
      <c r="N1697" s="455"/>
      <c r="O1697" s="455"/>
    </row>
    <row r="1698" spans="14:15">
      <c r="N1698" s="455"/>
      <c r="O1698" s="455"/>
    </row>
    <row r="1699" spans="14:15">
      <c r="N1699" s="455"/>
      <c r="O1699" s="455"/>
    </row>
    <row r="1700" spans="14:15">
      <c r="N1700" s="455"/>
      <c r="O1700" s="455"/>
    </row>
    <row r="1701" spans="14:15">
      <c r="N1701" s="455"/>
      <c r="O1701" s="455"/>
    </row>
    <row r="1702" spans="14:15">
      <c r="N1702" s="455"/>
      <c r="O1702" s="455"/>
    </row>
    <row r="1703" spans="14:15">
      <c r="N1703" s="455"/>
      <c r="O1703" s="455"/>
    </row>
    <row r="1704" spans="14:15">
      <c r="N1704" s="455"/>
      <c r="O1704" s="455"/>
    </row>
    <row r="1705" spans="14:15">
      <c r="N1705" s="455"/>
      <c r="O1705" s="455"/>
    </row>
    <row r="1706" spans="14:15">
      <c r="N1706" s="455"/>
      <c r="O1706" s="455"/>
    </row>
    <row r="1707" spans="14:15">
      <c r="N1707" s="455"/>
      <c r="O1707" s="455"/>
    </row>
    <row r="1708" spans="14:15">
      <c r="N1708" s="455"/>
      <c r="O1708" s="455"/>
    </row>
    <row r="1709" spans="14:15">
      <c r="N1709" s="455"/>
      <c r="O1709" s="455"/>
    </row>
    <row r="1710" spans="14:15">
      <c r="N1710" s="455"/>
      <c r="O1710" s="455"/>
    </row>
    <row r="1711" spans="14:15">
      <c r="N1711" s="455"/>
      <c r="O1711" s="455"/>
    </row>
    <row r="1712" spans="14:15">
      <c r="N1712" s="455"/>
      <c r="O1712" s="455"/>
    </row>
    <row r="1713" spans="14:15">
      <c r="N1713" s="455"/>
      <c r="O1713" s="455"/>
    </row>
    <row r="1714" spans="14:15">
      <c r="N1714" s="455"/>
      <c r="O1714" s="455"/>
    </row>
    <row r="1715" spans="14:15">
      <c r="N1715" s="455"/>
      <c r="O1715" s="455"/>
    </row>
    <row r="1716" spans="14:15">
      <c r="N1716" s="455"/>
      <c r="O1716" s="455"/>
    </row>
    <row r="1717" spans="14:15">
      <c r="N1717" s="455"/>
      <c r="O1717" s="455"/>
    </row>
    <row r="1718" spans="14:15">
      <c r="N1718" s="455"/>
      <c r="O1718" s="455"/>
    </row>
    <row r="1719" spans="14:15">
      <c r="N1719" s="455"/>
      <c r="O1719" s="455"/>
    </row>
    <row r="1720" spans="14:15">
      <c r="N1720" s="455"/>
      <c r="O1720" s="455"/>
    </row>
    <row r="1721" spans="14:15">
      <c r="N1721" s="455"/>
      <c r="O1721" s="455"/>
    </row>
    <row r="1722" spans="14:15">
      <c r="N1722" s="455"/>
      <c r="O1722" s="455"/>
    </row>
    <row r="1723" spans="14:15">
      <c r="N1723" s="455"/>
      <c r="O1723" s="455"/>
    </row>
    <row r="1724" spans="14:15">
      <c r="N1724" s="455"/>
      <c r="O1724" s="455"/>
    </row>
    <row r="1725" spans="14:15">
      <c r="N1725" s="455"/>
      <c r="O1725" s="455"/>
    </row>
    <row r="1726" spans="14:15">
      <c r="N1726" s="455"/>
      <c r="O1726" s="455"/>
    </row>
    <row r="1727" spans="14:15">
      <c r="N1727" s="455"/>
      <c r="O1727" s="455"/>
    </row>
    <row r="1728" spans="14:15">
      <c r="N1728" s="455"/>
      <c r="O1728" s="455"/>
    </row>
    <row r="1729" spans="14:15">
      <c r="N1729" s="455"/>
      <c r="O1729" s="455"/>
    </row>
    <row r="1730" spans="14:15">
      <c r="N1730" s="455"/>
      <c r="O1730" s="455"/>
    </row>
    <row r="1731" spans="14:15">
      <c r="N1731" s="455"/>
      <c r="O1731" s="455"/>
    </row>
    <row r="1732" spans="14:15">
      <c r="N1732" s="455"/>
      <c r="O1732" s="455"/>
    </row>
    <row r="1733" spans="14:15">
      <c r="N1733" s="455"/>
      <c r="O1733" s="455"/>
    </row>
    <row r="1734" spans="14:15">
      <c r="N1734" s="455"/>
      <c r="O1734" s="455"/>
    </row>
    <row r="1735" spans="14:15">
      <c r="N1735" s="455"/>
      <c r="O1735" s="455"/>
    </row>
    <row r="1736" spans="14:15">
      <c r="N1736" s="455"/>
      <c r="O1736" s="455"/>
    </row>
    <row r="1737" spans="14:15">
      <c r="N1737" s="455"/>
      <c r="O1737" s="455"/>
    </row>
    <row r="1738" spans="14:15">
      <c r="N1738" s="455"/>
      <c r="O1738" s="455"/>
    </row>
    <row r="1739" spans="14:15">
      <c r="N1739" s="455"/>
      <c r="O1739" s="455"/>
    </row>
    <row r="1740" spans="14:15">
      <c r="N1740" s="455"/>
      <c r="O1740" s="455"/>
    </row>
    <row r="1741" spans="14:15">
      <c r="N1741" s="455"/>
      <c r="O1741" s="455"/>
    </row>
    <row r="1742" spans="14:15">
      <c r="N1742" s="455"/>
      <c r="O1742" s="455"/>
    </row>
    <row r="1743" spans="14:15">
      <c r="N1743" s="455"/>
      <c r="O1743" s="455"/>
    </row>
    <row r="1744" spans="14:15">
      <c r="N1744" s="455"/>
      <c r="O1744" s="455"/>
    </row>
    <row r="1745" spans="14:15">
      <c r="N1745" s="455"/>
      <c r="O1745" s="455"/>
    </row>
    <row r="1746" spans="14:15">
      <c r="N1746" s="455"/>
      <c r="O1746" s="455"/>
    </row>
    <row r="1747" spans="14:15">
      <c r="N1747" s="455"/>
      <c r="O1747" s="455"/>
    </row>
    <row r="1748" spans="14:15">
      <c r="N1748" s="455"/>
      <c r="O1748" s="455"/>
    </row>
    <row r="1749" spans="14:15">
      <c r="N1749" s="455"/>
      <c r="O1749" s="455"/>
    </row>
    <row r="1750" spans="14:15">
      <c r="N1750" s="455"/>
      <c r="O1750" s="455"/>
    </row>
    <row r="1751" spans="14:15">
      <c r="N1751" s="455"/>
      <c r="O1751" s="455"/>
    </row>
    <row r="1752" spans="14:15">
      <c r="N1752" s="455"/>
      <c r="O1752" s="455"/>
    </row>
    <row r="1753" spans="14:15">
      <c r="N1753" s="455"/>
      <c r="O1753" s="455"/>
    </row>
    <row r="1754" spans="14:15">
      <c r="N1754" s="455"/>
      <c r="O1754" s="455"/>
    </row>
    <row r="1755" spans="14:15">
      <c r="N1755" s="455"/>
      <c r="O1755" s="455"/>
    </row>
    <row r="1756" spans="14:15">
      <c r="N1756" s="455"/>
      <c r="O1756" s="455"/>
    </row>
    <row r="1757" spans="14:15">
      <c r="N1757" s="455"/>
      <c r="O1757" s="455"/>
    </row>
    <row r="1758" spans="14:15">
      <c r="N1758" s="455"/>
      <c r="O1758" s="455"/>
    </row>
    <row r="1759" spans="14:15">
      <c r="N1759" s="455"/>
      <c r="O1759" s="455"/>
    </row>
    <row r="1760" spans="14:15">
      <c r="N1760" s="455"/>
      <c r="O1760" s="455"/>
    </row>
    <row r="1761" spans="14:15">
      <c r="N1761" s="455"/>
      <c r="O1761" s="455"/>
    </row>
    <row r="1762" spans="14:15">
      <c r="N1762" s="455"/>
      <c r="O1762" s="455"/>
    </row>
    <row r="1763" spans="14:15">
      <c r="N1763" s="455"/>
      <c r="O1763" s="455"/>
    </row>
    <row r="1764" spans="14:15">
      <c r="N1764" s="455"/>
      <c r="O1764" s="455"/>
    </row>
    <row r="1765" spans="14:15">
      <c r="N1765" s="455"/>
      <c r="O1765" s="455"/>
    </row>
    <row r="1766" spans="14:15">
      <c r="N1766" s="455"/>
      <c r="O1766" s="455"/>
    </row>
    <row r="1767" spans="14:15">
      <c r="N1767" s="455"/>
      <c r="O1767" s="455"/>
    </row>
    <row r="1768" spans="14:15">
      <c r="N1768" s="455"/>
      <c r="O1768" s="455"/>
    </row>
    <row r="1769" spans="14:15">
      <c r="N1769" s="455"/>
      <c r="O1769" s="455"/>
    </row>
    <row r="1770" spans="14:15">
      <c r="N1770" s="455"/>
      <c r="O1770" s="455"/>
    </row>
    <row r="1771" spans="14:15">
      <c r="N1771" s="455"/>
      <c r="O1771" s="455"/>
    </row>
    <row r="1772" spans="14:15">
      <c r="N1772" s="455"/>
      <c r="O1772" s="455"/>
    </row>
    <row r="1773" spans="14:15">
      <c r="N1773" s="455"/>
      <c r="O1773" s="455"/>
    </row>
    <row r="1774" spans="14:15">
      <c r="N1774" s="455"/>
      <c r="O1774" s="455"/>
    </row>
    <row r="1775" spans="14:15">
      <c r="N1775" s="455"/>
      <c r="O1775" s="455"/>
    </row>
    <row r="1776" spans="14:15">
      <c r="N1776" s="455"/>
      <c r="O1776" s="455"/>
    </row>
    <row r="1777" spans="14:15">
      <c r="N1777" s="455"/>
      <c r="O1777" s="455"/>
    </row>
    <row r="1778" spans="14:15">
      <c r="N1778" s="455"/>
      <c r="O1778" s="455"/>
    </row>
    <row r="1779" spans="14:15">
      <c r="N1779" s="455"/>
      <c r="O1779" s="455"/>
    </row>
    <row r="1780" spans="14:15">
      <c r="N1780" s="455"/>
      <c r="O1780" s="455"/>
    </row>
    <row r="1781" spans="14:15">
      <c r="N1781" s="455"/>
      <c r="O1781" s="455"/>
    </row>
    <row r="1782" spans="14:15">
      <c r="N1782" s="455"/>
      <c r="O1782" s="455"/>
    </row>
    <row r="1783" spans="14:15">
      <c r="N1783" s="455"/>
      <c r="O1783" s="455"/>
    </row>
    <row r="1784" spans="14:15">
      <c r="N1784" s="455"/>
      <c r="O1784" s="455"/>
    </row>
    <row r="1785" spans="14:15">
      <c r="N1785" s="455"/>
      <c r="O1785" s="455"/>
    </row>
    <row r="1786" spans="14:15">
      <c r="N1786" s="455"/>
      <c r="O1786" s="455"/>
    </row>
    <row r="1787" spans="14:15">
      <c r="N1787" s="455"/>
      <c r="O1787" s="455"/>
    </row>
    <row r="1788" spans="14:15">
      <c r="N1788" s="455"/>
      <c r="O1788" s="455"/>
    </row>
    <row r="1789" spans="14:15">
      <c r="N1789" s="455"/>
      <c r="O1789" s="455"/>
    </row>
    <row r="1790" spans="14:15">
      <c r="N1790" s="455"/>
      <c r="O1790" s="455"/>
    </row>
    <row r="1791" spans="14:15">
      <c r="N1791" s="455"/>
      <c r="O1791" s="455"/>
    </row>
    <row r="1792" spans="14:15">
      <c r="N1792" s="455"/>
      <c r="O1792" s="455"/>
    </row>
    <row r="1793" spans="14:15">
      <c r="N1793" s="455"/>
      <c r="O1793" s="455"/>
    </row>
    <row r="1794" spans="14:15">
      <c r="N1794" s="455"/>
      <c r="O1794" s="455"/>
    </row>
    <row r="1795" spans="14:15">
      <c r="N1795" s="455"/>
      <c r="O1795" s="455"/>
    </row>
    <row r="1796" spans="14:15">
      <c r="N1796" s="455"/>
      <c r="O1796" s="455"/>
    </row>
    <row r="1797" spans="14:15">
      <c r="N1797" s="455"/>
      <c r="O1797" s="455"/>
    </row>
    <row r="1798" spans="14:15">
      <c r="N1798" s="455"/>
      <c r="O1798" s="455"/>
    </row>
    <row r="1799" spans="14:15">
      <c r="N1799" s="455"/>
      <c r="O1799" s="455"/>
    </row>
    <row r="1800" spans="14:15">
      <c r="N1800" s="455"/>
      <c r="O1800" s="455"/>
    </row>
    <row r="1801" spans="14:15">
      <c r="N1801" s="455"/>
      <c r="O1801" s="455"/>
    </row>
    <row r="1802" spans="14:15">
      <c r="N1802" s="455"/>
      <c r="O1802" s="455"/>
    </row>
    <row r="1803" spans="14:15">
      <c r="N1803" s="455"/>
      <c r="O1803" s="455"/>
    </row>
    <row r="1804" spans="14:15">
      <c r="N1804" s="455"/>
      <c r="O1804" s="455"/>
    </row>
    <row r="1805" spans="14:15">
      <c r="N1805" s="455"/>
      <c r="O1805" s="455"/>
    </row>
    <row r="1806" spans="14:15">
      <c r="N1806" s="455"/>
      <c r="O1806" s="455"/>
    </row>
    <row r="1807" spans="14:15">
      <c r="N1807" s="455"/>
      <c r="O1807" s="455"/>
    </row>
    <row r="1808" spans="14:15">
      <c r="N1808" s="455"/>
      <c r="O1808" s="455"/>
    </row>
    <row r="1809" spans="14:15">
      <c r="N1809" s="455"/>
      <c r="O1809" s="455"/>
    </row>
    <row r="1810" spans="14:15">
      <c r="N1810" s="455"/>
      <c r="O1810" s="455"/>
    </row>
    <row r="1811" spans="14:15">
      <c r="N1811" s="455"/>
      <c r="O1811" s="455"/>
    </row>
    <row r="1812" spans="14:15">
      <c r="N1812" s="455"/>
      <c r="O1812" s="455"/>
    </row>
    <row r="1813" spans="14:15">
      <c r="N1813" s="455"/>
      <c r="O1813" s="455"/>
    </row>
    <row r="1814" spans="14:15">
      <c r="N1814" s="455"/>
      <c r="O1814" s="455"/>
    </row>
    <row r="1815" spans="14:15">
      <c r="N1815" s="455"/>
      <c r="O1815" s="455"/>
    </row>
    <row r="1816" spans="14:15">
      <c r="N1816" s="455"/>
      <c r="O1816" s="455"/>
    </row>
    <row r="1817" spans="14:15">
      <c r="N1817" s="455"/>
      <c r="O1817" s="455"/>
    </row>
    <row r="1818" spans="14:15">
      <c r="N1818" s="455"/>
      <c r="O1818" s="455"/>
    </row>
    <row r="1819" spans="14:15">
      <c r="N1819" s="455"/>
      <c r="O1819" s="455"/>
    </row>
    <row r="1820" spans="14:15">
      <c r="N1820" s="455"/>
      <c r="O1820" s="455"/>
    </row>
    <row r="1821" spans="14:15">
      <c r="N1821" s="455"/>
      <c r="O1821" s="455"/>
    </row>
    <row r="1822" spans="14:15">
      <c r="N1822" s="455"/>
      <c r="O1822" s="455"/>
    </row>
    <row r="1823" spans="14:15">
      <c r="N1823" s="455"/>
      <c r="O1823" s="455"/>
    </row>
    <row r="1824" spans="14:15">
      <c r="N1824" s="455"/>
      <c r="O1824" s="455"/>
    </row>
    <row r="1825" spans="14:15">
      <c r="N1825" s="455"/>
      <c r="O1825" s="455"/>
    </row>
    <row r="1826" spans="14:15">
      <c r="N1826" s="455"/>
      <c r="O1826" s="455"/>
    </row>
    <row r="1827" spans="14:15">
      <c r="N1827" s="455"/>
      <c r="O1827" s="455"/>
    </row>
    <row r="1828" spans="14:15">
      <c r="N1828" s="455"/>
      <c r="O1828" s="455"/>
    </row>
    <row r="1829" spans="14:15">
      <c r="N1829" s="455"/>
      <c r="O1829" s="455"/>
    </row>
    <row r="1830" spans="14:15">
      <c r="N1830" s="455"/>
      <c r="O1830" s="455"/>
    </row>
    <row r="1831" spans="14:15">
      <c r="N1831" s="455"/>
      <c r="O1831" s="455"/>
    </row>
    <row r="1832" spans="14:15">
      <c r="N1832" s="455"/>
      <c r="O1832" s="455"/>
    </row>
    <row r="1833" spans="14:15">
      <c r="N1833" s="455"/>
      <c r="O1833" s="455"/>
    </row>
    <row r="1834" spans="14:15">
      <c r="N1834" s="455"/>
      <c r="O1834" s="455"/>
    </row>
    <row r="1835" spans="14:15">
      <c r="N1835" s="455"/>
      <c r="O1835" s="455"/>
    </row>
    <row r="1836" spans="14:15">
      <c r="N1836" s="455"/>
      <c r="O1836" s="455"/>
    </row>
    <row r="1837" spans="14:15">
      <c r="N1837" s="455"/>
      <c r="O1837" s="455"/>
    </row>
    <row r="1838" spans="14:15">
      <c r="N1838" s="455"/>
      <c r="O1838" s="455"/>
    </row>
    <row r="1839" spans="14:15">
      <c r="N1839" s="455"/>
      <c r="O1839" s="455"/>
    </row>
    <row r="1840" spans="14:15">
      <c r="N1840" s="455"/>
      <c r="O1840" s="455"/>
    </row>
    <row r="1841" spans="14:15">
      <c r="N1841" s="455"/>
      <c r="O1841" s="455"/>
    </row>
    <row r="1842" spans="14:15">
      <c r="N1842" s="455"/>
      <c r="O1842" s="455"/>
    </row>
    <row r="1843" spans="14:15">
      <c r="N1843" s="455"/>
      <c r="O1843" s="455"/>
    </row>
    <row r="1844" spans="14:15">
      <c r="N1844" s="455"/>
      <c r="O1844" s="455"/>
    </row>
    <row r="1845" spans="14:15">
      <c r="N1845" s="455"/>
      <c r="O1845" s="455"/>
    </row>
    <row r="1846" spans="14:15">
      <c r="N1846" s="455"/>
      <c r="O1846" s="455"/>
    </row>
    <row r="1847" spans="14:15">
      <c r="N1847" s="455"/>
      <c r="O1847" s="455"/>
    </row>
    <row r="1848" spans="14:15">
      <c r="N1848" s="455"/>
      <c r="O1848" s="455"/>
    </row>
    <row r="1849" spans="14:15">
      <c r="N1849" s="455"/>
      <c r="O1849" s="455"/>
    </row>
    <row r="1850" spans="14:15">
      <c r="N1850" s="455"/>
      <c r="O1850" s="455"/>
    </row>
    <row r="1851" spans="14:15">
      <c r="N1851" s="455"/>
      <c r="O1851" s="455"/>
    </row>
    <row r="1852" spans="14:15">
      <c r="N1852" s="455"/>
      <c r="O1852" s="455"/>
    </row>
    <row r="1853" spans="14:15">
      <c r="N1853" s="455"/>
      <c r="O1853" s="455"/>
    </row>
    <row r="1854" spans="14:15">
      <c r="N1854" s="455"/>
      <c r="O1854" s="455"/>
    </row>
    <row r="1855" spans="14:15">
      <c r="N1855" s="455"/>
      <c r="O1855" s="455"/>
    </row>
    <row r="1856" spans="14:15">
      <c r="N1856" s="455"/>
      <c r="O1856" s="455"/>
    </row>
    <row r="1857" spans="14:15">
      <c r="N1857" s="455"/>
      <c r="O1857" s="455"/>
    </row>
    <row r="1858" spans="14:15">
      <c r="N1858" s="455"/>
      <c r="O1858" s="455"/>
    </row>
    <row r="1859" spans="14:15">
      <c r="N1859" s="455"/>
      <c r="O1859" s="455"/>
    </row>
    <row r="1860" spans="14:15">
      <c r="N1860" s="455"/>
      <c r="O1860" s="455"/>
    </row>
    <row r="1861" spans="14:15">
      <c r="N1861" s="455"/>
      <c r="O1861" s="455"/>
    </row>
    <row r="1862" spans="14:15">
      <c r="N1862" s="455"/>
      <c r="O1862" s="455"/>
    </row>
    <row r="1863" spans="14:15">
      <c r="N1863" s="455"/>
      <c r="O1863" s="455"/>
    </row>
    <row r="1864" spans="14:15">
      <c r="N1864" s="455"/>
      <c r="O1864" s="455"/>
    </row>
    <row r="1865" spans="14:15">
      <c r="N1865" s="455"/>
      <c r="O1865" s="455"/>
    </row>
    <row r="1866" spans="14:15">
      <c r="N1866" s="455"/>
      <c r="O1866" s="455"/>
    </row>
    <row r="1867" spans="14:15">
      <c r="N1867" s="455"/>
      <c r="O1867" s="455"/>
    </row>
    <row r="1868" spans="14:15">
      <c r="N1868" s="455"/>
      <c r="O1868" s="455"/>
    </row>
    <row r="1869" spans="14:15">
      <c r="N1869" s="455"/>
      <c r="O1869" s="455"/>
    </row>
    <row r="1870" spans="14:15">
      <c r="N1870" s="455"/>
      <c r="O1870" s="455"/>
    </row>
    <row r="1871" spans="14:15">
      <c r="N1871" s="455"/>
      <c r="O1871" s="455"/>
    </row>
    <row r="1872" spans="14:15">
      <c r="N1872" s="455"/>
      <c r="O1872" s="455"/>
    </row>
    <row r="1873" spans="14:15">
      <c r="N1873" s="455"/>
      <c r="O1873" s="455"/>
    </row>
    <row r="1874" spans="14:15">
      <c r="N1874" s="455"/>
      <c r="O1874" s="455"/>
    </row>
    <row r="1875" spans="14:15">
      <c r="N1875" s="455"/>
      <c r="O1875" s="455"/>
    </row>
    <row r="1876" spans="14:15">
      <c r="N1876" s="455"/>
      <c r="O1876" s="455"/>
    </row>
    <row r="1877" spans="14:15">
      <c r="N1877" s="455"/>
      <c r="O1877" s="455"/>
    </row>
    <row r="1878" spans="14:15">
      <c r="N1878" s="455"/>
      <c r="O1878" s="455"/>
    </row>
    <row r="1879" spans="14:15">
      <c r="N1879" s="455"/>
      <c r="O1879" s="455"/>
    </row>
    <row r="1880" spans="14:15">
      <c r="N1880" s="455"/>
      <c r="O1880" s="455"/>
    </row>
    <row r="1881" spans="14:15">
      <c r="N1881" s="455"/>
      <c r="O1881" s="455"/>
    </row>
    <row r="1882" spans="14:15">
      <c r="N1882" s="455"/>
      <c r="O1882" s="455"/>
    </row>
    <row r="1883" spans="14:15">
      <c r="N1883" s="455"/>
      <c r="O1883" s="455"/>
    </row>
    <row r="1884" spans="14:15">
      <c r="N1884" s="455"/>
      <c r="O1884" s="455"/>
    </row>
    <row r="1885" spans="14:15">
      <c r="N1885" s="455"/>
      <c r="O1885" s="455"/>
    </row>
    <row r="1886" spans="14:15">
      <c r="N1886" s="455"/>
      <c r="O1886" s="455"/>
    </row>
    <row r="1887" spans="14:15">
      <c r="N1887" s="455"/>
      <c r="O1887" s="455"/>
    </row>
    <row r="1888" spans="14:15">
      <c r="N1888" s="455"/>
      <c r="O1888" s="455"/>
    </row>
    <row r="1889" spans="14:15">
      <c r="N1889" s="455"/>
      <c r="O1889" s="455"/>
    </row>
    <row r="1890" spans="14:15">
      <c r="N1890" s="455"/>
      <c r="O1890" s="455"/>
    </row>
    <row r="1891" spans="14:15">
      <c r="N1891" s="455"/>
      <c r="O1891" s="455"/>
    </row>
    <row r="1892" spans="14:15">
      <c r="N1892" s="455"/>
      <c r="O1892" s="455"/>
    </row>
    <row r="1893" spans="14:15">
      <c r="N1893" s="455"/>
      <c r="O1893" s="455"/>
    </row>
    <row r="1894" spans="14:15">
      <c r="N1894" s="455"/>
      <c r="O1894" s="455"/>
    </row>
    <row r="1895" spans="14:15">
      <c r="N1895" s="455"/>
      <c r="O1895" s="455"/>
    </row>
    <row r="1896" spans="14:15">
      <c r="N1896" s="455"/>
      <c r="O1896" s="455"/>
    </row>
    <row r="1897" spans="14:15">
      <c r="N1897" s="455"/>
      <c r="O1897" s="455"/>
    </row>
    <row r="1898" spans="14:15">
      <c r="N1898" s="455"/>
      <c r="O1898" s="455"/>
    </row>
    <row r="1899" spans="14:15">
      <c r="N1899" s="455"/>
      <c r="O1899" s="455"/>
    </row>
    <row r="1900" spans="14:15">
      <c r="N1900" s="455"/>
      <c r="O1900" s="455"/>
    </row>
    <row r="1901" spans="14:15">
      <c r="N1901" s="455"/>
      <c r="O1901" s="455"/>
    </row>
    <row r="1902" spans="14:15">
      <c r="N1902" s="455"/>
      <c r="O1902" s="455"/>
    </row>
    <row r="1903" spans="14:15">
      <c r="N1903" s="455"/>
      <c r="O1903" s="455"/>
    </row>
    <row r="1904" spans="14:15">
      <c r="N1904" s="455"/>
      <c r="O1904" s="455"/>
    </row>
    <row r="1905" spans="14:15">
      <c r="N1905" s="455"/>
      <c r="O1905" s="455"/>
    </row>
    <row r="1906" spans="14:15">
      <c r="N1906" s="455"/>
      <c r="O1906" s="455"/>
    </row>
    <row r="1907" spans="14:15">
      <c r="N1907" s="455"/>
      <c r="O1907" s="455"/>
    </row>
    <row r="1908" spans="14:15">
      <c r="N1908" s="455"/>
      <c r="O1908" s="455"/>
    </row>
    <row r="1909" spans="14:15">
      <c r="N1909" s="455"/>
      <c r="O1909" s="455"/>
    </row>
    <row r="1910" spans="14:15">
      <c r="N1910" s="455"/>
      <c r="O1910" s="455"/>
    </row>
    <row r="1911" spans="14:15">
      <c r="N1911" s="455"/>
      <c r="O1911" s="455"/>
    </row>
    <row r="1912" spans="14:15">
      <c r="N1912" s="455"/>
      <c r="O1912" s="455"/>
    </row>
    <row r="1913" spans="14:15">
      <c r="N1913" s="455"/>
      <c r="O1913" s="455"/>
    </row>
    <row r="1914" spans="14:15">
      <c r="N1914" s="455"/>
      <c r="O1914" s="455"/>
    </row>
    <row r="1915" spans="14:15">
      <c r="N1915" s="455"/>
      <c r="O1915" s="455"/>
    </row>
    <row r="1916" spans="14:15">
      <c r="N1916" s="455"/>
      <c r="O1916" s="455"/>
    </row>
    <row r="1917" spans="14:15">
      <c r="N1917" s="455"/>
      <c r="O1917" s="455"/>
    </row>
    <row r="1918" spans="14:15">
      <c r="N1918" s="455"/>
      <c r="O1918" s="455"/>
    </row>
    <row r="1919" spans="14:15">
      <c r="N1919" s="455"/>
      <c r="O1919" s="455"/>
    </row>
    <row r="1920" spans="14:15">
      <c r="N1920" s="455"/>
      <c r="O1920" s="455"/>
    </row>
    <row r="1921" spans="14:15">
      <c r="N1921" s="455"/>
      <c r="O1921" s="455"/>
    </row>
    <row r="1922" spans="14:15">
      <c r="N1922" s="455"/>
      <c r="O1922" s="455"/>
    </row>
    <row r="1923" spans="14:15">
      <c r="N1923" s="455"/>
      <c r="O1923" s="455"/>
    </row>
    <row r="1924" spans="14:15">
      <c r="N1924" s="455"/>
      <c r="O1924" s="455"/>
    </row>
    <row r="1925" spans="14:15">
      <c r="N1925" s="455"/>
      <c r="O1925" s="455"/>
    </row>
    <row r="1926" spans="14:15">
      <c r="N1926" s="455"/>
      <c r="O1926" s="455"/>
    </row>
    <row r="1927" spans="14:15">
      <c r="N1927" s="455"/>
      <c r="O1927" s="455"/>
    </row>
    <row r="1928" spans="14:15">
      <c r="N1928" s="455"/>
      <c r="O1928" s="455"/>
    </row>
    <row r="1929" spans="14:15">
      <c r="N1929" s="455"/>
      <c r="O1929" s="455"/>
    </row>
    <row r="1930" spans="14:15">
      <c r="N1930" s="455"/>
      <c r="O1930" s="455"/>
    </row>
    <row r="1931" spans="14:15">
      <c r="N1931" s="455"/>
      <c r="O1931" s="455"/>
    </row>
    <row r="1932" spans="14:15">
      <c r="N1932" s="455"/>
      <c r="O1932" s="455"/>
    </row>
    <row r="1933" spans="14:15">
      <c r="N1933" s="455"/>
      <c r="O1933" s="455"/>
    </row>
    <row r="1934" spans="14:15">
      <c r="N1934" s="455"/>
      <c r="O1934" s="455"/>
    </row>
    <row r="1935" spans="14:15">
      <c r="N1935" s="455"/>
      <c r="O1935" s="455"/>
    </row>
    <row r="1936" spans="14:15">
      <c r="N1936" s="455"/>
      <c r="O1936" s="455"/>
    </row>
    <row r="1937" spans="14:15">
      <c r="N1937" s="455"/>
      <c r="O1937" s="455"/>
    </row>
    <row r="1938" spans="14:15">
      <c r="N1938" s="455"/>
      <c r="O1938" s="455"/>
    </row>
    <row r="1939" spans="14:15">
      <c r="N1939" s="455"/>
      <c r="O1939" s="455"/>
    </row>
    <row r="1940" spans="14:15">
      <c r="N1940" s="455"/>
      <c r="O1940" s="455"/>
    </row>
    <row r="1941" spans="14:15">
      <c r="N1941" s="455"/>
      <c r="O1941" s="455"/>
    </row>
    <row r="1942" spans="14:15">
      <c r="N1942" s="455"/>
      <c r="O1942" s="455"/>
    </row>
    <row r="1943" spans="14:15">
      <c r="N1943" s="455"/>
      <c r="O1943" s="455"/>
    </row>
    <row r="1944" spans="14:15">
      <c r="N1944" s="455"/>
      <c r="O1944" s="455"/>
    </row>
    <row r="1945" spans="14:15">
      <c r="N1945" s="455"/>
      <c r="O1945" s="455"/>
    </row>
    <row r="1946" spans="14:15">
      <c r="N1946" s="455"/>
      <c r="O1946" s="455"/>
    </row>
    <row r="1947" spans="14:15">
      <c r="N1947" s="455"/>
      <c r="O1947" s="455"/>
    </row>
    <row r="1948" spans="14:15">
      <c r="N1948" s="455"/>
      <c r="O1948" s="455"/>
    </row>
    <row r="1949" spans="14:15">
      <c r="N1949" s="455"/>
      <c r="O1949" s="455"/>
    </row>
    <row r="1950" spans="14:15">
      <c r="N1950" s="455"/>
      <c r="O1950" s="455"/>
    </row>
    <row r="1951" spans="14:15">
      <c r="N1951" s="455"/>
      <c r="O1951" s="455"/>
    </row>
    <row r="1952" spans="14:15">
      <c r="N1952" s="455"/>
      <c r="O1952" s="455"/>
    </row>
    <row r="1953" spans="14:15">
      <c r="N1953" s="455"/>
      <c r="O1953" s="455"/>
    </row>
    <row r="1954" spans="14:15">
      <c r="N1954" s="455"/>
      <c r="O1954" s="455"/>
    </row>
    <row r="1955" spans="14:15">
      <c r="N1955" s="455"/>
      <c r="O1955" s="455"/>
    </row>
    <row r="1956" spans="14:15">
      <c r="N1956" s="455"/>
      <c r="O1956" s="455"/>
    </row>
    <row r="1957" spans="14:15">
      <c r="N1957" s="455"/>
      <c r="O1957" s="455"/>
    </row>
    <row r="1958" spans="14:15">
      <c r="N1958" s="455"/>
      <c r="O1958" s="455"/>
    </row>
    <row r="1959" spans="14:15">
      <c r="N1959" s="455"/>
      <c r="O1959" s="455"/>
    </row>
    <row r="1960" spans="14:15">
      <c r="N1960" s="455"/>
      <c r="O1960" s="455"/>
    </row>
    <row r="1961" spans="14:15">
      <c r="N1961" s="455"/>
      <c r="O1961" s="455"/>
    </row>
    <row r="1962" spans="14:15">
      <c r="N1962" s="455"/>
      <c r="O1962" s="455"/>
    </row>
    <row r="1963" spans="14:15">
      <c r="N1963" s="455"/>
      <c r="O1963" s="455"/>
    </row>
    <row r="1964" spans="14:15">
      <c r="N1964" s="455"/>
      <c r="O1964" s="455"/>
    </row>
    <row r="1965" spans="14:15">
      <c r="N1965" s="455"/>
      <c r="O1965" s="455"/>
    </row>
    <row r="1966" spans="14:15">
      <c r="N1966" s="455"/>
      <c r="O1966" s="455"/>
    </row>
    <row r="1967" spans="14:15">
      <c r="N1967" s="455"/>
      <c r="O1967" s="455"/>
    </row>
    <row r="1968" spans="14:15">
      <c r="N1968" s="455"/>
      <c r="O1968" s="455"/>
    </row>
    <row r="1969" spans="14:15">
      <c r="N1969" s="455"/>
      <c r="O1969" s="455"/>
    </row>
    <row r="1970" spans="14:15">
      <c r="N1970" s="455"/>
      <c r="O1970" s="455"/>
    </row>
    <row r="1971" spans="14:15">
      <c r="N1971" s="455"/>
      <c r="O1971" s="455"/>
    </row>
    <row r="1972" spans="14:15">
      <c r="N1972" s="455"/>
      <c r="O1972" s="455"/>
    </row>
    <row r="1973" spans="14:15">
      <c r="N1973" s="455"/>
      <c r="O1973" s="455"/>
    </row>
    <row r="1974" spans="14:15">
      <c r="N1974" s="455"/>
      <c r="O1974" s="455"/>
    </row>
    <row r="1975" spans="14:15">
      <c r="N1975" s="455"/>
      <c r="O1975" s="455"/>
    </row>
    <row r="1976" spans="14:15">
      <c r="N1976" s="455"/>
      <c r="O1976" s="455"/>
    </row>
    <row r="1977" spans="14:15">
      <c r="N1977" s="455"/>
      <c r="O1977" s="455"/>
    </row>
    <row r="1978" spans="14:15">
      <c r="N1978" s="455"/>
      <c r="O1978" s="455"/>
    </row>
    <row r="1979" spans="14:15">
      <c r="N1979" s="455"/>
      <c r="O1979" s="455"/>
    </row>
    <row r="1980" spans="14:15">
      <c r="N1980" s="455"/>
      <c r="O1980" s="455"/>
    </row>
    <row r="1981" spans="14:15">
      <c r="N1981" s="455"/>
      <c r="O1981" s="455"/>
    </row>
    <row r="1982" spans="14:15">
      <c r="N1982" s="455"/>
      <c r="O1982" s="455"/>
    </row>
    <row r="1983" spans="14:15">
      <c r="N1983" s="455"/>
      <c r="O1983" s="455"/>
    </row>
    <row r="1984" spans="14:15">
      <c r="N1984" s="455"/>
      <c r="O1984" s="455"/>
    </row>
    <row r="1985" spans="14:15">
      <c r="N1985" s="455"/>
      <c r="O1985" s="455"/>
    </row>
    <row r="1986" spans="14:15">
      <c r="N1986" s="455"/>
      <c r="O1986" s="455"/>
    </row>
    <row r="1987" spans="14:15">
      <c r="N1987" s="455"/>
      <c r="O1987" s="455"/>
    </row>
    <row r="1988" spans="14:15">
      <c r="N1988" s="455"/>
      <c r="O1988" s="455"/>
    </row>
    <row r="1989" spans="14:15">
      <c r="N1989" s="455"/>
      <c r="O1989" s="455"/>
    </row>
    <row r="1990" spans="14:15">
      <c r="N1990" s="455"/>
      <c r="O1990" s="455"/>
    </row>
    <row r="1991" spans="14:15">
      <c r="N1991" s="455"/>
      <c r="O1991" s="455"/>
    </row>
    <row r="1992" spans="14:15">
      <c r="N1992" s="455"/>
      <c r="O1992" s="455"/>
    </row>
    <row r="1993" spans="14:15">
      <c r="N1993" s="455"/>
      <c r="O1993" s="455"/>
    </row>
    <row r="1994" spans="14:15">
      <c r="N1994" s="455"/>
      <c r="O1994" s="455"/>
    </row>
    <row r="1995" spans="14:15">
      <c r="N1995" s="455"/>
      <c r="O1995" s="455"/>
    </row>
    <row r="1996" spans="14:15">
      <c r="N1996" s="455"/>
      <c r="O1996" s="455"/>
    </row>
    <row r="1997" spans="14:15">
      <c r="N1997" s="455"/>
      <c r="O1997" s="455"/>
    </row>
    <row r="1998" spans="14:15">
      <c r="N1998" s="455"/>
      <c r="O1998" s="455"/>
    </row>
    <row r="1999" spans="14:15">
      <c r="N1999" s="455"/>
      <c r="O1999" s="455"/>
    </row>
    <row r="2000" spans="14:15">
      <c r="N2000" s="455"/>
      <c r="O2000" s="455"/>
    </row>
    <row r="2001" spans="14:15">
      <c r="N2001" s="455"/>
      <c r="O2001" s="455"/>
    </row>
    <row r="2002" spans="14:15">
      <c r="N2002" s="455"/>
      <c r="O2002" s="455"/>
    </row>
    <row r="2003" spans="14:15">
      <c r="N2003" s="455"/>
      <c r="O2003" s="455"/>
    </row>
    <row r="2004" spans="14:15">
      <c r="N2004" s="455"/>
      <c r="O2004" s="455"/>
    </row>
    <row r="2005" spans="14:15">
      <c r="N2005" s="455"/>
      <c r="O2005" s="455"/>
    </row>
    <row r="2006" spans="14:15">
      <c r="N2006" s="455"/>
      <c r="O2006" s="455"/>
    </row>
    <row r="2007" spans="14:15">
      <c r="N2007" s="455"/>
      <c r="O2007" s="455"/>
    </row>
    <row r="2008" spans="14:15">
      <c r="N2008" s="455"/>
      <c r="O2008" s="455"/>
    </row>
    <row r="2009" spans="14:15">
      <c r="N2009" s="455"/>
      <c r="O2009" s="455"/>
    </row>
    <row r="2010" spans="14:15">
      <c r="N2010" s="455"/>
      <c r="O2010" s="455"/>
    </row>
    <row r="2011" spans="14:15">
      <c r="N2011" s="455"/>
      <c r="O2011" s="455"/>
    </row>
    <row r="2012" spans="14:15">
      <c r="N2012" s="455"/>
      <c r="O2012" s="455"/>
    </row>
    <row r="2013" spans="14:15">
      <c r="N2013" s="455"/>
      <c r="O2013" s="455"/>
    </row>
    <row r="2014" spans="14:15">
      <c r="N2014" s="455"/>
      <c r="O2014" s="455"/>
    </row>
    <row r="2015" spans="14:15">
      <c r="N2015" s="455"/>
      <c r="O2015" s="455"/>
    </row>
    <row r="2016" spans="14:15">
      <c r="N2016" s="455"/>
      <c r="O2016" s="455"/>
    </row>
    <row r="2017" spans="14:15">
      <c r="N2017" s="455"/>
      <c r="O2017" s="455"/>
    </row>
    <row r="2018" spans="14:15">
      <c r="N2018" s="455"/>
      <c r="O2018" s="455"/>
    </row>
    <row r="2019" spans="14:15">
      <c r="N2019" s="455"/>
      <c r="O2019" s="455"/>
    </row>
    <row r="2020" spans="14:15">
      <c r="N2020" s="455"/>
      <c r="O2020" s="455"/>
    </row>
    <row r="2021" spans="14:15">
      <c r="N2021" s="455"/>
      <c r="O2021" s="455"/>
    </row>
    <row r="2022" spans="14:15">
      <c r="N2022" s="455"/>
      <c r="O2022" s="455"/>
    </row>
    <row r="2023" spans="14:15">
      <c r="N2023" s="455"/>
      <c r="O2023" s="455"/>
    </row>
    <row r="2024" spans="14:15">
      <c r="N2024" s="455"/>
      <c r="O2024" s="455"/>
    </row>
    <row r="2025" spans="14:15">
      <c r="N2025" s="455"/>
      <c r="O2025" s="455"/>
    </row>
    <row r="2026" spans="14:15">
      <c r="N2026" s="455"/>
      <c r="O2026" s="455"/>
    </row>
    <row r="2027" spans="14:15">
      <c r="N2027" s="455"/>
      <c r="O2027" s="455"/>
    </row>
    <row r="2028" spans="14:15">
      <c r="N2028" s="455"/>
      <c r="O2028" s="455"/>
    </row>
    <row r="2029" spans="14:15">
      <c r="N2029" s="455"/>
      <c r="O2029" s="455"/>
    </row>
    <row r="2030" spans="14:15">
      <c r="N2030" s="455"/>
      <c r="O2030" s="455"/>
    </row>
    <row r="2031" spans="14:15">
      <c r="N2031" s="455"/>
      <c r="O2031" s="455"/>
    </row>
    <row r="2032" spans="14:15">
      <c r="N2032" s="455"/>
      <c r="O2032" s="455"/>
    </row>
    <row r="2033" spans="14:15">
      <c r="N2033" s="455"/>
      <c r="O2033" s="455"/>
    </row>
    <row r="2034" spans="14:15">
      <c r="N2034" s="455"/>
      <c r="O2034" s="455"/>
    </row>
    <row r="2035" spans="14:15">
      <c r="N2035" s="455"/>
      <c r="O2035" s="455"/>
    </row>
    <row r="2036" spans="14:15">
      <c r="N2036" s="455"/>
      <c r="O2036" s="455"/>
    </row>
    <row r="2037" spans="14:15">
      <c r="N2037" s="455"/>
      <c r="O2037" s="455"/>
    </row>
    <row r="2038" spans="14:15">
      <c r="N2038" s="455"/>
      <c r="O2038" s="455"/>
    </row>
    <row r="2039" spans="14:15">
      <c r="N2039" s="455"/>
      <c r="O2039" s="455"/>
    </row>
    <row r="2040" spans="14:15">
      <c r="N2040" s="455"/>
      <c r="O2040" s="455"/>
    </row>
    <row r="2041" spans="14:15">
      <c r="N2041" s="455"/>
      <c r="O2041" s="455"/>
    </row>
    <row r="2042" spans="14:15">
      <c r="N2042" s="455"/>
      <c r="O2042" s="455"/>
    </row>
    <row r="2043" spans="14:15">
      <c r="N2043" s="455"/>
      <c r="O2043" s="455"/>
    </row>
    <row r="2044" spans="14:15">
      <c r="N2044" s="455"/>
      <c r="O2044" s="455"/>
    </row>
    <row r="2045" spans="14:15">
      <c r="N2045" s="455"/>
      <c r="O2045" s="455"/>
    </row>
    <row r="2046" spans="14:15">
      <c r="N2046" s="455"/>
      <c r="O2046" s="455"/>
    </row>
    <row r="2047" spans="14:15">
      <c r="N2047" s="455"/>
      <c r="O2047" s="455"/>
    </row>
    <row r="2048" spans="14:15">
      <c r="N2048" s="455"/>
      <c r="O2048" s="455"/>
    </row>
    <row r="2049" spans="14:15">
      <c r="N2049" s="455"/>
      <c r="O2049" s="455"/>
    </row>
    <row r="2050" spans="14:15">
      <c r="N2050" s="455"/>
      <c r="O2050" s="455"/>
    </row>
    <row r="2051" spans="14:15">
      <c r="N2051" s="455"/>
      <c r="O2051" s="455"/>
    </row>
    <row r="2052" spans="14:15">
      <c r="N2052" s="455"/>
      <c r="O2052" s="455"/>
    </row>
    <row r="2053" spans="14:15">
      <c r="N2053" s="455"/>
      <c r="O2053" s="455"/>
    </row>
    <row r="2054" spans="14:15">
      <c r="N2054" s="455"/>
      <c r="O2054" s="455"/>
    </row>
    <row r="2055" spans="14:15">
      <c r="N2055" s="455"/>
      <c r="O2055" s="455"/>
    </row>
    <row r="2056" spans="14:15">
      <c r="N2056" s="455"/>
      <c r="O2056" s="455"/>
    </row>
    <row r="2057" spans="14:15">
      <c r="N2057" s="455"/>
      <c r="O2057" s="455"/>
    </row>
    <row r="2058" spans="14:15">
      <c r="N2058" s="455"/>
      <c r="O2058" s="455"/>
    </row>
    <row r="2059" spans="14:15">
      <c r="N2059" s="455"/>
      <c r="O2059" s="455"/>
    </row>
    <row r="2060" spans="14:15">
      <c r="N2060" s="455"/>
      <c r="O2060" s="455"/>
    </row>
    <row r="2061" spans="14:15">
      <c r="N2061" s="455"/>
      <c r="O2061" s="455"/>
    </row>
    <row r="2062" spans="14:15">
      <c r="N2062" s="455"/>
      <c r="O2062" s="455"/>
    </row>
    <row r="2063" spans="14:15">
      <c r="N2063" s="455"/>
      <c r="O2063" s="455"/>
    </row>
    <row r="2064" spans="14:15">
      <c r="N2064" s="455"/>
      <c r="O2064" s="455"/>
    </row>
    <row r="2065" spans="14:15">
      <c r="N2065" s="455"/>
      <c r="O2065" s="455"/>
    </row>
    <row r="2066" spans="14:15">
      <c r="N2066" s="455"/>
      <c r="O2066" s="455"/>
    </row>
    <row r="2067" spans="14:15">
      <c r="N2067" s="455"/>
      <c r="O2067" s="455"/>
    </row>
    <row r="2068" spans="14:15">
      <c r="N2068" s="455"/>
      <c r="O2068" s="455"/>
    </row>
    <row r="2069" spans="14:15">
      <c r="N2069" s="455"/>
      <c r="O2069" s="455"/>
    </row>
    <row r="2070" spans="14:15">
      <c r="N2070" s="455"/>
      <c r="O2070" s="455"/>
    </row>
    <row r="2071" spans="14:15">
      <c r="N2071" s="455"/>
      <c r="O2071" s="455"/>
    </row>
    <row r="2072" spans="14:15">
      <c r="N2072" s="455"/>
      <c r="O2072" s="455"/>
    </row>
    <row r="2073" spans="14:15">
      <c r="N2073" s="455"/>
      <c r="O2073" s="455"/>
    </row>
    <row r="2074" spans="14:15">
      <c r="N2074" s="455"/>
      <c r="O2074" s="455"/>
    </row>
    <row r="2075" spans="14:15">
      <c r="N2075" s="455"/>
      <c r="O2075" s="455"/>
    </row>
    <row r="2076" spans="14:15">
      <c r="N2076" s="455"/>
      <c r="O2076" s="455"/>
    </row>
    <row r="2077" spans="14:15">
      <c r="N2077" s="455"/>
      <c r="O2077" s="455"/>
    </row>
    <row r="2078" spans="14:15">
      <c r="N2078" s="455"/>
      <c r="O2078" s="455"/>
    </row>
    <row r="2079" spans="14:15">
      <c r="N2079" s="455"/>
      <c r="O2079" s="455"/>
    </row>
    <row r="2080" spans="14:15">
      <c r="N2080" s="455"/>
      <c r="O2080" s="455"/>
    </row>
    <row r="2081" spans="14:15">
      <c r="N2081" s="455"/>
      <c r="O2081" s="455"/>
    </row>
    <row r="2082" spans="14:15">
      <c r="N2082" s="455"/>
      <c r="O2082" s="455"/>
    </row>
    <row r="2083" spans="14:15">
      <c r="N2083" s="455"/>
      <c r="O2083" s="455"/>
    </row>
    <row r="2084" spans="14:15">
      <c r="N2084" s="455"/>
      <c r="O2084" s="455"/>
    </row>
    <row r="2085" spans="14:15">
      <c r="N2085" s="455"/>
      <c r="O2085" s="455"/>
    </row>
    <row r="2086" spans="14:15">
      <c r="N2086" s="455"/>
      <c r="O2086" s="455"/>
    </row>
    <row r="2087" spans="14:15">
      <c r="N2087" s="455"/>
      <c r="O2087" s="455"/>
    </row>
    <row r="2088" spans="14:15">
      <c r="N2088" s="455"/>
      <c r="O2088" s="455"/>
    </row>
    <row r="2089" spans="14:15">
      <c r="N2089" s="455"/>
      <c r="O2089" s="455"/>
    </row>
    <row r="2090" spans="14:15">
      <c r="N2090" s="455"/>
      <c r="O2090" s="455"/>
    </row>
    <row r="2091" spans="14:15">
      <c r="N2091" s="455"/>
      <c r="O2091" s="455"/>
    </row>
    <row r="2092" spans="14:15">
      <c r="N2092" s="455"/>
      <c r="O2092" s="455"/>
    </row>
    <row r="2093" spans="14:15">
      <c r="N2093" s="455"/>
      <c r="O2093" s="455"/>
    </row>
    <row r="2094" spans="14:15">
      <c r="N2094" s="455"/>
      <c r="O2094" s="455"/>
    </row>
    <row r="2095" spans="14:15">
      <c r="N2095" s="455"/>
      <c r="O2095" s="455"/>
    </row>
    <row r="2096" spans="14:15">
      <c r="N2096" s="455"/>
      <c r="O2096" s="455"/>
    </row>
    <row r="2097" spans="14:15">
      <c r="N2097" s="455"/>
      <c r="O2097" s="455"/>
    </row>
    <row r="2098" spans="14:15">
      <c r="N2098" s="455"/>
      <c r="O2098" s="455"/>
    </row>
    <row r="2099" spans="14:15">
      <c r="N2099" s="455"/>
      <c r="O2099" s="455"/>
    </row>
    <row r="2100" spans="14:15">
      <c r="N2100" s="455"/>
      <c r="O2100" s="455"/>
    </row>
    <row r="2101" spans="14:15">
      <c r="N2101" s="455"/>
      <c r="O2101" s="455"/>
    </row>
    <row r="2102" spans="14:15">
      <c r="N2102" s="455"/>
      <c r="O2102" s="455"/>
    </row>
    <row r="2103" spans="14:15">
      <c r="N2103" s="455"/>
      <c r="O2103" s="455"/>
    </row>
    <row r="2104" spans="14:15">
      <c r="N2104" s="455"/>
      <c r="O2104" s="455"/>
    </row>
    <row r="2105" spans="14:15">
      <c r="N2105" s="455"/>
      <c r="O2105" s="455"/>
    </row>
    <row r="2106" spans="14:15">
      <c r="N2106" s="455"/>
      <c r="O2106" s="455"/>
    </row>
    <row r="2107" spans="14:15">
      <c r="N2107" s="455"/>
      <c r="O2107" s="455"/>
    </row>
    <row r="2108" spans="14:15">
      <c r="N2108" s="455"/>
      <c r="O2108" s="455"/>
    </row>
    <row r="2109" spans="14:15">
      <c r="N2109" s="455"/>
      <c r="O2109" s="455"/>
    </row>
    <row r="2110" spans="14:15">
      <c r="N2110" s="455"/>
      <c r="O2110" s="455"/>
    </row>
    <row r="2111" spans="14:15">
      <c r="N2111" s="455"/>
      <c r="O2111" s="455"/>
    </row>
    <row r="2112" spans="14:15">
      <c r="N2112" s="455"/>
      <c r="O2112" s="455"/>
    </row>
    <row r="2113" spans="14:15">
      <c r="N2113" s="455"/>
      <c r="O2113" s="455"/>
    </row>
    <row r="2114" spans="14:15">
      <c r="N2114" s="455"/>
      <c r="O2114" s="455"/>
    </row>
    <row r="2115" spans="14:15">
      <c r="N2115" s="455"/>
      <c r="O2115" s="455"/>
    </row>
    <row r="2116" spans="14:15">
      <c r="N2116" s="455"/>
      <c r="O2116" s="455"/>
    </row>
    <row r="2117" spans="14:15">
      <c r="N2117" s="455"/>
      <c r="O2117" s="455"/>
    </row>
    <row r="2118" spans="14:15">
      <c r="N2118" s="455"/>
      <c r="O2118" s="455"/>
    </row>
    <row r="2119" spans="14:15">
      <c r="N2119" s="455"/>
      <c r="O2119" s="455"/>
    </row>
    <row r="2120" spans="14:15">
      <c r="N2120" s="455"/>
      <c r="O2120" s="455"/>
    </row>
    <row r="2121" spans="14:15">
      <c r="N2121" s="455"/>
      <c r="O2121" s="455"/>
    </row>
    <row r="2122" spans="14:15">
      <c r="N2122" s="455"/>
      <c r="O2122" s="455"/>
    </row>
    <row r="2123" spans="14:15">
      <c r="N2123" s="455"/>
      <c r="O2123" s="455"/>
    </row>
    <row r="2124" spans="14:15">
      <c r="N2124" s="455"/>
      <c r="O2124" s="455"/>
    </row>
    <row r="2125" spans="14:15">
      <c r="N2125" s="455"/>
      <c r="O2125" s="455"/>
    </row>
    <row r="2126" spans="14:15">
      <c r="N2126" s="455"/>
      <c r="O2126" s="455"/>
    </row>
    <row r="2127" spans="14:15">
      <c r="N2127" s="455"/>
      <c r="O2127" s="455"/>
    </row>
    <row r="2128" spans="14:15">
      <c r="N2128" s="455"/>
      <c r="O2128" s="455"/>
    </row>
    <row r="2129" spans="14:15">
      <c r="N2129" s="455"/>
      <c r="O2129" s="455"/>
    </row>
    <row r="2130" spans="14:15">
      <c r="N2130" s="455"/>
      <c r="O2130" s="455"/>
    </row>
    <row r="2131" spans="14:15">
      <c r="N2131" s="455"/>
      <c r="O2131" s="455"/>
    </row>
    <row r="2132" spans="14:15">
      <c r="N2132" s="455"/>
      <c r="O2132" s="455"/>
    </row>
    <row r="2133" spans="14:15">
      <c r="N2133" s="455"/>
      <c r="O2133" s="455"/>
    </row>
    <row r="2134" spans="14:15">
      <c r="N2134" s="455"/>
      <c r="O2134" s="455"/>
    </row>
    <row r="2135" spans="14:15">
      <c r="N2135" s="455"/>
      <c r="O2135" s="455"/>
    </row>
    <row r="2136" spans="14:15">
      <c r="N2136" s="455"/>
      <c r="O2136" s="455"/>
    </row>
    <row r="2137" spans="14:15">
      <c r="N2137" s="455"/>
      <c r="O2137" s="455"/>
    </row>
    <row r="2138" spans="14:15">
      <c r="N2138" s="455"/>
      <c r="O2138" s="455"/>
    </row>
    <row r="2139" spans="14:15">
      <c r="N2139" s="455"/>
      <c r="O2139" s="455"/>
    </row>
    <row r="2140" spans="14:15">
      <c r="N2140" s="455"/>
      <c r="O2140" s="455"/>
    </row>
    <row r="2141" spans="14:15">
      <c r="N2141" s="455"/>
      <c r="O2141" s="455"/>
    </row>
    <row r="2142" spans="14:15">
      <c r="N2142" s="455"/>
      <c r="O2142" s="455"/>
    </row>
    <row r="2143" spans="14:15">
      <c r="N2143" s="455"/>
      <c r="O2143" s="455"/>
    </row>
    <row r="2144" spans="14:15">
      <c r="N2144" s="455"/>
      <c r="O2144" s="455"/>
    </row>
    <row r="2145" spans="14:15">
      <c r="N2145" s="455"/>
      <c r="O2145" s="455"/>
    </row>
    <row r="2146" spans="14:15">
      <c r="N2146" s="455"/>
      <c r="O2146" s="455"/>
    </row>
    <row r="2147" spans="14:15">
      <c r="N2147" s="455"/>
      <c r="O2147" s="455"/>
    </row>
    <row r="2148" spans="14:15">
      <c r="N2148" s="455"/>
      <c r="O2148" s="455"/>
    </row>
    <row r="2149" spans="14:15">
      <c r="N2149" s="455"/>
      <c r="O2149" s="455"/>
    </row>
    <row r="2150" spans="14:15">
      <c r="N2150" s="455"/>
      <c r="O2150" s="455"/>
    </row>
    <row r="2151" spans="14:15">
      <c r="N2151" s="455"/>
      <c r="O2151" s="455"/>
    </row>
    <row r="2152" spans="14:15">
      <c r="N2152" s="455"/>
      <c r="O2152" s="455"/>
    </row>
    <row r="2153" spans="14:15">
      <c r="N2153" s="455"/>
      <c r="O2153" s="455"/>
    </row>
    <row r="2154" spans="14:15">
      <c r="N2154" s="455"/>
      <c r="O2154" s="455"/>
    </row>
    <row r="2155" spans="14:15">
      <c r="N2155" s="455"/>
      <c r="O2155" s="455"/>
    </row>
    <row r="2156" spans="14:15">
      <c r="N2156" s="455"/>
      <c r="O2156" s="455"/>
    </row>
    <row r="2157" spans="14:15">
      <c r="N2157" s="455"/>
      <c r="O2157" s="455"/>
    </row>
    <row r="2158" spans="14:15">
      <c r="N2158" s="455"/>
      <c r="O2158" s="455"/>
    </row>
    <row r="2159" spans="14:15">
      <c r="N2159" s="455"/>
      <c r="O2159" s="455"/>
    </row>
    <row r="2160" spans="14:15">
      <c r="N2160" s="455"/>
      <c r="O2160" s="455"/>
    </row>
    <row r="2161" spans="14:15">
      <c r="N2161" s="455"/>
      <c r="O2161" s="455"/>
    </row>
    <row r="2162" spans="14:15">
      <c r="N2162" s="455"/>
      <c r="O2162" s="455"/>
    </row>
    <row r="2163" spans="14:15">
      <c r="N2163" s="455"/>
      <c r="O2163" s="455"/>
    </row>
    <row r="2164" spans="14:15">
      <c r="N2164" s="455"/>
      <c r="O2164" s="455"/>
    </row>
    <row r="2165" spans="14:15">
      <c r="N2165" s="455"/>
      <c r="O2165" s="455"/>
    </row>
    <row r="2166" spans="14:15">
      <c r="N2166" s="455"/>
      <c r="O2166" s="455"/>
    </row>
    <row r="2167" spans="14:15">
      <c r="N2167" s="455"/>
      <c r="O2167" s="455"/>
    </row>
    <row r="2168" spans="14:15">
      <c r="N2168" s="455"/>
      <c r="O2168" s="455"/>
    </row>
    <row r="2169" spans="14:15">
      <c r="N2169" s="455"/>
      <c r="O2169" s="455"/>
    </row>
    <row r="2170" spans="14:15">
      <c r="N2170" s="455"/>
      <c r="O2170" s="455"/>
    </row>
    <row r="2171" spans="14:15">
      <c r="N2171" s="455"/>
      <c r="O2171" s="455"/>
    </row>
    <row r="2172" spans="14:15">
      <c r="N2172" s="455"/>
      <c r="O2172" s="455"/>
    </row>
    <row r="2173" spans="14:15">
      <c r="N2173" s="455"/>
      <c r="O2173" s="455"/>
    </row>
    <row r="2174" spans="14:15">
      <c r="N2174" s="455"/>
      <c r="O2174" s="455"/>
    </row>
    <row r="2175" spans="14:15">
      <c r="N2175" s="455"/>
      <c r="O2175" s="455"/>
    </row>
    <row r="2176" spans="14:15">
      <c r="N2176" s="455"/>
      <c r="O2176" s="455"/>
    </row>
    <row r="2177" spans="14:15">
      <c r="N2177" s="455"/>
      <c r="O2177" s="455"/>
    </row>
    <row r="2178" spans="14:15">
      <c r="N2178" s="455"/>
      <c r="O2178" s="455"/>
    </row>
    <row r="2179" spans="14:15">
      <c r="N2179" s="455"/>
      <c r="O2179" s="455"/>
    </row>
    <row r="2180" spans="14:15">
      <c r="N2180" s="455"/>
      <c r="O2180" s="455"/>
    </row>
    <row r="2181" spans="14:15">
      <c r="N2181" s="455"/>
      <c r="O2181" s="455"/>
    </row>
    <row r="2182" spans="14:15">
      <c r="N2182" s="455"/>
      <c r="O2182" s="455"/>
    </row>
    <row r="2183" spans="14:15">
      <c r="N2183" s="455"/>
      <c r="O2183" s="455"/>
    </row>
    <row r="2184" spans="14:15">
      <c r="N2184" s="455"/>
      <c r="O2184" s="455"/>
    </row>
    <row r="2185" spans="14:15">
      <c r="N2185" s="455"/>
      <c r="O2185" s="455"/>
    </row>
    <row r="2186" spans="14:15">
      <c r="N2186" s="455"/>
      <c r="O2186" s="455"/>
    </row>
    <row r="2187" spans="14:15">
      <c r="N2187" s="455"/>
      <c r="O2187" s="455"/>
    </row>
    <row r="2188" spans="14:15">
      <c r="N2188" s="455"/>
      <c r="O2188" s="455"/>
    </row>
    <row r="2189" spans="14:15">
      <c r="N2189" s="455"/>
      <c r="O2189" s="455"/>
    </row>
    <row r="2190" spans="14:15">
      <c r="N2190" s="455"/>
      <c r="O2190" s="455"/>
    </row>
    <row r="2191" spans="14:15">
      <c r="N2191" s="455"/>
      <c r="O2191" s="455"/>
    </row>
    <row r="2192" spans="14:15">
      <c r="N2192" s="455"/>
      <c r="O2192" s="455"/>
    </row>
    <row r="2193" spans="14:15">
      <c r="N2193" s="455"/>
      <c r="O2193" s="455"/>
    </row>
    <row r="2194" spans="14:15">
      <c r="N2194" s="455"/>
      <c r="O2194" s="455"/>
    </row>
    <row r="2195" spans="14:15">
      <c r="N2195" s="455"/>
      <c r="O2195" s="455"/>
    </row>
    <row r="2196" spans="14:15">
      <c r="N2196" s="455"/>
      <c r="O2196" s="455"/>
    </row>
    <row r="2197" spans="14:15">
      <c r="N2197" s="455"/>
      <c r="O2197" s="455"/>
    </row>
    <row r="2198" spans="14:15">
      <c r="N2198" s="455"/>
      <c r="O2198" s="455"/>
    </row>
    <row r="2199" spans="14:15">
      <c r="N2199" s="455"/>
      <c r="O2199" s="455"/>
    </row>
    <row r="2200" spans="14:15">
      <c r="N2200" s="455"/>
      <c r="O2200" s="455"/>
    </row>
    <row r="2201" spans="14:15">
      <c r="N2201" s="455"/>
      <c r="O2201" s="455"/>
    </row>
    <row r="2202" spans="14:15">
      <c r="N2202" s="455"/>
      <c r="O2202" s="455"/>
    </row>
    <row r="2203" spans="14:15">
      <c r="N2203" s="455"/>
      <c r="O2203" s="455"/>
    </row>
    <row r="2204" spans="14:15">
      <c r="N2204" s="455"/>
      <c r="O2204" s="455"/>
    </row>
    <row r="2205" spans="14:15">
      <c r="N2205" s="455"/>
      <c r="O2205" s="455"/>
    </row>
    <row r="2206" spans="14:15">
      <c r="N2206" s="455"/>
      <c r="O2206" s="455"/>
    </row>
    <row r="2207" spans="14:15">
      <c r="N2207" s="455"/>
      <c r="O2207" s="455"/>
    </row>
    <row r="2208" spans="14:15">
      <c r="N2208" s="455"/>
      <c r="O2208" s="455"/>
    </row>
    <row r="2209" spans="14:15">
      <c r="N2209" s="455"/>
      <c r="O2209" s="455"/>
    </row>
    <row r="2210" spans="14:15">
      <c r="N2210" s="455"/>
      <c r="O2210" s="455"/>
    </row>
    <row r="2211" spans="14:15">
      <c r="N2211" s="455"/>
      <c r="O2211" s="455"/>
    </row>
    <row r="2212" spans="14:15">
      <c r="N2212" s="455"/>
      <c r="O2212" s="455"/>
    </row>
    <row r="2213" spans="14:15">
      <c r="N2213" s="455"/>
      <c r="O2213" s="455"/>
    </row>
    <row r="2214" spans="14:15">
      <c r="N2214" s="455"/>
      <c r="O2214" s="455"/>
    </row>
    <row r="2215" spans="14:15">
      <c r="N2215" s="455"/>
      <c r="O2215" s="455"/>
    </row>
    <row r="2216" spans="14:15">
      <c r="N2216" s="455"/>
      <c r="O2216" s="455"/>
    </row>
    <row r="2217" spans="14:15">
      <c r="N2217" s="455"/>
      <c r="O2217" s="455"/>
    </row>
    <row r="2218" spans="14:15">
      <c r="N2218" s="455"/>
      <c r="O2218" s="455"/>
    </row>
    <row r="2219" spans="14:15">
      <c r="N2219" s="455"/>
      <c r="O2219" s="455"/>
    </row>
    <row r="2220" spans="14:15">
      <c r="N2220" s="455"/>
      <c r="O2220" s="455"/>
    </row>
    <row r="2221" spans="14:15">
      <c r="N2221" s="455"/>
      <c r="O2221" s="455"/>
    </row>
    <row r="2222" spans="14:15">
      <c r="N2222" s="455"/>
      <c r="O2222" s="455"/>
    </row>
    <row r="2223" spans="14:15">
      <c r="N2223" s="455"/>
      <c r="O2223" s="455"/>
    </row>
    <row r="2224" spans="14:15">
      <c r="N2224" s="455"/>
      <c r="O2224" s="455"/>
    </row>
    <row r="2225" spans="14:15">
      <c r="N2225" s="455"/>
      <c r="O2225" s="455"/>
    </row>
    <row r="2226" spans="14:15">
      <c r="N2226" s="455"/>
      <c r="O2226" s="455"/>
    </row>
    <row r="2227" spans="14:15">
      <c r="N2227" s="455"/>
      <c r="O2227" s="455"/>
    </row>
    <row r="2228" spans="14:15">
      <c r="N2228" s="455"/>
      <c r="O2228" s="455"/>
    </row>
    <row r="2229" spans="14:15">
      <c r="N2229" s="455"/>
      <c r="O2229" s="455"/>
    </row>
    <row r="2230" spans="14:15">
      <c r="N2230" s="455"/>
      <c r="O2230" s="455"/>
    </row>
    <row r="2231" spans="14:15">
      <c r="N2231" s="455"/>
      <c r="O2231" s="455"/>
    </row>
    <row r="2232" spans="14:15">
      <c r="N2232" s="455"/>
      <c r="O2232" s="455"/>
    </row>
    <row r="2233" spans="14:15">
      <c r="N2233" s="455"/>
      <c r="O2233" s="455"/>
    </row>
    <row r="2234" spans="14:15">
      <c r="N2234" s="455"/>
      <c r="O2234" s="455"/>
    </row>
    <row r="2235" spans="14:15">
      <c r="N2235" s="455"/>
      <c r="O2235" s="455"/>
    </row>
    <row r="2236" spans="14:15">
      <c r="N2236" s="455"/>
      <c r="O2236" s="455"/>
    </row>
    <row r="2237" spans="14:15">
      <c r="N2237" s="455"/>
      <c r="O2237" s="455"/>
    </row>
    <row r="2238" spans="14:15">
      <c r="N2238" s="455"/>
      <c r="O2238" s="455"/>
    </row>
    <row r="2239" spans="14:15">
      <c r="N2239" s="455"/>
      <c r="O2239" s="455"/>
    </row>
    <row r="2240" spans="14:15">
      <c r="N2240" s="455"/>
      <c r="O2240" s="455"/>
    </row>
    <row r="2241" spans="14:15">
      <c r="N2241" s="455"/>
      <c r="O2241" s="455"/>
    </row>
    <row r="2242" spans="14:15">
      <c r="N2242" s="455"/>
      <c r="O2242" s="455"/>
    </row>
    <row r="2243" spans="14:15">
      <c r="N2243" s="455"/>
      <c r="O2243" s="455"/>
    </row>
    <row r="2244" spans="14:15">
      <c r="N2244" s="455"/>
      <c r="O2244" s="455"/>
    </row>
    <row r="2245" spans="14:15">
      <c r="N2245" s="455"/>
      <c r="O2245" s="455"/>
    </row>
    <row r="2246" spans="14:15">
      <c r="N2246" s="455"/>
      <c r="O2246" s="455"/>
    </row>
    <row r="2247" spans="14:15">
      <c r="N2247" s="455"/>
      <c r="O2247" s="455"/>
    </row>
    <row r="2248" spans="14:15">
      <c r="N2248" s="455"/>
      <c r="O2248" s="455"/>
    </row>
    <row r="2249" spans="14:15">
      <c r="N2249" s="455"/>
      <c r="O2249" s="455"/>
    </row>
    <row r="2250" spans="14:15">
      <c r="N2250" s="455"/>
      <c r="O2250" s="455"/>
    </row>
    <row r="2251" spans="14:15">
      <c r="N2251" s="455"/>
      <c r="O2251" s="455"/>
    </row>
    <row r="2252" spans="14:15">
      <c r="N2252" s="455"/>
      <c r="O2252" s="455"/>
    </row>
    <row r="2253" spans="14:15">
      <c r="N2253" s="455"/>
      <c r="O2253" s="455"/>
    </row>
    <row r="2254" spans="14:15">
      <c r="N2254" s="455"/>
      <c r="O2254" s="455"/>
    </row>
    <row r="2255" spans="14:15">
      <c r="N2255" s="455"/>
      <c r="O2255" s="455"/>
    </row>
    <row r="2256" spans="14:15">
      <c r="N2256" s="455"/>
      <c r="O2256" s="455"/>
    </row>
    <row r="2257" spans="14:15">
      <c r="N2257" s="455"/>
      <c r="O2257" s="455"/>
    </row>
    <row r="2258" spans="14:15">
      <c r="N2258" s="455"/>
      <c r="O2258" s="455"/>
    </row>
    <row r="2259" spans="14:15">
      <c r="N2259" s="455"/>
      <c r="O2259" s="455"/>
    </row>
    <row r="2260" spans="14:15">
      <c r="N2260" s="455"/>
      <c r="O2260" s="455"/>
    </row>
    <row r="2261" spans="14:15">
      <c r="N2261" s="455"/>
      <c r="O2261" s="455"/>
    </row>
    <row r="2262" spans="14:15">
      <c r="N2262" s="455"/>
      <c r="O2262" s="455"/>
    </row>
    <row r="2263" spans="14:15">
      <c r="N2263" s="455"/>
      <c r="O2263" s="455"/>
    </row>
    <row r="2264" spans="14:15">
      <c r="N2264" s="455"/>
      <c r="O2264" s="455"/>
    </row>
    <row r="2265" spans="14:15">
      <c r="N2265" s="455"/>
      <c r="O2265" s="455"/>
    </row>
    <row r="2266" spans="14:15">
      <c r="N2266" s="455"/>
      <c r="O2266" s="455"/>
    </row>
    <row r="2267" spans="14:15">
      <c r="N2267" s="455"/>
      <c r="O2267" s="455"/>
    </row>
    <row r="2268" spans="14:15">
      <c r="N2268" s="455"/>
      <c r="O2268" s="455"/>
    </row>
    <row r="2269" spans="14:15">
      <c r="N2269" s="455"/>
      <c r="O2269" s="455"/>
    </row>
    <row r="2270" spans="14:15">
      <c r="N2270" s="455"/>
      <c r="O2270" s="455"/>
    </row>
    <row r="2271" spans="14:15">
      <c r="N2271" s="455"/>
      <c r="O2271" s="455"/>
    </row>
    <row r="2272" spans="14:15">
      <c r="N2272" s="455"/>
      <c r="O2272" s="455"/>
    </row>
    <row r="2273" spans="14:15">
      <c r="N2273" s="455"/>
      <c r="O2273" s="455"/>
    </row>
    <row r="2274" spans="14:15">
      <c r="N2274" s="455"/>
      <c r="O2274" s="455"/>
    </row>
    <row r="2275" spans="14:15">
      <c r="N2275" s="455"/>
      <c r="O2275" s="455"/>
    </row>
    <row r="2276" spans="14:15">
      <c r="N2276" s="455"/>
      <c r="O2276" s="455"/>
    </row>
    <row r="2277" spans="14:15">
      <c r="N2277" s="455"/>
      <c r="O2277" s="455"/>
    </row>
    <row r="2278" spans="14:15">
      <c r="N2278" s="455"/>
      <c r="O2278" s="455"/>
    </row>
    <row r="2279" spans="14:15">
      <c r="N2279" s="455"/>
      <c r="O2279" s="455"/>
    </row>
    <row r="2280" spans="14:15">
      <c r="N2280" s="455"/>
      <c r="O2280" s="455"/>
    </row>
    <row r="2281" spans="14:15">
      <c r="N2281" s="455"/>
      <c r="O2281" s="455"/>
    </row>
    <row r="2282" spans="14:15">
      <c r="N2282" s="455"/>
      <c r="O2282" s="455"/>
    </row>
    <row r="2283" spans="14:15">
      <c r="N2283" s="455"/>
      <c r="O2283" s="455"/>
    </row>
    <row r="2284" spans="14:15">
      <c r="N2284" s="455"/>
      <c r="O2284" s="455"/>
    </row>
    <row r="2285" spans="14:15">
      <c r="N2285" s="455"/>
      <c r="O2285" s="455"/>
    </row>
    <row r="2286" spans="14:15">
      <c r="N2286" s="455"/>
      <c r="O2286" s="455"/>
    </row>
    <row r="2287" spans="14:15">
      <c r="N2287" s="455"/>
      <c r="O2287" s="455"/>
    </row>
    <row r="2288" spans="14:15">
      <c r="N2288" s="455"/>
      <c r="O2288" s="455"/>
    </row>
    <row r="2289" spans="14:15">
      <c r="N2289" s="455"/>
      <c r="O2289" s="455"/>
    </row>
    <row r="2290" spans="14:15">
      <c r="N2290" s="455"/>
      <c r="O2290" s="455"/>
    </row>
    <row r="2291" spans="14:15">
      <c r="N2291" s="455"/>
      <c r="O2291" s="455"/>
    </row>
    <row r="2292" spans="14:15">
      <c r="N2292" s="455"/>
      <c r="O2292" s="455"/>
    </row>
    <row r="2293" spans="14:15">
      <c r="N2293" s="455"/>
      <c r="O2293" s="455"/>
    </row>
    <row r="2294" spans="14:15">
      <c r="N2294" s="455"/>
      <c r="O2294" s="455"/>
    </row>
    <row r="2295" spans="14:15">
      <c r="N2295" s="455"/>
      <c r="O2295" s="455"/>
    </row>
    <row r="2296" spans="14:15">
      <c r="N2296" s="455"/>
      <c r="O2296" s="455"/>
    </row>
    <row r="2297" spans="14:15">
      <c r="N2297" s="455"/>
      <c r="O2297" s="455"/>
    </row>
    <row r="2298" spans="14:15">
      <c r="N2298" s="455"/>
      <c r="O2298" s="455"/>
    </row>
    <row r="2299" spans="14:15">
      <c r="N2299" s="455"/>
      <c r="O2299" s="455"/>
    </row>
    <row r="2300" spans="14:15">
      <c r="N2300" s="455"/>
      <c r="O2300" s="455"/>
    </row>
    <row r="2301" spans="14:15">
      <c r="N2301" s="455"/>
      <c r="O2301" s="455"/>
    </row>
    <row r="2302" spans="14:15">
      <c r="N2302" s="455"/>
      <c r="O2302" s="455"/>
    </row>
    <row r="2303" spans="14:15">
      <c r="N2303" s="455"/>
      <c r="O2303" s="455"/>
    </row>
    <row r="2304" spans="14:15">
      <c r="N2304" s="455"/>
      <c r="O2304" s="455"/>
    </row>
    <row r="2305" spans="14:15">
      <c r="N2305" s="455"/>
      <c r="O2305" s="455"/>
    </row>
    <row r="2306" spans="14:15">
      <c r="N2306" s="455"/>
      <c r="O2306" s="455"/>
    </row>
    <row r="2307" spans="14:15">
      <c r="N2307" s="455"/>
      <c r="O2307" s="455"/>
    </row>
    <row r="2308" spans="14:15">
      <c r="N2308" s="455"/>
      <c r="O2308" s="455"/>
    </row>
    <row r="2309" spans="14:15">
      <c r="N2309" s="455"/>
      <c r="O2309" s="455"/>
    </row>
    <row r="2310" spans="14:15">
      <c r="N2310" s="455"/>
      <c r="O2310" s="455"/>
    </row>
    <row r="2311" spans="14:15">
      <c r="N2311" s="455"/>
      <c r="O2311" s="455"/>
    </row>
    <row r="2312" spans="14:15">
      <c r="N2312" s="455"/>
      <c r="O2312" s="455"/>
    </row>
    <row r="2313" spans="14:15">
      <c r="N2313" s="455"/>
      <c r="O2313" s="455"/>
    </row>
    <row r="2314" spans="14:15">
      <c r="N2314" s="455"/>
      <c r="O2314" s="455"/>
    </row>
    <row r="2315" spans="14:15">
      <c r="N2315" s="455"/>
      <c r="O2315" s="455"/>
    </row>
    <row r="2316" spans="14:15">
      <c r="N2316" s="455"/>
      <c r="O2316" s="455"/>
    </row>
    <row r="2317" spans="14:15">
      <c r="N2317" s="455"/>
      <c r="O2317" s="455"/>
    </row>
    <row r="2318" spans="14:15">
      <c r="N2318" s="455"/>
      <c r="O2318" s="455"/>
    </row>
    <row r="2319" spans="14:15">
      <c r="N2319" s="455"/>
      <c r="O2319" s="455"/>
    </row>
    <row r="2320" spans="14:15">
      <c r="N2320" s="455"/>
      <c r="O2320" s="455"/>
    </row>
    <row r="2321" spans="14:15">
      <c r="N2321" s="455"/>
      <c r="O2321" s="455"/>
    </row>
    <row r="2322" spans="14:15">
      <c r="N2322" s="455"/>
      <c r="O2322" s="455"/>
    </row>
    <row r="2323" spans="14:15">
      <c r="N2323" s="455"/>
      <c r="O2323" s="455"/>
    </row>
    <row r="2324" spans="14:15">
      <c r="N2324" s="455"/>
      <c r="O2324" s="455"/>
    </row>
    <row r="2325" spans="14:15">
      <c r="N2325" s="455"/>
      <c r="O2325" s="455"/>
    </row>
    <row r="2326" spans="14:15">
      <c r="N2326" s="455"/>
      <c r="O2326" s="455"/>
    </row>
    <row r="2327" spans="14:15">
      <c r="N2327" s="455"/>
      <c r="O2327" s="455"/>
    </row>
    <row r="2328" spans="14:15">
      <c r="N2328" s="455"/>
      <c r="O2328" s="455"/>
    </row>
    <row r="2329" spans="14:15">
      <c r="N2329" s="455"/>
      <c r="O2329" s="455"/>
    </row>
    <row r="2330" spans="14:15">
      <c r="N2330" s="455"/>
      <c r="O2330" s="455"/>
    </row>
    <row r="2331" spans="14:15">
      <c r="N2331" s="455"/>
      <c r="O2331" s="455"/>
    </row>
    <row r="2332" spans="14:15">
      <c r="N2332" s="455"/>
      <c r="O2332" s="455"/>
    </row>
    <row r="2333" spans="14:15">
      <c r="N2333" s="455"/>
      <c r="O2333" s="455"/>
    </row>
    <row r="2334" spans="14:15">
      <c r="N2334" s="455"/>
      <c r="O2334" s="455"/>
    </row>
    <row r="2335" spans="14:15">
      <c r="N2335" s="455"/>
      <c r="O2335" s="455"/>
    </row>
    <row r="2336" spans="14:15">
      <c r="N2336" s="455"/>
      <c r="O2336" s="455"/>
    </row>
    <row r="2337" spans="14:15">
      <c r="N2337" s="455"/>
      <c r="O2337" s="455"/>
    </row>
    <row r="2338" spans="14:15">
      <c r="N2338" s="455"/>
      <c r="O2338" s="455"/>
    </row>
    <row r="2339" spans="14:15">
      <c r="N2339" s="455"/>
      <c r="O2339" s="455"/>
    </row>
    <row r="2340" spans="14:15">
      <c r="N2340" s="455"/>
      <c r="O2340" s="455"/>
    </row>
    <row r="2341" spans="14:15">
      <c r="N2341" s="455"/>
      <c r="O2341" s="455"/>
    </row>
    <row r="2342" spans="14:15">
      <c r="N2342" s="455"/>
      <c r="O2342" s="455"/>
    </row>
    <row r="2343" spans="14:15">
      <c r="N2343" s="455"/>
      <c r="O2343" s="455"/>
    </row>
    <row r="2344" spans="14:15">
      <c r="N2344" s="455"/>
      <c r="O2344" s="455"/>
    </row>
    <row r="2345" spans="14:15">
      <c r="N2345" s="455"/>
      <c r="O2345" s="455"/>
    </row>
    <row r="2346" spans="14:15">
      <c r="N2346" s="455"/>
      <c r="O2346" s="455"/>
    </row>
    <row r="2347" spans="14:15">
      <c r="N2347" s="455"/>
      <c r="O2347" s="455"/>
    </row>
    <row r="2348" spans="14:15">
      <c r="N2348" s="455"/>
      <c r="O2348" s="455"/>
    </row>
    <row r="2349" spans="14:15">
      <c r="N2349" s="455"/>
      <c r="O2349" s="455"/>
    </row>
    <row r="2350" spans="14:15">
      <c r="N2350" s="455"/>
      <c r="O2350" s="455"/>
    </row>
    <row r="2351" spans="14:15">
      <c r="N2351" s="455"/>
      <c r="O2351" s="455"/>
    </row>
    <row r="2352" spans="14:15">
      <c r="N2352" s="455"/>
      <c r="O2352" s="455"/>
    </row>
    <row r="2353" spans="14:15">
      <c r="N2353" s="455"/>
      <c r="O2353" s="455"/>
    </row>
    <row r="2354" spans="14:15">
      <c r="N2354" s="455"/>
      <c r="O2354" s="455"/>
    </row>
    <row r="2355" spans="14:15">
      <c r="N2355" s="455"/>
      <c r="O2355" s="455"/>
    </row>
    <row r="2356" spans="14:15">
      <c r="N2356" s="455"/>
      <c r="O2356" s="455"/>
    </row>
    <row r="2357" spans="14:15">
      <c r="N2357" s="455"/>
      <c r="O2357" s="455"/>
    </row>
    <row r="2358" spans="14:15">
      <c r="N2358" s="455"/>
      <c r="O2358" s="455"/>
    </row>
    <row r="2359" spans="14:15">
      <c r="N2359" s="455"/>
      <c r="O2359" s="455"/>
    </row>
    <row r="2360" spans="14:15">
      <c r="N2360" s="455"/>
      <c r="O2360" s="455"/>
    </row>
    <row r="2361" spans="14:15">
      <c r="N2361" s="455"/>
      <c r="O2361" s="455"/>
    </row>
    <row r="2362" spans="14:15">
      <c r="N2362" s="455"/>
      <c r="O2362" s="455"/>
    </row>
    <row r="2363" spans="14:15">
      <c r="N2363" s="455"/>
      <c r="O2363" s="455"/>
    </row>
    <row r="2364" spans="14:15">
      <c r="N2364" s="455"/>
      <c r="O2364" s="455"/>
    </row>
    <row r="2365" spans="14:15">
      <c r="N2365" s="455"/>
      <c r="O2365" s="455"/>
    </row>
    <row r="2366" spans="14:15">
      <c r="N2366" s="455"/>
      <c r="O2366" s="455"/>
    </row>
    <row r="2367" spans="14:15">
      <c r="N2367" s="455"/>
      <c r="O2367" s="455"/>
    </row>
    <row r="2368" spans="14:15">
      <c r="N2368" s="455"/>
      <c r="O2368" s="455"/>
    </row>
    <row r="2369" spans="14:15">
      <c r="N2369" s="455"/>
      <c r="O2369" s="455"/>
    </row>
    <row r="2370" spans="14:15">
      <c r="N2370" s="455"/>
      <c r="O2370" s="455"/>
    </row>
    <row r="2371" spans="14:15">
      <c r="N2371" s="455"/>
      <c r="O2371" s="455"/>
    </row>
    <row r="2372" spans="14:15">
      <c r="N2372" s="455"/>
      <c r="O2372" s="455"/>
    </row>
    <row r="2373" spans="14:15">
      <c r="N2373" s="455"/>
      <c r="O2373" s="455"/>
    </row>
    <row r="2374" spans="14:15">
      <c r="N2374" s="455"/>
      <c r="O2374" s="455"/>
    </row>
    <row r="2375" spans="14:15">
      <c r="N2375" s="455"/>
      <c r="O2375" s="455"/>
    </row>
    <row r="2376" spans="14:15">
      <c r="N2376" s="455"/>
      <c r="O2376" s="455"/>
    </row>
    <row r="2377" spans="14:15">
      <c r="N2377" s="455"/>
      <c r="O2377" s="455"/>
    </row>
    <row r="2378" spans="14:15">
      <c r="N2378" s="455"/>
      <c r="O2378" s="455"/>
    </row>
    <row r="2379" spans="14:15">
      <c r="N2379" s="455"/>
      <c r="O2379" s="455"/>
    </row>
    <row r="2380" spans="14:15">
      <c r="N2380" s="455"/>
      <c r="O2380" s="455"/>
    </row>
    <row r="2381" spans="14:15">
      <c r="N2381" s="455"/>
      <c r="O2381" s="455"/>
    </row>
    <row r="2382" spans="14:15">
      <c r="N2382" s="455"/>
      <c r="O2382" s="455"/>
    </row>
    <row r="2383" spans="14:15">
      <c r="N2383" s="455"/>
      <c r="O2383" s="455"/>
    </row>
    <row r="2384" spans="14:15">
      <c r="N2384" s="455"/>
      <c r="O2384" s="455"/>
    </row>
    <row r="2385" spans="14:15">
      <c r="N2385" s="455"/>
      <c r="O2385" s="455"/>
    </row>
    <row r="2386" spans="14:15">
      <c r="N2386" s="455"/>
      <c r="O2386" s="455"/>
    </row>
    <row r="2387" spans="14:15">
      <c r="N2387" s="455"/>
      <c r="O2387" s="455"/>
    </row>
    <row r="2388" spans="14:15">
      <c r="N2388" s="455"/>
      <c r="O2388" s="455"/>
    </row>
    <row r="2389" spans="14:15">
      <c r="N2389" s="455"/>
      <c r="O2389" s="455"/>
    </row>
    <row r="2390" spans="14:15">
      <c r="N2390" s="455"/>
      <c r="O2390" s="455"/>
    </row>
    <row r="2391" spans="14:15">
      <c r="N2391" s="455"/>
      <c r="O2391" s="455"/>
    </row>
    <row r="2392" spans="14:15">
      <c r="N2392" s="455"/>
      <c r="O2392" s="455"/>
    </row>
    <row r="2393" spans="14:15">
      <c r="N2393" s="455"/>
      <c r="O2393" s="455"/>
    </row>
    <row r="2394" spans="14:15">
      <c r="N2394" s="455"/>
      <c r="O2394" s="455"/>
    </row>
    <row r="2395" spans="14:15">
      <c r="N2395" s="455"/>
      <c r="O2395" s="455"/>
    </row>
    <row r="2396" spans="14:15">
      <c r="N2396" s="455"/>
      <c r="O2396" s="455"/>
    </row>
    <row r="2397" spans="14:15">
      <c r="N2397" s="455"/>
      <c r="O2397" s="455"/>
    </row>
    <row r="2398" spans="14:15">
      <c r="N2398" s="455"/>
      <c r="O2398" s="455"/>
    </row>
    <row r="2399" spans="14:15">
      <c r="N2399" s="455"/>
      <c r="O2399" s="455"/>
    </row>
    <row r="2400" spans="14:15">
      <c r="N2400" s="455"/>
      <c r="O2400" s="455"/>
    </row>
    <row r="2401" spans="14:15">
      <c r="N2401" s="455"/>
      <c r="O2401" s="455"/>
    </row>
    <row r="2402" spans="14:15">
      <c r="N2402" s="455"/>
      <c r="O2402" s="455"/>
    </row>
    <row r="2403" spans="14:15">
      <c r="N2403" s="455"/>
      <c r="O2403" s="455"/>
    </row>
    <row r="2404" spans="14:15">
      <c r="N2404" s="455"/>
      <c r="O2404" s="455"/>
    </row>
    <row r="2405" spans="14:15">
      <c r="N2405" s="455"/>
      <c r="O2405" s="455"/>
    </row>
    <row r="2406" spans="14:15">
      <c r="N2406" s="455"/>
      <c r="O2406" s="455"/>
    </row>
    <row r="2407" spans="14:15">
      <c r="N2407" s="455"/>
      <c r="O2407" s="455"/>
    </row>
    <row r="2408" spans="14:15">
      <c r="N2408" s="455"/>
      <c r="O2408" s="455"/>
    </row>
    <row r="2409" spans="14:15">
      <c r="N2409" s="455"/>
      <c r="O2409" s="455"/>
    </row>
    <row r="2410" spans="14:15">
      <c r="N2410" s="455"/>
      <c r="O2410" s="455"/>
    </row>
    <row r="2411" spans="14:15">
      <c r="N2411" s="455"/>
      <c r="O2411" s="455"/>
    </row>
    <row r="2412" spans="14:15">
      <c r="N2412" s="455"/>
      <c r="O2412" s="455"/>
    </row>
    <row r="2413" spans="14:15">
      <c r="N2413" s="455"/>
      <c r="O2413" s="455"/>
    </row>
    <row r="2414" spans="14:15">
      <c r="N2414" s="455"/>
      <c r="O2414" s="455"/>
    </row>
    <row r="2415" spans="14:15">
      <c r="N2415" s="455"/>
      <c r="O2415" s="455"/>
    </row>
    <row r="2416" spans="14:15">
      <c r="N2416" s="455"/>
      <c r="O2416" s="455"/>
    </row>
    <row r="2417" spans="14:15">
      <c r="N2417" s="455"/>
      <c r="O2417" s="455"/>
    </row>
    <row r="2418" spans="14:15">
      <c r="N2418" s="455"/>
      <c r="O2418" s="455"/>
    </row>
    <row r="2419" spans="14:15">
      <c r="N2419" s="455"/>
      <c r="O2419" s="455"/>
    </row>
    <row r="2420" spans="14:15">
      <c r="N2420" s="455"/>
      <c r="O2420" s="455"/>
    </row>
    <row r="2421" spans="14:15">
      <c r="N2421" s="455"/>
      <c r="O2421" s="455"/>
    </row>
    <row r="2422" spans="14:15">
      <c r="N2422" s="455"/>
      <c r="O2422" s="455"/>
    </row>
    <row r="2423" spans="14:15">
      <c r="N2423" s="455"/>
      <c r="O2423" s="455"/>
    </row>
    <row r="2424" spans="14:15">
      <c r="N2424" s="455"/>
      <c r="O2424" s="455"/>
    </row>
    <row r="2425" spans="14:15">
      <c r="N2425" s="455"/>
      <c r="O2425" s="455"/>
    </row>
    <row r="2426" spans="14:15">
      <c r="N2426" s="455"/>
      <c r="O2426" s="455"/>
    </row>
    <row r="2427" spans="14:15">
      <c r="N2427" s="455"/>
      <c r="O2427" s="455"/>
    </row>
    <row r="2428" spans="14:15">
      <c r="N2428" s="455"/>
      <c r="O2428" s="455"/>
    </row>
    <row r="2429" spans="14:15">
      <c r="N2429" s="455"/>
      <c r="O2429" s="455"/>
    </row>
    <row r="2430" spans="14:15">
      <c r="N2430" s="455"/>
      <c r="O2430" s="455"/>
    </row>
    <row r="2431" spans="14:15">
      <c r="N2431" s="455"/>
      <c r="O2431" s="455"/>
    </row>
    <row r="2432" spans="14:15">
      <c r="N2432" s="455"/>
      <c r="O2432" s="455"/>
    </row>
    <row r="2433" spans="14:15">
      <c r="N2433" s="455"/>
      <c r="O2433" s="455"/>
    </row>
    <row r="2434" spans="14:15">
      <c r="N2434" s="455"/>
      <c r="O2434" s="455"/>
    </row>
    <row r="2435" spans="14:15">
      <c r="N2435" s="455"/>
      <c r="O2435" s="455"/>
    </row>
    <row r="2436" spans="14:15">
      <c r="N2436" s="455"/>
      <c r="O2436" s="455"/>
    </row>
    <row r="2437" spans="14:15">
      <c r="N2437" s="455"/>
      <c r="O2437" s="455"/>
    </row>
    <row r="2438" spans="14:15">
      <c r="N2438" s="455"/>
      <c r="O2438" s="455"/>
    </row>
    <row r="2439" spans="14:15">
      <c r="N2439" s="455"/>
      <c r="O2439" s="455"/>
    </row>
    <row r="2440" spans="14:15">
      <c r="N2440" s="455"/>
      <c r="O2440" s="455"/>
    </row>
    <row r="2441" spans="14:15">
      <c r="N2441" s="455"/>
      <c r="O2441" s="455"/>
    </row>
    <row r="2442" spans="14:15">
      <c r="N2442" s="455"/>
      <c r="O2442" s="455"/>
    </row>
    <row r="2443" spans="14:15">
      <c r="N2443" s="455"/>
      <c r="O2443" s="455"/>
    </row>
    <row r="2444" spans="14:15">
      <c r="N2444" s="455"/>
      <c r="O2444" s="455"/>
    </row>
  </sheetData>
  <phoneticPr fontId="0" type="noConversion"/>
  <printOptions gridLines="1"/>
  <pageMargins left="0.72" right="0.33" top="0.87" bottom="0.5" header="0.17" footer="0.16"/>
  <pageSetup scale="55" orientation="portrait" r:id="rId1"/>
  <headerFooter alignWithMargins="0">
    <oddHeader xml:space="preserve">&amp;C&amp;"Algerian,Bold"&amp;26Wasaaradda Ganacsiga. </oddHeader>
    <oddFooter>&amp;R&amp;"Times New Roman,Bold"&amp;14 29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2"/>
  <dimension ref="A1:R47"/>
  <sheetViews>
    <sheetView view="pageBreakPreview" zoomScale="60" zoomScaleNormal="75" workbookViewId="0">
      <selection sqref="A1:XFD1048576"/>
    </sheetView>
  </sheetViews>
  <sheetFormatPr defaultRowHeight="24" customHeight="1"/>
  <cols>
    <col min="1" max="1" width="16.6640625" style="155" bestFit="1" customWidth="1"/>
    <col min="2" max="2" width="86.1640625" style="155" customWidth="1"/>
    <col min="3" max="3" width="14.33203125" style="155" hidden="1" customWidth="1"/>
    <col min="4" max="4" width="16.5" style="155" hidden="1" customWidth="1"/>
    <col min="5" max="5" width="18" style="155" hidden="1" customWidth="1"/>
    <col min="6" max="6" width="15.5" style="155" hidden="1" customWidth="1"/>
    <col min="7" max="7" width="17.33203125" style="155" hidden="1" customWidth="1"/>
    <col min="8" max="8" width="15.1640625" style="155" hidden="1" customWidth="1"/>
    <col min="9" max="10" width="17" style="155" hidden="1" customWidth="1"/>
    <col min="11" max="11" width="2.83203125" style="155" hidden="1" customWidth="1"/>
    <col min="12" max="12" width="17.83203125" style="155" hidden="1" customWidth="1"/>
    <col min="13" max="13" width="0.1640625" style="155" hidden="1" customWidth="1"/>
    <col min="14" max="14" width="27.6640625" style="155" hidden="1" customWidth="1"/>
    <col min="15" max="16" width="27.6640625" style="155" bestFit="1" customWidth="1"/>
    <col min="17" max="17" width="25.33203125" style="155" customWidth="1"/>
    <col min="18" max="18" width="10.83203125" style="155" bestFit="1" customWidth="1"/>
    <col min="19" max="16384" width="9.33203125" style="155"/>
  </cols>
  <sheetData>
    <row r="1" spans="1:18" ht="27" customHeight="1">
      <c r="A1" s="373" t="s">
        <v>45</v>
      </c>
      <c r="B1" s="443" t="s">
        <v>712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35"/>
      <c r="P1" s="335"/>
      <c r="Q1" s="335"/>
    </row>
    <row r="2" spans="1:18" ht="27" customHeight="1">
      <c r="A2" s="373" t="s">
        <v>28</v>
      </c>
      <c r="B2" s="373" t="s">
        <v>29</v>
      </c>
      <c r="C2" s="373" t="s">
        <v>43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3</v>
      </c>
      <c r="I2" s="378" t="s">
        <v>69</v>
      </c>
      <c r="J2" s="378" t="s">
        <v>130</v>
      </c>
      <c r="K2" s="378" t="s">
        <v>137</v>
      </c>
      <c r="L2" s="378" t="s">
        <v>143</v>
      </c>
      <c r="M2" s="378" t="s">
        <v>180</v>
      </c>
      <c r="N2" s="378" t="s">
        <v>297</v>
      </c>
      <c r="O2" s="378" t="s">
        <v>641</v>
      </c>
      <c r="P2" s="378" t="s">
        <v>1111</v>
      </c>
      <c r="Q2" s="378" t="s">
        <v>63</v>
      </c>
    </row>
    <row r="3" spans="1:18" ht="27" customHeight="1">
      <c r="A3" s="292" t="s">
        <v>248</v>
      </c>
      <c r="B3" s="292" t="s">
        <v>165</v>
      </c>
      <c r="C3" s="292" t="s">
        <v>165</v>
      </c>
      <c r="D3" s="292" t="s">
        <v>165</v>
      </c>
      <c r="E3" s="292" t="s">
        <v>165</v>
      </c>
      <c r="F3" s="292" t="s">
        <v>165</v>
      </c>
      <c r="G3" s="292" t="s">
        <v>165</v>
      </c>
      <c r="H3" s="292" t="s">
        <v>165</v>
      </c>
      <c r="I3" s="335"/>
      <c r="J3" s="335"/>
      <c r="K3" s="335"/>
      <c r="L3" s="335"/>
      <c r="M3" s="335"/>
      <c r="N3" s="335"/>
      <c r="O3" s="335"/>
      <c r="P3" s="335"/>
      <c r="Q3" s="335"/>
    </row>
    <row r="4" spans="1:18" ht="27" customHeight="1">
      <c r="A4" s="292" t="s">
        <v>249</v>
      </c>
      <c r="B4" s="292" t="s">
        <v>250</v>
      </c>
      <c r="C4" s="292" t="s">
        <v>250</v>
      </c>
      <c r="D4" s="292" t="s">
        <v>250</v>
      </c>
      <c r="E4" s="292" t="s">
        <v>250</v>
      </c>
      <c r="F4" s="292" t="s">
        <v>250</v>
      </c>
      <c r="G4" s="292" t="s">
        <v>250</v>
      </c>
      <c r="H4" s="292" t="s">
        <v>250</v>
      </c>
      <c r="I4" s="284">
        <f>225024000+2460000+13176000</f>
        <v>240660000</v>
      </c>
      <c r="J4" s="284">
        <f>331297200+41589600</f>
        <v>372886800</v>
      </c>
      <c r="K4" s="284">
        <f>345586800+54000000+6000000</f>
        <v>405586800</v>
      </c>
      <c r="L4" s="284">
        <f>405586800+12000000</f>
        <v>417586800</v>
      </c>
      <c r="M4" s="335"/>
      <c r="N4" s="335"/>
      <c r="O4" s="335"/>
      <c r="P4" s="335"/>
      <c r="Q4" s="335"/>
      <c r="R4" s="455"/>
    </row>
    <row r="5" spans="1:18" ht="27" customHeight="1">
      <c r="A5" s="284" t="s">
        <v>247</v>
      </c>
      <c r="B5" s="284" t="s">
        <v>32</v>
      </c>
      <c r="C5" s="284" t="s">
        <v>32</v>
      </c>
      <c r="D5" s="284" t="s">
        <v>32</v>
      </c>
      <c r="E5" s="284" t="s">
        <v>32</v>
      </c>
      <c r="F5" s="284" t="s">
        <v>32</v>
      </c>
      <c r="G5" s="284" t="s">
        <v>32</v>
      </c>
      <c r="H5" s="284" t="s">
        <v>32</v>
      </c>
      <c r="I5" s="284">
        <v>0</v>
      </c>
      <c r="J5" s="284">
        <v>0</v>
      </c>
      <c r="K5" s="284">
        <v>0</v>
      </c>
      <c r="L5" s="284">
        <v>0</v>
      </c>
      <c r="M5" s="284">
        <f>417586800+10186800</f>
        <v>427773600</v>
      </c>
      <c r="N5" s="284">
        <f>'shaq,3'!H31+36000000+36909600+96096000</f>
        <v>655008000</v>
      </c>
      <c r="O5" s="284">
        <v>622814400</v>
      </c>
      <c r="P5" s="284">
        <v>929292000</v>
      </c>
      <c r="Q5" s="284">
        <f>P5-O5</f>
        <v>306477600</v>
      </c>
    </row>
    <row r="6" spans="1:18" ht="27" customHeight="1">
      <c r="A6" s="284" t="s">
        <v>251</v>
      </c>
      <c r="B6" s="284" t="s">
        <v>812</v>
      </c>
      <c r="C6" s="284" t="s">
        <v>33</v>
      </c>
      <c r="D6" s="284" t="s">
        <v>33</v>
      </c>
      <c r="E6" s="284" t="s">
        <v>33</v>
      </c>
      <c r="F6" s="284" t="s">
        <v>33</v>
      </c>
      <c r="G6" s="284" t="s">
        <v>33</v>
      </c>
      <c r="H6" s="284" t="s">
        <v>33</v>
      </c>
      <c r="I6" s="284">
        <v>18000000</v>
      </c>
      <c r="J6" s="284">
        <v>18000000</v>
      </c>
      <c r="K6" s="284">
        <f>16800000+32400000+1440000</f>
        <v>50640000</v>
      </c>
      <c r="L6" s="284">
        <f>50640000+1440000+7920000</f>
        <v>60000000</v>
      </c>
      <c r="M6" s="284">
        <v>0</v>
      </c>
      <c r="N6" s="284">
        <v>0</v>
      </c>
      <c r="O6" s="284">
        <v>436368000</v>
      </c>
      <c r="P6" s="284">
        <v>194400000</v>
      </c>
      <c r="Q6" s="284">
        <f t="shared" ref="Q6:Q47" si="0">P6-O6</f>
        <v>-241968000</v>
      </c>
    </row>
    <row r="7" spans="1:18" ht="27" customHeight="1">
      <c r="A7" s="284" t="s">
        <v>252</v>
      </c>
      <c r="B7" s="284" t="s">
        <v>34</v>
      </c>
      <c r="C7" s="284" t="s">
        <v>34</v>
      </c>
      <c r="D7" s="284" t="s">
        <v>34</v>
      </c>
      <c r="E7" s="284" t="s">
        <v>34</v>
      </c>
      <c r="F7" s="284" t="s">
        <v>34</v>
      </c>
      <c r="G7" s="284" t="s">
        <v>34</v>
      </c>
      <c r="H7" s="284" t="s">
        <v>34</v>
      </c>
      <c r="I7" s="284">
        <v>0</v>
      </c>
      <c r="J7" s="284">
        <v>0</v>
      </c>
      <c r="K7" s="284">
        <v>0</v>
      </c>
      <c r="L7" s="284">
        <v>0</v>
      </c>
      <c r="M7" s="284">
        <f>60000000+4800000</f>
        <v>64800000</v>
      </c>
      <c r="N7" s="284">
        <f>60000000+4800000</f>
        <v>64800000</v>
      </c>
      <c r="O7" s="284">
        <v>93600000</v>
      </c>
      <c r="P7" s="284">
        <v>234000000</v>
      </c>
      <c r="Q7" s="284">
        <f t="shared" si="0"/>
        <v>140400000</v>
      </c>
    </row>
    <row r="8" spans="1:18" ht="27" customHeight="1">
      <c r="A8" s="284" t="s">
        <v>676</v>
      </c>
      <c r="B8" s="284" t="s">
        <v>677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>
        <v>30000000</v>
      </c>
      <c r="O8" s="284">
        <v>0</v>
      </c>
      <c r="P8" s="284">
        <v>0</v>
      </c>
      <c r="Q8" s="284">
        <f t="shared" si="0"/>
        <v>0</v>
      </c>
    </row>
    <row r="9" spans="1:18" ht="27" customHeight="1">
      <c r="A9" s="284"/>
      <c r="B9" s="292" t="s">
        <v>119</v>
      </c>
      <c r="C9" s="292" t="s">
        <v>119</v>
      </c>
      <c r="D9" s="292" t="s">
        <v>119</v>
      </c>
      <c r="E9" s="292" t="s">
        <v>119</v>
      </c>
      <c r="F9" s="292" t="s">
        <v>119</v>
      </c>
      <c r="G9" s="292" t="s">
        <v>119</v>
      </c>
      <c r="H9" s="292" t="s">
        <v>119</v>
      </c>
      <c r="I9" s="284">
        <v>15000000</v>
      </c>
      <c r="J9" s="284">
        <v>11172000</v>
      </c>
      <c r="K9" s="284">
        <v>13000000</v>
      </c>
      <c r="L9" s="284">
        <v>0</v>
      </c>
      <c r="M9" s="292" t="e">
        <f>#REF!+#REF!+N7+M5</f>
        <v>#REF!</v>
      </c>
      <c r="N9" s="292">
        <f>N8+N7+N5+N6</f>
        <v>749808000</v>
      </c>
      <c r="O9" s="292">
        <f>O8+O7+O5+O6</f>
        <v>1152782400</v>
      </c>
      <c r="P9" s="292">
        <f>SUM(P5:P8)</f>
        <v>1357692000</v>
      </c>
      <c r="Q9" s="284">
        <f t="shared" si="0"/>
        <v>204909600</v>
      </c>
    </row>
    <row r="10" spans="1:18" ht="27" customHeight="1">
      <c r="A10" s="292" t="s">
        <v>262</v>
      </c>
      <c r="B10" s="292" t="s">
        <v>263</v>
      </c>
      <c r="C10" s="292" t="s">
        <v>263</v>
      </c>
      <c r="D10" s="292" t="s">
        <v>263</v>
      </c>
      <c r="E10" s="292" t="s">
        <v>263</v>
      </c>
      <c r="F10" s="292" t="s">
        <v>263</v>
      </c>
      <c r="G10" s="292" t="s">
        <v>263</v>
      </c>
      <c r="H10" s="292" t="s">
        <v>263</v>
      </c>
      <c r="I10" s="284">
        <v>10000000</v>
      </c>
      <c r="J10" s="284">
        <v>7448000</v>
      </c>
      <c r="K10" s="284">
        <v>10000000</v>
      </c>
      <c r="L10" s="284">
        <v>0</v>
      </c>
      <c r="M10" s="284"/>
      <c r="N10" s="284"/>
      <c r="O10" s="284"/>
      <c r="P10" s="284"/>
      <c r="Q10" s="284">
        <f t="shared" si="0"/>
        <v>0</v>
      </c>
    </row>
    <row r="11" spans="1:18" ht="27" customHeight="1">
      <c r="A11" s="292" t="s">
        <v>265</v>
      </c>
      <c r="B11" s="292" t="s">
        <v>264</v>
      </c>
      <c r="C11" s="292" t="s">
        <v>264</v>
      </c>
      <c r="D11" s="292" t="s">
        <v>264</v>
      </c>
      <c r="E11" s="292" t="s">
        <v>264</v>
      </c>
      <c r="F11" s="292" t="s">
        <v>264</v>
      </c>
      <c r="G11" s="292" t="s">
        <v>264</v>
      </c>
      <c r="H11" s="292" t="s">
        <v>264</v>
      </c>
      <c r="I11" s="284">
        <v>0</v>
      </c>
      <c r="J11" s="284">
        <v>0</v>
      </c>
      <c r="K11" s="284">
        <v>0</v>
      </c>
      <c r="L11" s="284">
        <v>3724000</v>
      </c>
      <c r="M11" s="284"/>
      <c r="N11" s="284"/>
      <c r="O11" s="284"/>
      <c r="P11" s="284"/>
      <c r="Q11" s="284">
        <f t="shared" si="0"/>
        <v>0</v>
      </c>
    </row>
    <row r="12" spans="1:18" ht="27" customHeight="1">
      <c r="A12" s="284" t="s">
        <v>266</v>
      </c>
      <c r="B12" s="284" t="s">
        <v>38</v>
      </c>
      <c r="C12" s="284" t="s">
        <v>38</v>
      </c>
      <c r="D12" s="284" t="s">
        <v>38</v>
      </c>
      <c r="E12" s="284" t="s">
        <v>38</v>
      </c>
      <c r="F12" s="284" t="s">
        <v>38</v>
      </c>
      <c r="G12" s="284" t="s">
        <v>38</v>
      </c>
      <c r="H12" s="284" t="s">
        <v>38</v>
      </c>
      <c r="I12" s="284">
        <v>0</v>
      </c>
      <c r="J12" s="284">
        <v>0</v>
      </c>
      <c r="K12" s="284">
        <v>0</v>
      </c>
      <c r="L12" s="284">
        <v>8937600</v>
      </c>
      <c r="M12" s="284">
        <v>26068000</v>
      </c>
      <c r="N12" s="284">
        <f>26068000*70%</f>
        <v>18247600</v>
      </c>
      <c r="O12" s="284">
        <v>48247600</v>
      </c>
      <c r="P12" s="284">
        <v>48247600</v>
      </c>
      <c r="Q12" s="284">
        <f t="shared" si="0"/>
        <v>0</v>
      </c>
    </row>
    <row r="13" spans="1:18" s="427" customFormat="1" ht="27" customHeight="1">
      <c r="A13" s="284" t="s">
        <v>267</v>
      </c>
      <c r="B13" s="284" t="s">
        <v>152</v>
      </c>
      <c r="C13" s="284" t="s">
        <v>152</v>
      </c>
      <c r="D13" s="284" t="s">
        <v>152</v>
      </c>
      <c r="E13" s="284" t="s">
        <v>152</v>
      </c>
      <c r="F13" s="284" t="s">
        <v>152</v>
      </c>
      <c r="G13" s="284" t="s">
        <v>152</v>
      </c>
      <c r="H13" s="284" t="s">
        <v>152</v>
      </c>
      <c r="I13" s="292">
        <f>SUM(I9:I12)</f>
        <v>25000000</v>
      </c>
      <c r="J13" s="292">
        <f>SUM(J9:J12)</f>
        <v>18620000</v>
      </c>
      <c r="K13" s="292">
        <f>SUM(K9:K12)</f>
        <v>23000000</v>
      </c>
      <c r="L13" s="284">
        <v>8192800</v>
      </c>
      <c r="M13" s="284">
        <v>0</v>
      </c>
      <c r="N13" s="284">
        <v>0</v>
      </c>
      <c r="O13" s="284">
        <v>20000000</v>
      </c>
      <c r="P13" s="284">
        <v>20000000</v>
      </c>
      <c r="Q13" s="284">
        <f t="shared" si="0"/>
        <v>0</v>
      </c>
    </row>
    <row r="14" spans="1:18" ht="27" customHeight="1">
      <c r="A14" s="284" t="s">
        <v>268</v>
      </c>
      <c r="B14" s="284" t="s">
        <v>153</v>
      </c>
      <c r="C14" s="284" t="s">
        <v>153</v>
      </c>
      <c r="D14" s="284" t="s">
        <v>153</v>
      </c>
      <c r="E14" s="284" t="s">
        <v>153</v>
      </c>
      <c r="F14" s="284" t="s">
        <v>153</v>
      </c>
      <c r="G14" s="284" t="s">
        <v>153</v>
      </c>
      <c r="H14" s="284" t="s">
        <v>153</v>
      </c>
      <c r="I14" s="284"/>
      <c r="J14" s="284"/>
      <c r="K14" s="284"/>
      <c r="L14" s="284">
        <v>0</v>
      </c>
      <c r="M14" s="284">
        <v>0</v>
      </c>
      <c r="N14" s="284">
        <v>0</v>
      </c>
      <c r="O14" s="284">
        <v>0</v>
      </c>
      <c r="P14" s="284">
        <v>0</v>
      </c>
      <c r="Q14" s="284">
        <f t="shared" si="0"/>
        <v>0</v>
      </c>
    </row>
    <row r="15" spans="1:18" ht="27" customHeight="1">
      <c r="A15" s="284" t="s">
        <v>269</v>
      </c>
      <c r="B15" s="284" t="s">
        <v>186</v>
      </c>
      <c r="C15" s="284" t="s">
        <v>186</v>
      </c>
      <c r="D15" s="284" t="s">
        <v>186</v>
      </c>
      <c r="E15" s="284" t="s">
        <v>186</v>
      </c>
      <c r="F15" s="284" t="s">
        <v>186</v>
      </c>
      <c r="G15" s="284" t="s">
        <v>186</v>
      </c>
      <c r="H15" s="284" t="s">
        <v>186</v>
      </c>
      <c r="I15" s="284">
        <v>0</v>
      </c>
      <c r="J15" s="284">
        <v>0</v>
      </c>
      <c r="K15" s="284">
        <v>5000000</v>
      </c>
      <c r="L15" s="284">
        <v>49156800</v>
      </c>
      <c r="M15" s="284">
        <v>8365593</v>
      </c>
      <c r="N15" s="284">
        <f>M15*70%</f>
        <v>5855915.0999999996</v>
      </c>
      <c r="O15" s="284">
        <f>N15</f>
        <v>5855915.0999999996</v>
      </c>
      <c r="P15" s="284">
        <f>O15</f>
        <v>5855915.0999999996</v>
      </c>
      <c r="Q15" s="284">
        <f t="shared" si="0"/>
        <v>0</v>
      </c>
    </row>
    <row r="16" spans="1:18" ht="27" customHeight="1">
      <c r="A16" s="284" t="s">
        <v>270</v>
      </c>
      <c r="B16" s="284" t="s">
        <v>163</v>
      </c>
      <c r="C16" s="284" t="s">
        <v>163</v>
      </c>
      <c r="D16" s="284" t="s">
        <v>163</v>
      </c>
      <c r="E16" s="284" t="s">
        <v>163</v>
      </c>
      <c r="F16" s="284" t="s">
        <v>163</v>
      </c>
      <c r="G16" s="284" t="s">
        <v>163</v>
      </c>
      <c r="H16" s="284" t="s">
        <v>163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  <c r="Q16" s="284">
        <f t="shared" si="0"/>
        <v>0</v>
      </c>
    </row>
    <row r="17" spans="1:17" ht="27" customHeight="1">
      <c r="A17" s="284" t="s">
        <v>271</v>
      </c>
      <c r="B17" s="284" t="s">
        <v>154</v>
      </c>
      <c r="C17" s="284" t="s">
        <v>154</v>
      </c>
      <c r="D17" s="284" t="s">
        <v>154</v>
      </c>
      <c r="E17" s="284" t="s">
        <v>154</v>
      </c>
      <c r="F17" s="284" t="s">
        <v>154</v>
      </c>
      <c r="G17" s="284" t="s">
        <v>154</v>
      </c>
      <c r="H17" s="284" t="s">
        <v>154</v>
      </c>
      <c r="I17" s="284">
        <v>2000000</v>
      </c>
      <c r="J17" s="284">
        <v>1489600</v>
      </c>
      <c r="K17" s="284">
        <v>3000000</v>
      </c>
      <c r="L17" s="292">
        <f>SUM(L9:L16)</f>
        <v>70011200</v>
      </c>
      <c r="M17" s="284">
        <v>0</v>
      </c>
      <c r="N17" s="284">
        <v>0</v>
      </c>
      <c r="O17" s="284">
        <v>0</v>
      </c>
      <c r="P17" s="284">
        <v>0</v>
      </c>
      <c r="Q17" s="284">
        <f t="shared" si="0"/>
        <v>0</v>
      </c>
    </row>
    <row r="18" spans="1:17" ht="27" customHeight="1">
      <c r="A18" s="284" t="s">
        <v>272</v>
      </c>
      <c r="B18" s="284" t="s">
        <v>54</v>
      </c>
      <c r="C18" s="284" t="s">
        <v>54</v>
      </c>
      <c r="D18" s="284" t="s">
        <v>54</v>
      </c>
      <c r="E18" s="284" t="s">
        <v>54</v>
      </c>
      <c r="F18" s="284" t="s">
        <v>54</v>
      </c>
      <c r="G18" s="284" t="s">
        <v>54</v>
      </c>
      <c r="H18" s="284" t="s">
        <v>54</v>
      </c>
      <c r="I18" s="284">
        <v>0</v>
      </c>
      <c r="J18" s="284">
        <v>0</v>
      </c>
      <c r="K18" s="284">
        <v>0</v>
      </c>
      <c r="L18" s="284">
        <v>0</v>
      </c>
      <c r="M18" s="284">
        <v>3724000</v>
      </c>
      <c r="N18" s="284">
        <v>2606800</v>
      </c>
      <c r="O18" s="284">
        <f>N18*70%</f>
        <v>1824760</v>
      </c>
      <c r="P18" s="284">
        <f>O18</f>
        <v>1824760</v>
      </c>
      <c r="Q18" s="284">
        <f t="shared" si="0"/>
        <v>0</v>
      </c>
    </row>
    <row r="19" spans="1:17" s="427" customFormat="1" ht="27" customHeight="1">
      <c r="A19" s="284" t="s">
        <v>273</v>
      </c>
      <c r="B19" s="284" t="s">
        <v>120</v>
      </c>
      <c r="C19" s="284" t="s">
        <v>120</v>
      </c>
      <c r="D19" s="284" t="s">
        <v>120</v>
      </c>
      <c r="E19" s="284" t="s">
        <v>120</v>
      </c>
      <c r="F19" s="284" t="s">
        <v>120</v>
      </c>
      <c r="G19" s="284" t="s">
        <v>120</v>
      </c>
      <c r="H19" s="284" t="s">
        <v>120</v>
      </c>
      <c r="I19" s="292">
        <f>SUM(I15:I18)</f>
        <v>2000000</v>
      </c>
      <c r="J19" s="292">
        <f>SUM(J15:J18)</f>
        <v>1489600</v>
      </c>
      <c r="K19" s="292">
        <f>SUM(K15:K18)</f>
        <v>8000000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f t="shared" si="0"/>
        <v>0</v>
      </c>
    </row>
    <row r="20" spans="1:17" ht="27" customHeight="1">
      <c r="A20" s="284" t="s">
        <v>274</v>
      </c>
      <c r="B20" s="284" t="s">
        <v>164</v>
      </c>
      <c r="C20" s="284" t="s">
        <v>164</v>
      </c>
      <c r="D20" s="284" t="s">
        <v>164</v>
      </c>
      <c r="E20" s="284" t="s">
        <v>164</v>
      </c>
      <c r="F20" s="284" t="s">
        <v>164</v>
      </c>
      <c r="G20" s="284" t="s">
        <v>164</v>
      </c>
      <c r="H20" s="284" t="s">
        <v>164</v>
      </c>
      <c r="I20" s="284"/>
      <c r="J20" s="284"/>
      <c r="K20" s="284"/>
      <c r="L20" s="284">
        <v>148176000</v>
      </c>
      <c r="M20" s="284">
        <v>13937600</v>
      </c>
      <c r="N20" s="284">
        <f>13937600*70%</f>
        <v>9756320</v>
      </c>
      <c r="O20" s="284">
        <f>13937600*70%</f>
        <v>9756320</v>
      </c>
      <c r="P20" s="284">
        <f>13937600*70%</f>
        <v>9756320</v>
      </c>
      <c r="Q20" s="284">
        <f t="shared" si="0"/>
        <v>0</v>
      </c>
    </row>
    <row r="21" spans="1:17" ht="27" customHeight="1">
      <c r="A21" s="284" t="s">
        <v>275</v>
      </c>
      <c r="B21" s="284" t="s">
        <v>40</v>
      </c>
      <c r="C21" s="284" t="s">
        <v>40</v>
      </c>
      <c r="D21" s="284" t="s">
        <v>40</v>
      </c>
      <c r="E21" s="284" t="s">
        <v>40</v>
      </c>
      <c r="F21" s="284" t="s">
        <v>40</v>
      </c>
      <c r="G21" s="284" t="s">
        <v>40</v>
      </c>
      <c r="H21" s="284" t="s">
        <v>40</v>
      </c>
      <c r="I21" s="284">
        <v>35000000</v>
      </c>
      <c r="J21" s="284">
        <v>29792000</v>
      </c>
      <c r="K21" s="284">
        <v>40000000</v>
      </c>
      <c r="L21" s="284">
        <v>11172000</v>
      </c>
      <c r="M21" s="284">
        <v>14192800</v>
      </c>
      <c r="N21" s="284">
        <v>9934960</v>
      </c>
      <c r="O21" s="284">
        <v>9934960</v>
      </c>
      <c r="P21" s="284">
        <v>9934960</v>
      </c>
      <c r="Q21" s="284">
        <f t="shared" si="0"/>
        <v>0</v>
      </c>
    </row>
    <row r="22" spans="1:17" ht="27" customHeight="1">
      <c r="A22" s="284" t="s">
        <v>311</v>
      </c>
      <c r="B22" s="284" t="s">
        <v>351</v>
      </c>
      <c r="C22" s="284" t="s">
        <v>351</v>
      </c>
      <c r="D22" s="284" t="s">
        <v>351</v>
      </c>
      <c r="E22" s="284" t="s">
        <v>351</v>
      </c>
      <c r="F22" s="284" t="s">
        <v>351</v>
      </c>
      <c r="G22" s="284" t="s">
        <v>351</v>
      </c>
      <c r="H22" s="284" t="s">
        <v>351</v>
      </c>
      <c r="I22" s="284">
        <v>0</v>
      </c>
      <c r="J22" s="284">
        <v>0</v>
      </c>
      <c r="K22" s="284">
        <v>0</v>
      </c>
      <c r="L22" s="284">
        <v>7448000</v>
      </c>
      <c r="M22" s="284">
        <v>0</v>
      </c>
      <c r="N22" s="284">
        <v>0</v>
      </c>
      <c r="O22" s="284">
        <v>0</v>
      </c>
      <c r="P22" s="284">
        <v>0</v>
      </c>
      <c r="Q22" s="284">
        <f t="shared" si="0"/>
        <v>0</v>
      </c>
    </row>
    <row r="23" spans="1:17" ht="27" customHeight="1">
      <c r="A23" s="284" t="s">
        <v>385</v>
      </c>
      <c r="B23" s="284" t="s">
        <v>386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92"/>
      <c r="M23" s="284">
        <v>37240000</v>
      </c>
      <c r="N23" s="284">
        <f>37240000*70%+100000000</f>
        <v>126068000</v>
      </c>
      <c r="O23" s="284">
        <v>156068000</v>
      </c>
      <c r="P23" s="284">
        <v>156068000</v>
      </c>
      <c r="Q23" s="284">
        <f t="shared" si="0"/>
        <v>0</v>
      </c>
    </row>
    <row r="24" spans="1:17" ht="27" customHeight="1">
      <c r="A24" s="284" t="s">
        <v>277</v>
      </c>
      <c r="B24" s="284" t="s">
        <v>218</v>
      </c>
      <c r="C24" s="284" t="s">
        <v>218</v>
      </c>
      <c r="D24" s="284" t="s">
        <v>218</v>
      </c>
      <c r="E24" s="284" t="s">
        <v>218</v>
      </c>
      <c r="F24" s="284" t="s">
        <v>218</v>
      </c>
      <c r="G24" s="284" t="s">
        <v>218</v>
      </c>
      <c r="H24" s="284" t="s">
        <v>218</v>
      </c>
      <c r="I24" s="284">
        <v>0</v>
      </c>
      <c r="J24" s="284">
        <v>0</v>
      </c>
      <c r="K24" s="284">
        <v>0</v>
      </c>
      <c r="L24" s="284"/>
      <c r="M24" s="284">
        <v>89156800</v>
      </c>
      <c r="N24" s="284">
        <f>89156800*70%+100000000</f>
        <v>162409760</v>
      </c>
      <c r="O24" s="284">
        <v>0</v>
      </c>
      <c r="P24" s="284">
        <v>0</v>
      </c>
      <c r="Q24" s="284">
        <f t="shared" si="0"/>
        <v>0</v>
      </c>
    </row>
    <row r="25" spans="1:17" s="427" customFormat="1" ht="27" customHeight="1">
      <c r="A25" s="284" t="s">
        <v>276</v>
      </c>
      <c r="B25" s="284" t="s">
        <v>339</v>
      </c>
      <c r="C25" s="284" t="s">
        <v>339</v>
      </c>
      <c r="D25" s="284" t="s">
        <v>339</v>
      </c>
      <c r="E25" s="284" t="s">
        <v>339</v>
      </c>
      <c r="F25" s="284" t="s">
        <v>339</v>
      </c>
      <c r="G25" s="284" t="s">
        <v>339</v>
      </c>
      <c r="H25" s="284" t="s">
        <v>339</v>
      </c>
      <c r="I25" s="292">
        <f>SUM(I21:I24)</f>
        <v>35000000</v>
      </c>
      <c r="J25" s="292">
        <f>SUM(J21:J24)</f>
        <v>29792000</v>
      </c>
      <c r="K25" s="292">
        <f>SUM(K21:K24)</f>
        <v>40000000</v>
      </c>
      <c r="L25" s="292"/>
      <c r="M25" s="284">
        <v>0</v>
      </c>
      <c r="N25" s="284">
        <v>0</v>
      </c>
      <c r="O25" s="284">
        <v>0</v>
      </c>
      <c r="P25" s="284">
        <v>0</v>
      </c>
      <c r="Q25" s="284">
        <f t="shared" si="0"/>
        <v>0</v>
      </c>
    </row>
    <row r="26" spans="1:17" ht="27" customHeight="1">
      <c r="A26" s="292">
        <v>0</v>
      </c>
      <c r="B26" s="292" t="s">
        <v>119</v>
      </c>
      <c r="C26" s="292" t="s">
        <v>119</v>
      </c>
      <c r="D26" s="292" t="s">
        <v>119</v>
      </c>
      <c r="E26" s="292" t="s">
        <v>119</v>
      </c>
      <c r="F26" s="292" t="s">
        <v>119</v>
      </c>
      <c r="G26" s="292" t="s">
        <v>119</v>
      </c>
      <c r="H26" s="292" t="s">
        <v>119</v>
      </c>
      <c r="I26" s="284">
        <v>30000000</v>
      </c>
      <c r="J26" s="284">
        <v>26068000</v>
      </c>
      <c r="K26" s="284">
        <v>30000000</v>
      </c>
      <c r="L26" s="284">
        <v>0</v>
      </c>
      <c r="M26" s="292">
        <f>SUM(M12:M25)</f>
        <v>192684793</v>
      </c>
      <c r="N26" s="292">
        <f>SUM(N12:N25)</f>
        <v>334879355.10000002</v>
      </c>
      <c r="O26" s="292">
        <f>SUM(O12:O25)</f>
        <v>251687555.09999999</v>
      </c>
      <c r="P26" s="292">
        <f>SUM(P12:P25)</f>
        <v>251687555.09999999</v>
      </c>
      <c r="Q26" s="284">
        <f t="shared" si="0"/>
        <v>0</v>
      </c>
    </row>
    <row r="27" spans="1:17" ht="27" customHeight="1">
      <c r="A27" s="292" t="s">
        <v>279</v>
      </c>
      <c r="B27" s="292" t="s">
        <v>278</v>
      </c>
      <c r="C27" s="292" t="s">
        <v>278</v>
      </c>
      <c r="D27" s="292" t="s">
        <v>278</v>
      </c>
      <c r="E27" s="292" t="s">
        <v>278</v>
      </c>
      <c r="F27" s="292" t="s">
        <v>278</v>
      </c>
      <c r="G27" s="292" t="s">
        <v>278</v>
      </c>
      <c r="H27" s="292" t="s">
        <v>278</v>
      </c>
      <c r="I27" s="284">
        <v>0</v>
      </c>
      <c r="J27" s="284">
        <v>0</v>
      </c>
      <c r="K27" s="284">
        <v>0</v>
      </c>
      <c r="L27" s="284">
        <v>0</v>
      </c>
      <c r="M27" s="284"/>
      <c r="N27" s="284"/>
      <c r="O27" s="284"/>
      <c r="P27" s="284"/>
      <c r="Q27" s="284">
        <f t="shared" si="0"/>
        <v>0</v>
      </c>
    </row>
    <row r="28" spans="1:17" ht="27" customHeight="1">
      <c r="A28" s="284" t="s">
        <v>280</v>
      </c>
      <c r="B28" s="284" t="s">
        <v>160</v>
      </c>
      <c r="C28" s="284" t="s">
        <v>160</v>
      </c>
      <c r="D28" s="284" t="s">
        <v>160</v>
      </c>
      <c r="E28" s="284" t="s">
        <v>160</v>
      </c>
      <c r="F28" s="284" t="s">
        <v>160</v>
      </c>
      <c r="G28" s="284" t="s">
        <v>160</v>
      </c>
      <c r="H28" s="284" t="s">
        <v>160</v>
      </c>
      <c r="I28" s="284">
        <v>11232000</v>
      </c>
      <c r="J28" s="284">
        <v>8365593</v>
      </c>
      <c r="K28" s="284">
        <v>17000000</v>
      </c>
      <c r="L28" s="284">
        <v>0</v>
      </c>
      <c r="M28" s="284">
        <v>0</v>
      </c>
      <c r="N28" s="284">
        <v>0</v>
      </c>
      <c r="O28" s="284">
        <v>0</v>
      </c>
      <c r="P28" s="284">
        <v>0</v>
      </c>
      <c r="Q28" s="284">
        <f t="shared" si="0"/>
        <v>0</v>
      </c>
    </row>
    <row r="29" spans="1:17" ht="27" customHeight="1">
      <c r="A29" s="284" t="s">
        <v>281</v>
      </c>
      <c r="B29" s="284" t="s">
        <v>161</v>
      </c>
      <c r="C29" s="284" t="s">
        <v>161</v>
      </c>
      <c r="D29" s="284" t="s">
        <v>161</v>
      </c>
      <c r="E29" s="284" t="s">
        <v>161</v>
      </c>
      <c r="F29" s="284" t="s">
        <v>161</v>
      </c>
      <c r="G29" s="284" t="s">
        <v>161</v>
      </c>
      <c r="H29" s="284" t="s">
        <v>161</v>
      </c>
      <c r="I29" s="284">
        <v>5000000</v>
      </c>
      <c r="J29" s="284">
        <v>3724000</v>
      </c>
      <c r="K29" s="284">
        <v>8956000</v>
      </c>
      <c r="L29" s="292">
        <f>SUM(L26:L28)</f>
        <v>0</v>
      </c>
      <c r="M29" s="284">
        <v>305300000</v>
      </c>
      <c r="N29" s="284">
        <v>213710000</v>
      </c>
      <c r="O29" s="284">
        <f>N29*80%</f>
        <v>170968000</v>
      </c>
      <c r="P29" s="284">
        <f>O29</f>
        <v>170968000</v>
      </c>
      <c r="Q29" s="284">
        <f t="shared" si="0"/>
        <v>0</v>
      </c>
    </row>
    <row r="30" spans="1:17" ht="27" customHeight="1">
      <c r="A30" s="284" t="s">
        <v>282</v>
      </c>
      <c r="B30" s="284" t="s">
        <v>155</v>
      </c>
      <c r="C30" s="284" t="s">
        <v>155</v>
      </c>
      <c r="D30" s="284" t="s">
        <v>155</v>
      </c>
      <c r="E30" s="284" t="s">
        <v>155</v>
      </c>
      <c r="F30" s="284" t="s">
        <v>155</v>
      </c>
      <c r="G30" s="284" t="s">
        <v>155</v>
      </c>
      <c r="H30" s="284" t="s">
        <v>155</v>
      </c>
      <c r="I30" s="284">
        <v>12000000</v>
      </c>
      <c r="J30" s="284">
        <v>8937600</v>
      </c>
      <c r="K30" s="284">
        <v>10000000</v>
      </c>
      <c r="L30" s="284"/>
      <c r="M30" s="284">
        <v>21172000</v>
      </c>
      <c r="N30" s="284">
        <v>14820400</v>
      </c>
      <c r="O30" s="284">
        <v>14820400</v>
      </c>
      <c r="P30" s="284">
        <v>14820400</v>
      </c>
      <c r="Q30" s="284">
        <f t="shared" si="0"/>
        <v>0</v>
      </c>
    </row>
    <row r="31" spans="1:17" ht="27" customHeight="1">
      <c r="A31" s="284" t="s">
        <v>283</v>
      </c>
      <c r="B31" s="284" t="s">
        <v>156</v>
      </c>
      <c r="C31" s="284" t="s">
        <v>156</v>
      </c>
      <c r="D31" s="284" t="s">
        <v>156</v>
      </c>
      <c r="E31" s="284" t="s">
        <v>156</v>
      </c>
      <c r="F31" s="284" t="s">
        <v>156</v>
      </c>
      <c r="G31" s="284" t="s">
        <v>156</v>
      </c>
      <c r="H31" s="284" t="s">
        <v>156</v>
      </c>
      <c r="I31" s="284">
        <v>8000000</v>
      </c>
      <c r="J31" s="284">
        <v>8192800</v>
      </c>
      <c r="K31" s="284">
        <v>16000000</v>
      </c>
      <c r="L31" s="284">
        <v>29792000</v>
      </c>
      <c r="M31" s="284">
        <v>7667915</v>
      </c>
      <c r="N31" s="284">
        <f>7667915*70%</f>
        <v>5367540.5</v>
      </c>
      <c r="O31" s="284">
        <f>7667915*70%</f>
        <v>5367540.5</v>
      </c>
      <c r="P31" s="284">
        <f>7667915*70%</f>
        <v>5367540.5</v>
      </c>
      <c r="Q31" s="284">
        <f t="shared" si="0"/>
        <v>0</v>
      </c>
    </row>
    <row r="32" spans="1:17" ht="27" customHeight="1">
      <c r="A32" s="284" t="s">
        <v>603</v>
      </c>
      <c r="B32" s="284" t="s">
        <v>352</v>
      </c>
      <c r="C32" s="284" t="s">
        <v>352</v>
      </c>
      <c r="D32" s="284" t="s">
        <v>352</v>
      </c>
      <c r="E32" s="284" t="s">
        <v>352</v>
      </c>
      <c r="F32" s="284" t="s">
        <v>352</v>
      </c>
      <c r="G32" s="284" t="s">
        <v>352</v>
      </c>
      <c r="H32" s="284" t="s">
        <v>352</v>
      </c>
      <c r="I32" s="284">
        <v>66000000</v>
      </c>
      <c r="J32" s="284">
        <v>49156800</v>
      </c>
      <c r="K32" s="284">
        <v>60000000</v>
      </c>
      <c r="L32" s="284">
        <v>0</v>
      </c>
      <c r="M32" s="284">
        <v>0</v>
      </c>
      <c r="N32" s="284">
        <v>0</v>
      </c>
      <c r="O32" s="284">
        <v>0</v>
      </c>
      <c r="P32" s="284">
        <v>0</v>
      </c>
      <c r="Q32" s="284">
        <f t="shared" si="0"/>
        <v>0</v>
      </c>
    </row>
    <row r="33" spans="1:17" ht="27" customHeight="1">
      <c r="A33" s="284"/>
      <c r="B33" s="292" t="s">
        <v>119</v>
      </c>
      <c r="C33" s="292" t="s">
        <v>119</v>
      </c>
      <c r="D33" s="292" t="s">
        <v>119</v>
      </c>
      <c r="E33" s="292" t="s">
        <v>119</v>
      </c>
      <c r="F33" s="292" t="s">
        <v>119</v>
      </c>
      <c r="G33" s="292" t="s">
        <v>119</v>
      </c>
      <c r="H33" s="292" t="s">
        <v>119</v>
      </c>
      <c r="I33" s="284">
        <v>0</v>
      </c>
      <c r="J33" s="284">
        <v>0</v>
      </c>
      <c r="K33" s="284">
        <v>0</v>
      </c>
      <c r="L33" s="284">
        <v>1489600</v>
      </c>
      <c r="M33" s="292">
        <f>SUM(M28:M32)</f>
        <v>334139915</v>
      </c>
      <c r="N33" s="292">
        <f>SUM(N28:N32)</f>
        <v>233897940.5</v>
      </c>
      <c r="O33" s="292">
        <f>SUM(O28:O32)</f>
        <v>191155940.5</v>
      </c>
      <c r="P33" s="292">
        <f>SUM(P28:P32)</f>
        <v>191155940.5</v>
      </c>
      <c r="Q33" s="284">
        <f t="shared" si="0"/>
        <v>0</v>
      </c>
    </row>
    <row r="34" spans="1:17" ht="27" customHeight="1">
      <c r="A34" s="292" t="s">
        <v>285</v>
      </c>
      <c r="B34" s="292" t="s">
        <v>158</v>
      </c>
      <c r="C34" s="292" t="s">
        <v>158</v>
      </c>
      <c r="D34" s="292" t="s">
        <v>158</v>
      </c>
      <c r="E34" s="292" t="s">
        <v>158</v>
      </c>
      <c r="F34" s="292" t="s">
        <v>158</v>
      </c>
      <c r="G34" s="292" t="s">
        <v>158</v>
      </c>
      <c r="H34" s="292" t="s">
        <v>158</v>
      </c>
      <c r="I34" s="284"/>
      <c r="J34" s="284"/>
      <c r="K34" s="284"/>
      <c r="L34" s="284">
        <v>143746400</v>
      </c>
      <c r="M34" s="284"/>
      <c r="N34" s="284"/>
      <c r="O34" s="284"/>
      <c r="P34" s="284"/>
      <c r="Q34" s="284">
        <f t="shared" si="0"/>
        <v>0</v>
      </c>
    </row>
    <row r="35" spans="1:17" ht="27" customHeight="1">
      <c r="A35" s="284" t="s">
        <v>286</v>
      </c>
      <c r="B35" s="284" t="s">
        <v>55</v>
      </c>
      <c r="C35" s="284" t="s">
        <v>55</v>
      </c>
      <c r="D35" s="284" t="s">
        <v>55</v>
      </c>
      <c r="E35" s="284" t="s">
        <v>55</v>
      </c>
      <c r="F35" s="284" t="s">
        <v>55</v>
      </c>
      <c r="G35" s="284" t="s">
        <v>55</v>
      </c>
      <c r="H35" s="284" t="s">
        <v>55</v>
      </c>
      <c r="I35" s="284">
        <v>0</v>
      </c>
      <c r="J35" s="284">
        <v>0</v>
      </c>
      <c r="K35" s="284">
        <v>0</v>
      </c>
      <c r="L35" s="292">
        <f>SUM(L30:L34)</f>
        <v>175028000</v>
      </c>
      <c r="M35" s="284">
        <v>39792000</v>
      </c>
      <c r="N35" s="284">
        <v>27854400</v>
      </c>
      <c r="O35" s="284">
        <v>27854400</v>
      </c>
      <c r="P35" s="284">
        <v>27854400</v>
      </c>
      <c r="Q35" s="284">
        <f t="shared" si="0"/>
        <v>0</v>
      </c>
    </row>
    <row r="36" spans="1:17" ht="27" customHeight="1">
      <c r="A36" s="284" t="s">
        <v>288</v>
      </c>
      <c r="B36" s="284" t="s">
        <v>287</v>
      </c>
      <c r="C36" s="284" t="s">
        <v>287</v>
      </c>
      <c r="D36" s="284" t="s">
        <v>287</v>
      </c>
      <c r="E36" s="284" t="s">
        <v>287</v>
      </c>
      <c r="F36" s="284" t="s">
        <v>287</v>
      </c>
      <c r="G36" s="284" t="s">
        <v>287</v>
      </c>
      <c r="H36" s="284" t="s">
        <v>287</v>
      </c>
      <c r="I36" s="284">
        <v>193000000</v>
      </c>
      <c r="J36" s="284">
        <v>143746400</v>
      </c>
      <c r="K36" s="284">
        <v>190000000</v>
      </c>
      <c r="L36" s="292" t="e">
        <f>L35+L29+#REF!+L17+#REF!</f>
        <v>#REF!</v>
      </c>
      <c r="M36" s="284">
        <v>0</v>
      </c>
      <c r="N36" s="284">
        <v>0</v>
      </c>
      <c r="O36" s="284">
        <v>0</v>
      </c>
      <c r="P36" s="284">
        <v>0</v>
      </c>
      <c r="Q36" s="284">
        <f t="shared" si="0"/>
        <v>0</v>
      </c>
    </row>
    <row r="37" spans="1:17" ht="27" customHeight="1">
      <c r="A37" s="284" t="s">
        <v>390</v>
      </c>
      <c r="B37" s="284" t="s">
        <v>391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92"/>
      <c r="M37" s="284">
        <v>460000000</v>
      </c>
      <c r="N37" s="284">
        <f>600000000*70%</f>
        <v>420000000</v>
      </c>
      <c r="O37" s="284">
        <v>882000000</v>
      </c>
      <c r="P37" s="284">
        <v>982000000</v>
      </c>
      <c r="Q37" s="284">
        <f t="shared" si="0"/>
        <v>100000000</v>
      </c>
    </row>
    <row r="38" spans="1:17" ht="27" customHeight="1">
      <c r="A38" s="284" t="s">
        <v>323</v>
      </c>
      <c r="B38" s="284" t="s">
        <v>176</v>
      </c>
      <c r="C38" s="284" t="s">
        <v>176</v>
      </c>
      <c r="D38" s="284" t="s">
        <v>176</v>
      </c>
      <c r="E38" s="284" t="s">
        <v>176</v>
      </c>
      <c r="F38" s="284" t="s">
        <v>176</v>
      </c>
      <c r="G38" s="284" t="s">
        <v>176</v>
      </c>
      <c r="H38" s="284" t="s">
        <v>176</v>
      </c>
      <c r="I38" s="284"/>
      <c r="J38" s="284"/>
      <c r="K38" s="284"/>
      <c r="L38" s="284"/>
      <c r="M38" s="284">
        <v>0</v>
      </c>
      <c r="N38" s="284">
        <v>0</v>
      </c>
      <c r="O38" s="284">
        <v>0</v>
      </c>
      <c r="P38" s="284">
        <v>0</v>
      </c>
      <c r="Q38" s="284">
        <f t="shared" si="0"/>
        <v>0</v>
      </c>
    </row>
    <row r="39" spans="1:17" ht="27" customHeight="1">
      <c r="A39" s="284" t="s">
        <v>387</v>
      </c>
      <c r="B39" s="284" t="s">
        <v>177</v>
      </c>
      <c r="C39" s="284" t="s">
        <v>177</v>
      </c>
      <c r="D39" s="284" t="s">
        <v>177</v>
      </c>
      <c r="E39" s="284" t="s">
        <v>177</v>
      </c>
      <c r="F39" s="284" t="s">
        <v>177</v>
      </c>
      <c r="G39" s="284" t="s">
        <v>177</v>
      </c>
      <c r="H39" s="284" t="s">
        <v>177</v>
      </c>
      <c r="I39" s="335"/>
      <c r="J39" s="335"/>
      <c r="K39" s="335"/>
      <c r="L39" s="335"/>
      <c r="M39" s="284">
        <v>0</v>
      </c>
      <c r="N39" s="284">
        <v>0</v>
      </c>
      <c r="O39" s="284">
        <v>0</v>
      </c>
      <c r="P39" s="284">
        <v>0</v>
      </c>
      <c r="Q39" s="284">
        <f t="shared" si="0"/>
        <v>0</v>
      </c>
    </row>
    <row r="40" spans="1:17" ht="27" customHeight="1">
      <c r="A40" s="284" t="s">
        <v>289</v>
      </c>
      <c r="B40" s="284" t="s">
        <v>290</v>
      </c>
      <c r="C40" s="284" t="s">
        <v>290</v>
      </c>
      <c r="D40" s="284" t="s">
        <v>290</v>
      </c>
      <c r="E40" s="284" t="s">
        <v>290</v>
      </c>
      <c r="F40" s="284" t="s">
        <v>290</v>
      </c>
      <c r="G40" s="284" t="s">
        <v>290</v>
      </c>
      <c r="H40" s="284" t="s">
        <v>290</v>
      </c>
      <c r="I40" s="335"/>
      <c r="J40" s="335"/>
      <c r="K40" s="335"/>
      <c r="L40" s="335"/>
      <c r="M40" s="284">
        <v>1489600</v>
      </c>
      <c r="N40" s="284">
        <f>1489600*70%</f>
        <v>1042719.9999999999</v>
      </c>
      <c r="O40" s="284">
        <f>1489600*70%</f>
        <v>1042719.9999999999</v>
      </c>
      <c r="P40" s="284">
        <f>1489600*70%</f>
        <v>1042719.9999999999</v>
      </c>
      <c r="Q40" s="284">
        <f t="shared" si="0"/>
        <v>0</v>
      </c>
    </row>
    <row r="41" spans="1:17" ht="27" customHeight="1">
      <c r="A41" s="292" t="s">
        <v>294</v>
      </c>
      <c r="B41" s="292" t="s">
        <v>119</v>
      </c>
      <c r="C41" s="292" t="s">
        <v>119</v>
      </c>
      <c r="D41" s="292" t="s">
        <v>119</v>
      </c>
      <c r="E41" s="292" t="s">
        <v>119</v>
      </c>
      <c r="F41" s="292" t="s">
        <v>119</v>
      </c>
      <c r="G41" s="292" t="s">
        <v>119</v>
      </c>
      <c r="H41" s="292" t="s">
        <v>119</v>
      </c>
      <c r="I41" s="335"/>
      <c r="J41" s="335"/>
      <c r="K41" s="335"/>
      <c r="L41" s="335"/>
      <c r="M41" s="361">
        <f>SUM(M35:M40)</f>
        <v>501281600</v>
      </c>
      <c r="N41" s="361">
        <f>SUM(N35:N40)</f>
        <v>448897120</v>
      </c>
      <c r="O41" s="361">
        <f>SUM(O35:O40)</f>
        <v>910897120</v>
      </c>
      <c r="P41" s="361">
        <f>SUM(P35:P40)</f>
        <v>1010897120</v>
      </c>
      <c r="Q41" s="284">
        <f t="shared" si="0"/>
        <v>100000000</v>
      </c>
    </row>
    <row r="42" spans="1:17" ht="27" customHeight="1">
      <c r="A42" s="284" t="s">
        <v>293</v>
      </c>
      <c r="B42" s="292" t="s">
        <v>292</v>
      </c>
      <c r="C42" s="292" t="s">
        <v>292</v>
      </c>
      <c r="D42" s="292" t="s">
        <v>292</v>
      </c>
      <c r="E42" s="292" t="s">
        <v>292</v>
      </c>
      <c r="F42" s="292" t="s">
        <v>292</v>
      </c>
      <c r="G42" s="292" t="s">
        <v>292</v>
      </c>
      <c r="H42" s="292" t="s">
        <v>292</v>
      </c>
      <c r="I42" s="335"/>
      <c r="J42" s="335"/>
      <c r="K42" s="335"/>
      <c r="L42" s="335"/>
      <c r="M42" s="335"/>
      <c r="N42" s="335"/>
      <c r="O42" s="335"/>
      <c r="P42" s="335"/>
      <c r="Q42" s="284">
        <f t="shared" si="0"/>
        <v>0</v>
      </c>
    </row>
    <row r="43" spans="1:17" ht="27" customHeight="1">
      <c r="A43" s="284" t="s">
        <v>294</v>
      </c>
      <c r="B43" s="292" t="s">
        <v>291</v>
      </c>
      <c r="C43" s="292" t="s">
        <v>291</v>
      </c>
      <c r="D43" s="292" t="s">
        <v>291</v>
      </c>
      <c r="E43" s="292" t="s">
        <v>291</v>
      </c>
      <c r="F43" s="292" t="s">
        <v>291</v>
      </c>
      <c r="G43" s="292" t="s">
        <v>291</v>
      </c>
      <c r="H43" s="292" t="s">
        <v>291</v>
      </c>
      <c r="I43" s="335"/>
      <c r="J43" s="335"/>
      <c r="K43" s="335"/>
      <c r="L43" s="335"/>
      <c r="M43" s="335"/>
      <c r="N43" s="335"/>
      <c r="O43" s="335"/>
      <c r="P43" s="335"/>
      <c r="Q43" s="284">
        <f t="shared" si="0"/>
        <v>0</v>
      </c>
    </row>
    <row r="44" spans="1:17" ht="27" customHeight="1">
      <c r="A44" s="284" t="s">
        <v>567</v>
      </c>
      <c r="B44" s="284" t="s">
        <v>347</v>
      </c>
      <c r="C44" s="284" t="s">
        <v>347</v>
      </c>
      <c r="D44" s="284" t="s">
        <v>347</v>
      </c>
      <c r="E44" s="284" t="s">
        <v>347</v>
      </c>
      <c r="F44" s="284" t="s">
        <v>347</v>
      </c>
      <c r="G44" s="284" t="s">
        <v>347</v>
      </c>
      <c r="H44" s="284" t="s">
        <v>347</v>
      </c>
      <c r="I44" s="335"/>
      <c r="J44" s="335"/>
      <c r="K44" s="335"/>
      <c r="L44" s="335"/>
      <c r="M44" s="284">
        <v>0</v>
      </c>
      <c r="N44" s="284">
        <v>0</v>
      </c>
      <c r="O44" s="284">
        <v>0</v>
      </c>
      <c r="P44" s="284">
        <v>96000000</v>
      </c>
      <c r="Q44" s="284">
        <f t="shared" si="0"/>
        <v>96000000</v>
      </c>
    </row>
    <row r="45" spans="1:17" ht="27" customHeight="1">
      <c r="A45" s="284" t="s">
        <v>295</v>
      </c>
      <c r="B45" s="284" t="s">
        <v>176</v>
      </c>
      <c r="C45" s="284" t="s">
        <v>176</v>
      </c>
      <c r="D45" s="284" t="s">
        <v>176</v>
      </c>
      <c r="E45" s="284" t="s">
        <v>176</v>
      </c>
      <c r="F45" s="284" t="s">
        <v>176</v>
      </c>
      <c r="G45" s="284" t="s">
        <v>176</v>
      </c>
      <c r="H45" s="284" t="s">
        <v>176</v>
      </c>
      <c r="I45" s="335"/>
      <c r="J45" s="335"/>
      <c r="K45" s="335"/>
      <c r="L45" s="335"/>
      <c r="M45" s="284">
        <v>0</v>
      </c>
      <c r="N45" s="284">
        <v>0</v>
      </c>
      <c r="O45" s="284">
        <v>0</v>
      </c>
      <c r="P45" s="284">
        <v>0</v>
      </c>
      <c r="Q45" s="284">
        <f t="shared" si="0"/>
        <v>0</v>
      </c>
    </row>
    <row r="46" spans="1:17" ht="27" customHeight="1">
      <c r="A46" s="284"/>
      <c r="B46" s="292" t="s">
        <v>119</v>
      </c>
      <c r="C46" s="292" t="s">
        <v>119</v>
      </c>
      <c r="D46" s="292" t="s">
        <v>119</v>
      </c>
      <c r="E46" s="292" t="s">
        <v>119</v>
      </c>
      <c r="F46" s="292" t="s">
        <v>119</v>
      </c>
      <c r="G46" s="292" t="s">
        <v>119</v>
      </c>
      <c r="H46" s="292" t="s">
        <v>119</v>
      </c>
      <c r="I46" s="335"/>
      <c r="J46" s="335"/>
      <c r="K46" s="335"/>
      <c r="L46" s="335"/>
      <c r="M46" s="361">
        <f>SUM(M44:M45)</f>
        <v>0</v>
      </c>
      <c r="N46" s="361">
        <f>SUM(N44:N45)</f>
        <v>0</v>
      </c>
      <c r="O46" s="361">
        <f>SUM(O44:O45)</f>
        <v>0</v>
      </c>
      <c r="P46" s="361">
        <f>SUM(P44:P45)</f>
        <v>96000000</v>
      </c>
      <c r="Q46" s="284">
        <f t="shared" si="0"/>
        <v>96000000</v>
      </c>
    </row>
    <row r="47" spans="1:17" ht="27" customHeight="1">
      <c r="A47" s="284"/>
      <c r="B47" s="292" t="s">
        <v>42</v>
      </c>
      <c r="C47" s="292" t="s">
        <v>42</v>
      </c>
      <c r="D47" s="292" t="s">
        <v>42</v>
      </c>
      <c r="E47" s="292" t="s">
        <v>42</v>
      </c>
      <c r="F47" s="292" t="s">
        <v>42</v>
      </c>
      <c r="G47" s="292" t="s">
        <v>42</v>
      </c>
      <c r="H47" s="292" t="s">
        <v>42</v>
      </c>
      <c r="I47" s="335"/>
      <c r="J47" s="335"/>
      <c r="K47" s="335"/>
      <c r="L47" s="335"/>
      <c r="M47" s="361" t="e">
        <f>M46+M41+M33+M26+M9</f>
        <v>#REF!</v>
      </c>
      <c r="N47" s="361">
        <f>N46+N41+N33+N26+N9</f>
        <v>1767482415.5999999</v>
      </c>
      <c r="O47" s="361">
        <f>O46+O41+O33+O26+O9</f>
        <v>2506523015.5999999</v>
      </c>
      <c r="P47" s="361">
        <f>P46+P41+P33+P26+P9</f>
        <v>2907432615.5999999</v>
      </c>
      <c r="Q47" s="292">
        <f t="shared" si="0"/>
        <v>400909600</v>
      </c>
    </row>
  </sheetData>
  <phoneticPr fontId="0" type="noConversion"/>
  <printOptions gridLines="1"/>
  <pageMargins left="0.6" right="0.25" top="0.83" bottom="0.48" header="0.2" footer="0.22"/>
  <pageSetup scale="55" orientation="portrait" r:id="rId1"/>
  <headerFooter alignWithMargins="0">
    <oddHeader>&amp;C&amp;"Albertus Medium,Bold"&amp;28W.Macdanta iyo Biyaha</oddHeader>
    <oddFooter>&amp;R&amp;"Times New Roman,Bold"&amp;14 30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60" zoomScaleNormal="85" workbookViewId="0">
      <selection sqref="A1:XFD1048576"/>
    </sheetView>
  </sheetViews>
  <sheetFormatPr defaultRowHeight="27" customHeight="1"/>
  <cols>
    <col min="1" max="1" width="15.33203125" style="614" customWidth="1"/>
    <col min="2" max="2" width="65.6640625" style="614" customWidth="1"/>
    <col min="3" max="11" width="9.33203125" style="614" hidden="1" customWidth="1"/>
    <col min="12" max="12" width="17.6640625" style="614" hidden="1" customWidth="1"/>
    <col min="13" max="13" width="30.33203125" style="614" hidden="1" customWidth="1"/>
    <col min="14" max="14" width="36.83203125" style="625" bestFit="1" customWidth="1"/>
    <col min="15" max="16" width="31" style="625" customWidth="1"/>
    <col min="17" max="16384" width="9.33203125" style="614"/>
  </cols>
  <sheetData>
    <row r="1" spans="1:16" ht="27" customHeight="1">
      <c r="A1" s="593" t="s">
        <v>45</v>
      </c>
      <c r="B1" s="594" t="s">
        <v>472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95"/>
      <c r="O1" s="295"/>
      <c r="P1" s="295"/>
    </row>
    <row r="2" spans="1:16" ht="27" customHeight="1">
      <c r="A2" s="593" t="s">
        <v>28</v>
      </c>
      <c r="B2" s="593" t="s">
        <v>74</v>
      </c>
      <c r="C2" s="593" t="s">
        <v>43</v>
      </c>
      <c r="D2" s="595" t="s">
        <v>2</v>
      </c>
      <c r="E2" s="595" t="s">
        <v>48</v>
      </c>
      <c r="F2" s="595" t="s">
        <v>52</v>
      </c>
      <c r="G2" s="595" t="s">
        <v>62</v>
      </c>
      <c r="H2" s="595" t="s">
        <v>69</v>
      </c>
      <c r="I2" s="595" t="s">
        <v>128</v>
      </c>
      <c r="J2" s="595" t="s">
        <v>137</v>
      </c>
      <c r="K2" s="595" t="s">
        <v>145</v>
      </c>
      <c r="L2" s="595" t="s">
        <v>180</v>
      </c>
      <c r="M2" s="595" t="s">
        <v>297</v>
      </c>
      <c r="N2" s="615" t="s">
        <v>641</v>
      </c>
      <c r="O2" s="615" t="s">
        <v>1111</v>
      </c>
      <c r="P2" s="615" t="s">
        <v>63</v>
      </c>
    </row>
    <row r="3" spans="1:16" ht="27" customHeight="1">
      <c r="A3" s="346" t="s">
        <v>248</v>
      </c>
      <c r="B3" s="346" t="s">
        <v>165</v>
      </c>
      <c r="C3" s="348"/>
      <c r="D3" s="348"/>
      <c r="E3" s="348" t="s">
        <v>4</v>
      </c>
      <c r="F3" s="348" t="s">
        <v>4</v>
      </c>
      <c r="G3" s="348"/>
      <c r="H3" s="348"/>
      <c r="I3" s="348"/>
      <c r="J3" s="348"/>
      <c r="K3" s="348"/>
      <c r="L3" s="348"/>
      <c r="M3" s="348"/>
      <c r="N3" s="295"/>
      <c r="O3" s="295"/>
      <c r="P3" s="295"/>
    </row>
    <row r="4" spans="1:16" ht="27" customHeight="1">
      <c r="A4" s="346" t="s">
        <v>249</v>
      </c>
      <c r="B4" s="346" t="s">
        <v>250</v>
      </c>
      <c r="C4" s="295">
        <v>130480480</v>
      </c>
      <c r="D4" s="295">
        <v>159612000</v>
      </c>
      <c r="E4" s="295">
        <v>153084000</v>
      </c>
      <c r="F4" s="295">
        <v>162701000</v>
      </c>
      <c r="G4" s="295">
        <v>228108000</v>
      </c>
      <c r="H4" s="295">
        <f>228108000+3192000</f>
        <v>231300000</v>
      </c>
      <c r="I4" s="295">
        <f>281299200+12448800</f>
        <v>293748000</v>
      </c>
      <c r="J4" s="295">
        <f>302980800+54000000+6000000</f>
        <v>362980800</v>
      </c>
      <c r="K4" s="295">
        <f>362980800+12000000+3198000</f>
        <v>378178800</v>
      </c>
      <c r="L4" s="616"/>
      <c r="M4" s="349"/>
      <c r="N4" s="295"/>
      <c r="O4" s="295"/>
      <c r="P4" s="295"/>
    </row>
    <row r="5" spans="1:16" ht="27" customHeight="1">
      <c r="A5" s="295" t="s">
        <v>247</v>
      </c>
      <c r="B5" s="295" t="s">
        <v>32</v>
      </c>
      <c r="C5" s="295">
        <v>8803520</v>
      </c>
      <c r="D5" s="295">
        <v>0</v>
      </c>
      <c r="E5" s="295">
        <v>0</v>
      </c>
      <c r="F5" s="295">
        <v>0</v>
      </c>
      <c r="G5" s="295">
        <v>0</v>
      </c>
      <c r="H5" s="295">
        <v>0</v>
      </c>
      <c r="I5" s="295">
        <v>0</v>
      </c>
      <c r="J5" s="295">
        <v>0</v>
      </c>
      <c r="K5" s="295">
        <v>0</v>
      </c>
      <c r="L5" s="295">
        <v>417178800</v>
      </c>
      <c r="M5" s="295">
        <f>'shaq,3'!H32+36000000+12792000</f>
        <v>600470400</v>
      </c>
      <c r="N5" s="295">
        <v>571958400</v>
      </c>
      <c r="O5" s="295">
        <v>657103200</v>
      </c>
      <c r="P5" s="295">
        <f>O5-N5</f>
        <v>85144800</v>
      </c>
    </row>
    <row r="6" spans="1:16" ht="27" customHeight="1">
      <c r="A6" s="295" t="s">
        <v>251</v>
      </c>
      <c r="B6" s="295" t="s">
        <v>812</v>
      </c>
      <c r="C6" s="295">
        <v>10800000</v>
      </c>
      <c r="D6" s="295">
        <v>10800000</v>
      </c>
      <c r="E6" s="295">
        <v>10800000</v>
      </c>
      <c r="F6" s="295">
        <v>10800000</v>
      </c>
      <c r="G6" s="295">
        <v>14400000</v>
      </c>
      <c r="H6" s="295">
        <f>G6</f>
        <v>14400000</v>
      </c>
      <c r="I6" s="295">
        <v>14400000</v>
      </c>
      <c r="J6" s="295">
        <f>14400000+32400000+1440000</f>
        <v>48240000</v>
      </c>
      <c r="K6" s="295">
        <f>48240000+1440000+7920000</f>
        <v>57600000</v>
      </c>
      <c r="L6" s="295">
        <v>0</v>
      </c>
      <c r="M6" s="295">
        <v>0</v>
      </c>
      <c r="N6" s="295">
        <v>194400000</v>
      </c>
      <c r="O6" s="295">
        <v>97400000</v>
      </c>
      <c r="P6" s="295">
        <f t="shared" ref="P6:P45" si="0">O6-N6</f>
        <v>-97000000</v>
      </c>
    </row>
    <row r="7" spans="1:16" ht="27" customHeight="1">
      <c r="A7" s="295" t="s">
        <v>252</v>
      </c>
      <c r="B7" s="295" t="s">
        <v>34</v>
      </c>
      <c r="C7" s="346">
        <f t="shared" ref="C7:H7" si="1">SUM(C4:C6)</f>
        <v>150084000</v>
      </c>
      <c r="D7" s="346">
        <f t="shared" si="1"/>
        <v>170412000</v>
      </c>
      <c r="E7" s="346">
        <f t="shared" si="1"/>
        <v>163884000</v>
      </c>
      <c r="F7" s="346">
        <f t="shared" si="1"/>
        <v>173501000</v>
      </c>
      <c r="G7" s="346">
        <f t="shared" si="1"/>
        <v>242508000</v>
      </c>
      <c r="H7" s="346">
        <f t="shared" si="1"/>
        <v>245700000</v>
      </c>
      <c r="I7" s="346">
        <f>SUM(I4:I6)</f>
        <v>308148000</v>
      </c>
      <c r="J7" s="346">
        <f>SUM(J4:J6)</f>
        <v>411220800</v>
      </c>
      <c r="K7" s="295">
        <v>24000000</v>
      </c>
      <c r="L7" s="295">
        <v>84600000</v>
      </c>
      <c r="M7" s="295">
        <v>84600000</v>
      </c>
      <c r="N7" s="295">
        <v>91800000</v>
      </c>
      <c r="O7" s="295">
        <v>140400000</v>
      </c>
      <c r="P7" s="295">
        <f t="shared" si="0"/>
        <v>48600000</v>
      </c>
    </row>
    <row r="8" spans="1:16" ht="27" customHeight="1">
      <c r="A8" s="295" t="s">
        <v>676</v>
      </c>
      <c r="B8" s="295" t="s">
        <v>704</v>
      </c>
      <c r="C8" s="346"/>
      <c r="D8" s="346"/>
      <c r="E8" s="346"/>
      <c r="F8" s="346"/>
      <c r="G8" s="346"/>
      <c r="H8" s="346"/>
      <c r="I8" s="346"/>
      <c r="J8" s="346"/>
      <c r="K8" s="295"/>
      <c r="L8" s="295"/>
      <c r="M8" s="295">
        <v>48000000</v>
      </c>
      <c r="N8" s="295">
        <f>M8</f>
        <v>48000000</v>
      </c>
      <c r="O8" s="295">
        <f>N8</f>
        <v>48000000</v>
      </c>
      <c r="P8" s="295">
        <f t="shared" si="0"/>
        <v>0</v>
      </c>
    </row>
    <row r="9" spans="1:16" ht="27" customHeight="1">
      <c r="A9" s="295"/>
      <c r="B9" s="346" t="s">
        <v>119</v>
      </c>
      <c r="C9" s="295"/>
      <c r="D9" s="295">
        <v>0</v>
      </c>
      <c r="E9" s="295">
        <v>0</v>
      </c>
      <c r="F9" s="295">
        <v>0</v>
      </c>
      <c r="G9" s="295">
        <v>0</v>
      </c>
      <c r="H9" s="295">
        <v>0</v>
      </c>
      <c r="I9" s="295">
        <v>0</v>
      </c>
      <c r="J9" s="295">
        <v>0</v>
      </c>
      <c r="K9" s="295">
        <v>74480000</v>
      </c>
      <c r="L9" s="346" t="e">
        <f>#REF!+#REF!+L7+L5</f>
        <v>#REF!</v>
      </c>
      <c r="M9" s="346">
        <f>M8+M7+M5+M6</f>
        <v>733070400</v>
      </c>
      <c r="N9" s="346">
        <f>N8+N7+N5+N6</f>
        <v>906158400</v>
      </c>
      <c r="O9" s="346">
        <f>SUM(O5:O8)</f>
        <v>942903200</v>
      </c>
      <c r="P9" s="295">
        <f t="shared" si="0"/>
        <v>36744800</v>
      </c>
    </row>
    <row r="10" spans="1:16" ht="27" customHeight="1">
      <c r="A10" s="346" t="s">
        <v>262</v>
      </c>
      <c r="B10" s="346" t="s">
        <v>263</v>
      </c>
      <c r="C10" s="295">
        <v>19668000</v>
      </c>
      <c r="D10" s="295">
        <v>5000000</v>
      </c>
      <c r="E10" s="295">
        <v>0</v>
      </c>
      <c r="F10" s="295">
        <v>0</v>
      </c>
      <c r="G10" s="295">
        <v>0</v>
      </c>
      <c r="H10" s="295">
        <v>0</v>
      </c>
      <c r="I10" s="295">
        <v>0</v>
      </c>
      <c r="J10" s="295">
        <v>0</v>
      </c>
      <c r="K10" s="295">
        <v>3724000</v>
      </c>
      <c r="L10" s="295"/>
      <c r="M10" s="295"/>
      <c r="N10" s="295"/>
      <c r="O10" s="295"/>
      <c r="P10" s="295">
        <f t="shared" si="0"/>
        <v>0</v>
      </c>
    </row>
    <row r="11" spans="1:16" ht="27" customHeight="1">
      <c r="A11" s="346" t="s">
        <v>265</v>
      </c>
      <c r="B11" s="346" t="s">
        <v>264</v>
      </c>
      <c r="C11" s="295">
        <v>0</v>
      </c>
      <c r="D11" s="295">
        <v>2094000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7448000</v>
      </c>
      <c r="L11" s="295"/>
      <c r="M11" s="295"/>
      <c r="N11" s="295"/>
      <c r="O11" s="295"/>
      <c r="P11" s="295">
        <f t="shared" si="0"/>
        <v>0</v>
      </c>
    </row>
    <row r="12" spans="1:16" ht="27" customHeight="1">
      <c r="A12" s="295" t="s">
        <v>266</v>
      </c>
      <c r="B12" s="295" t="s">
        <v>38</v>
      </c>
      <c r="C12" s="295">
        <v>0</v>
      </c>
      <c r="D12" s="295">
        <v>25000000</v>
      </c>
      <c r="E12" s="295">
        <v>0</v>
      </c>
      <c r="F12" s="295">
        <v>0</v>
      </c>
      <c r="G12" s="295">
        <v>0</v>
      </c>
      <c r="H12" s="295">
        <v>105000000</v>
      </c>
      <c r="I12" s="295">
        <v>0</v>
      </c>
      <c r="J12" s="295">
        <v>158400000</v>
      </c>
      <c r="K12" s="295">
        <v>5958400</v>
      </c>
      <c r="L12" s="295">
        <v>18620000</v>
      </c>
      <c r="M12" s="295">
        <f>18620000*70%</f>
        <v>13034000</v>
      </c>
      <c r="N12" s="295">
        <f>18620000*70%</f>
        <v>13034000</v>
      </c>
      <c r="O12" s="295">
        <v>43034000</v>
      </c>
      <c r="P12" s="295">
        <f t="shared" si="0"/>
        <v>30000000</v>
      </c>
    </row>
    <row r="13" spans="1:16" ht="27" customHeight="1">
      <c r="A13" s="295" t="s">
        <v>269</v>
      </c>
      <c r="B13" s="295" t="s">
        <v>186</v>
      </c>
      <c r="C13" s="295"/>
      <c r="D13" s="295"/>
      <c r="E13" s="295"/>
      <c r="F13" s="295"/>
      <c r="G13" s="295"/>
      <c r="H13" s="295"/>
      <c r="I13" s="295"/>
      <c r="J13" s="295"/>
      <c r="K13" s="295">
        <v>660000000</v>
      </c>
      <c r="L13" s="295">
        <v>55336498</v>
      </c>
      <c r="M13" s="295">
        <v>38735548</v>
      </c>
      <c r="N13" s="295">
        <v>38735548</v>
      </c>
      <c r="O13" s="295">
        <v>38735548</v>
      </c>
      <c r="P13" s="295">
        <f t="shared" si="0"/>
        <v>0</v>
      </c>
    </row>
    <row r="14" spans="1:16" ht="27" customHeight="1">
      <c r="A14" s="295" t="s">
        <v>270</v>
      </c>
      <c r="B14" s="295" t="s">
        <v>163</v>
      </c>
      <c r="C14" s="295"/>
      <c r="D14" s="295">
        <v>0</v>
      </c>
      <c r="E14" s="295"/>
      <c r="F14" s="295">
        <v>4099000</v>
      </c>
      <c r="G14" s="295">
        <v>4000000</v>
      </c>
      <c r="H14" s="295">
        <v>30000000</v>
      </c>
      <c r="I14" s="295">
        <v>2234400</v>
      </c>
      <c r="J14" s="295">
        <v>6000000</v>
      </c>
      <c r="K14" s="295">
        <v>35218400</v>
      </c>
      <c r="L14" s="295">
        <v>5213600</v>
      </c>
      <c r="M14" s="295">
        <f>5213600*70%+36000000</f>
        <v>39649520</v>
      </c>
      <c r="N14" s="295">
        <v>88300000</v>
      </c>
      <c r="O14" s="295">
        <v>13000000</v>
      </c>
      <c r="P14" s="295">
        <f t="shared" si="0"/>
        <v>-75300000</v>
      </c>
    </row>
    <row r="15" spans="1:16" ht="27" customHeight="1">
      <c r="A15" s="295" t="s">
        <v>271</v>
      </c>
      <c r="B15" s="295" t="s">
        <v>154</v>
      </c>
      <c r="C15" s="295"/>
      <c r="D15" s="295"/>
      <c r="E15" s="295"/>
      <c r="F15" s="295"/>
      <c r="G15" s="295"/>
      <c r="H15" s="295"/>
      <c r="I15" s="295"/>
      <c r="J15" s="295"/>
      <c r="K15" s="346">
        <f>SUM(K9:K14)</f>
        <v>786828800</v>
      </c>
      <c r="L15" s="295">
        <v>74480000</v>
      </c>
      <c r="M15" s="295">
        <f>74480000*70%</f>
        <v>52136000</v>
      </c>
      <c r="N15" s="295">
        <v>0</v>
      </c>
      <c r="O15" s="295">
        <v>0</v>
      </c>
      <c r="P15" s="295">
        <f t="shared" si="0"/>
        <v>0</v>
      </c>
    </row>
    <row r="16" spans="1:16" ht="27" customHeight="1">
      <c r="A16" s="295" t="s">
        <v>272</v>
      </c>
      <c r="B16" s="295" t="s">
        <v>54</v>
      </c>
      <c r="C16" s="295">
        <v>20000000</v>
      </c>
      <c r="D16" s="295">
        <v>7000000</v>
      </c>
      <c r="E16" s="295">
        <v>7000000</v>
      </c>
      <c r="F16" s="295">
        <v>40000000</v>
      </c>
      <c r="G16" s="295">
        <v>16000000</v>
      </c>
      <c r="H16" s="295">
        <v>20000000</v>
      </c>
      <c r="I16" s="295">
        <v>14896000</v>
      </c>
      <c r="J16" s="295">
        <v>30000000</v>
      </c>
      <c r="K16" s="295"/>
      <c r="L16" s="295">
        <v>43724000</v>
      </c>
      <c r="M16" s="295">
        <v>30606800</v>
      </c>
      <c r="N16" s="295">
        <f>M16*70%</f>
        <v>21424760</v>
      </c>
      <c r="O16" s="295">
        <v>31424760</v>
      </c>
      <c r="P16" s="295">
        <f t="shared" si="0"/>
        <v>10000000</v>
      </c>
    </row>
    <row r="17" spans="1:16" ht="27" customHeight="1">
      <c r="A17" s="295" t="s">
        <v>274</v>
      </c>
      <c r="B17" s="295" t="s">
        <v>164</v>
      </c>
      <c r="C17" s="295">
        <v>12704000</v>
      </c>
      <c r="D17" s="295">
        <v>6500000</v>
      </c>
      <c r="E17" s="295">
        <v>6500000</v>
      </c>
      <c r="F17" s="295">
        <v>6500000</v>
      </c>
      <c r="G17" s="295">
        <v>6400000</v>
      </c>
      <c r="H17" s="295">
        <v>0</v>
      </c>
      <c r="I17" s="295">
        <v>7448000</v>
      </c>
      <c r="J17" s="295">
        <v>10000000</v>
      </c>
      <c r="K17" s="295">
        <v>210940800</v>
      </c>
      <c r="L17" s="295">
        <v>7448000</v>
      </c>
      <c r="M17" s="295">
        <f>7448000*70%</f>
        <v>5213600</v>
      </c>
      <c r="N17" s="295">
        <f>7448000*70%</f>
        <v>5213600</v>
      </c>
      <c r="O17" s="295">
        <f>7448000*70%</f>
        <v>5213600</v>
      </c>
      <c r="P17" s="295">
        <f t="shared" si="0"/>
        <v>0</v>
      </c>
    </row>
    <row r="18" spans="1:16" ht="27" customHeight="1">
      <c r="A18" s="295" t="s">
        <v>275</v>
      </c>
      <c r="B18" s="295" t="s">
        <v>40</v>
      </c>
      <c r="C18" s="346">
        <f t="shared" ref="C18:J18" si="2">SUM(C16:C17)</f>
        <v>32704000</v>
      </c>
      <c r="D18" s="346">
        <f t="shared" si="2"/>
        <v>13500000</v>
      </c>
      <c r="E18" s="346">
        <f t="shared" si="2"/>
        <v>13500000</v>
      </c>
      <c r="F18" s="346">
        <f t="shared" si="2"/>
        <v>46500000</v>
      </c>
      <c r="G18" s="346">
        <f t="shared" si="2"/>
        <v>22400000</v>
      </c>
      <c r="H18" s="346">
        <f t="shared" si="2"/>
        <v>20000000</v>
      </c>
      <c r="I18" s="346">
        <f t="shared" si="2"/>
        <v>22344000</v>
      </c>
      <c r="J18" s="346">
        <f t="shared" si="2"/>
        <v>40000000</v>
      </c>
      <c r="K18" s="295">
        <v>13406400</v>
      </c>
      <c r="L18" s="295">
        <v>11058400</v>
      </c>
      <c r="M18" s="295">
        <v>7740880</v>
      </c>
      <c r="N18" s="295">
        <v>7740880</v>
      </c>
      <c r="O18" s="295">
        <v>22740880</v>
      </c>
      <c r="P18" s="295">
        <f t="shared" si="0"/>
        <v>15000000</v>
      </c>
    </row>
    <row r="19" spans="1:16" ht="27" customHeight="1">
      <c r="A19" s="295" t="s">
        <v>613</v>
      </c>
      <c r="B19" s="295" t="s">
        <v>465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>
        <v>200000000</v>
      </c>
      <c r="M19" s="295">
        <f>200000000*70%</f>
        <v>140000000</v>
      </c>
      <c r="N19" s="295">
        <f>200000000*70%</f>
        <v>140000000</v>
      </c>
      <c r="O19" s="295">
        <f>200000000*70%</f>
        <v>140000000</v>
      </c>
      <c r="P19" s="295">
        <f t="shared" si="0"/>
        <v>0</v>
      </c>
    </row>
    <row r="20" spans="1:16" ht="27" customHeight="1">
      <c r="A20" s="295" t="s">
        <v>277</v>
      </c>
      <c r="B20" s="295" t="s">
        <v>218</v>
      </c>
      <c r="C20" s="295">
        <v>0</v>
      </c>
      <c r="D20" s="295">
        <v>0</v>
      </c>
      <c r="E20" s="295">
        <v>0</v>
      </c>
      <c r="F20" s="295">
        <v>10000000</v>
      </c>
      <c r="G20" s="295">
        <v>0</v>
      </c>
      <c r="H20" s="295">
        <v>0</v>
      </c>
      <c r="I20" s="295">
        <v>0</v>
      </c>
      <c r="J20" s="295">
        <v>0</v>
      </c>
      <c r="K20" s="295"/>
      <c r="L20" s="295">
        <v>65218400</v>
      </c>
      <c r="M20" s="295">
        <f>65218400*70%</f>
        <v>45652880</v>
      </c>
      <c r="N20" s="295">
        <v>0</v>
      </c>
      <c r="O20" s="295">
        <v>0</v>
      </c>
      <c r="P20" s="295">
        <f t="shared" si="0"/>
        <v>0</v>
      </c>
    </row>
    <row r="21" spans="1:16" ht="27" customHeight="1">
      <c r="A21" s="295" t="s">
        <v>321</v>
      </c>
      <c r="B21" s="295" t="s">
        <v>802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>
        <v>100000000</v>
      </c>
      <c r="P21" s="295">
        <f t="shared" si="0"/>
        <v>100000000</v>
      </c>
    </row>
    <row r="22" spans="1:16" ht="27" customHeight="1">
      <c r="A22" s="295" t="s">
        <v>733</v>
      </c>
      <c r="B22" s="295" t="s">
        <v>1247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>
        <v>0</v>
      </c>
      <c r="N22" s="295">
        <v>337974000</v>
      </c>
      <c r="O22" s="295">
        <v>264000000</v>
      </c>
      <c r="P22" s="295">
        <f t="shared" si="0"/>
        <v>-73974000</v>
      </c>
    </row>
    <row r="23" spans="1:16" ht="27" customHeight="1">
      <c r="A23" s="346"/>
      <c r="B23" s="346" t="s">
        <v>119</v>
      </c>
      <c r="C23" s="295">
        <v>0</v>
      </c>
      <c r="D23" s="295">
        <v>0</v>
      </c>
      <c r="E23" s="295">
        <v>0</v>
      </c>
      <c r="F23" s="295">
        <v>0</v>
      </c>
      <c r="G23" s="295">
        <v>0</v>
      </c>
      <c r="H23" s="295">
        <v>145000000</v>
      </c>
      <c r="I23" s="295">
        <v>74480000</v>
      </c>
      <c r="J23" s="295">
        <v>74480000</v>
      </c>
      <c r="K23" s="295">
        <v>0</v>
      </c>
      <c r="L23" s="346">
        <f>SUM(L12:L20)</f>
        <v>481098898</v>
      </c>
      <c r="M23" s="346">
        <f>SUM(M12:M20)</f>
        <v>372769228</v>
      </c>
      <c r="N23" s="346">
        <f>SUM(N11:N22)</f>
        <v>652422788</v>
      </c>
      <c r="O23" s="346">
        <f>SUM(O11:O22)</f>
        <v>658148788</v>
      </c>
      <c r="P23" s="295">
        <f t="shared" si="0"/>
        <v>5726000</v>
      </c>
    </row>
    <row r="24" spans="1:16" ht="27" customHeight="1">
      <c r="A24" s="346" t="s">
        <v>279</v>
      </c>
      <c r="B24" s="346" t="s">
        <v>278</v>
      </c>
      <c r="C24" s="295">
        <v>0</v>
      </c>
      <c r="D24" s="295">
        <v>3000000</v>
      </c>
      <c r="E24" s="295">
        <v>3000000</v>
      </c>
      <c r="F24" s="295">
        <v>3000000</v>
      </c>
      <c r="G24" s="295">
        <v>4000000</v>
      </c>
      <c r="H24" s="295">
        <v>5000000</v>
      </c>
      <c r="I24" s="295">
        <v>3724000</v>
      </c>
      <c r="J24" s="295">
        <v>6000000</v>
      </c>
      <c r="K24" s="295">
        <v>3724000</v>
      </c>
      <c r="L24" s="295"/>
      <c r="M24" s="295"/>
      <c r="N24" s="295"/>
      <c r="O24" s="295"/>
      <c r="P24" s="295">
        <f t="shared" si="0"/>
        <v>0</v>
      </c>
    </row>
    <row r="25" spans="1:16" ht="27" customHeight="1">
      <c r="A25" s="295" t="s">
        <v>281</v>
      </c>
      <c r="B25" s="295" t="s">
        <v>792</v>
      </c>
      <c r="C25" s="295"/>
      <c r="D25" s="295"/>
      <c r="E25" s="295"/>
      <c r="F25" s="295"/>
      <c r="G25" s="295"/>
      <c r="H25" s="295"/>
      <c r="I25" s="295"/>
      <c r="J25" s="295"/>
      <c r="K25" s="295">
        <v>0</v>
      </c>
      <c r="L25" s="295">
        <v>263265420</v>
      </c>
      <c r="M25" s="295">
        <v>184285794</v>
      </c>
      <c r="N25" s="295">
        <v>304285794</v>
      </c>
      <c r="O25" s="295">
        <v>304285794</v>
      </c>
      <c r="P25" s="295">
        <f t="shared" si="0"/>
        <v>0</v>
      </c>
    </row>
    <row r="26" spans="1:16" ht="27" customHeight="1">
      <c r="A26" s="295" t="s">
        <v>282</v>
      </c>
      <c r="B26" s="295" t="s">
        <v>155</v>
      </c>
      <c r="C26" s="295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346">
        <f>SUM(K23:K25)</f>
        <v>3724000</v>
      </c>
      <c r="L26" s="295">
        <v>16406400</v>
      </c>
      <c r="M26" s="295">
        <v>11484480</v>
      </c>
      <c r="N26" s="295">
        <v>11484480</v>
      </c>
      <c r="O26" s="295">
        <v>11484480</v>
      </c>
      <c r="P26" s="295">
        <f t="shared" si="0"/>
        <v>0</v>
      </c>
    </row>
    <row r="27" spans="1:16" ht="27" customHeight="1">
      <c r="A27" s="295" t="s">
        <v>283</v>
      </c>
      <c r="B27" s="295" t="s">
        <v>156</v>
      </c>
      <c r="C27" s="295">
        <v>0</v>
      </c>
      <c r="D27" s="295">
        <v>4500000</v>
      </c>
      <c r="E27" s="295">
        <v>4500000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/>
      <c r="L27" s="295">
        <v>8703200</v>
      </c>
      <c r="M27" s="295">
        <f>8703200*70%</f>
        <v>6092240</v>
      </c>
      <c r="N27" s="295">
        <f>8703200*70%</f>
        <v>6092240</v>
      </c>
      <c r="O27" s="295">
        <f>8703200*70%</f>
        <v>6092240</v>
      </c>
      <c r="P27" s="295">
        <f t="shared" si="0"/>
        <v>0</v>
      </c>
    </row>
    <row r="28" spans="1:16" ht="27" customHeight="1">
      <c r="A28" s="295"/>
      <c r="B28" s="346" t="s">
        <v>119</v>
      </c>
      <c r="C28" s="295">
        <v>30000000</v>
      </c>
      <c r="D28" s="295">
        <v>0</v>
      </c>
      <c r="E28" s="295">
        <v>0</v>
      </c>
      <c r="F28" s="295">
        <v>0</v>
      </c>
      <c r="G28" s="295">
        <v>64000000</v>
      </c>
      <c r="H28" s="295">
        <v>64000000</v>
      </c>
      <c r="I28" s="295">
        <v>35218400</v>
      </c>
      <c r="J28" s="295">
        <v>45000000</v>
      </c>
      <c r="K28" s="295">
        <v>7448000</v>
      </c>
      <c r="L28" s="346">
        <f>L27+L26+L25</f>
        <v>288375020</v>
      </c>
      <c r="M28" s="346">
        <f>M27+M26+M25</f>
        <v>201862514</v>
      </c>
      <c r="N28" s="346">
        <f>N27+N26+N25</f>
        <v>321862514</v>
      </c>
      <c r="O28" s="346">
        <f>SUM(O25:O27)</f>
        <v>321862514</v>
      </c>
      <c r="P28" s="295">
        <f t="shared" si="0"/>
        <v>0</v>
      </c>
    </row>
    <row r="29" spans="1:16" ht="27" customHeight="1">
      <c r="A29" s="346" t="s">
        <v>285</v>
      </c>
      <c r="B29" s="346" t="s">
        <v>158</v>
      </c>
      <c r="C29" s="346">
        <f t="shared" ref="C29:J29" si="3">SUM(C20:C28)</f>
        <v>30000000</v>
      </c>
      <c r="D29" s="346">
        <f t="shared" si="3"/>
        <v>7500000</v>
      </c>
      <c r="E29" s="346">
        <f t="shared" si="3"/>
        <v>7500000</v>
      </c>
      <c r="F29" s="346">
        <f t="shared" si="3"/>
        <v>13000000</v>
      </c>
      <c r="G29" s="346">
        <f t="shared" si="3"/>
        <v>68000000</v>
      </c>
      <c r="H29" s="346">
        <f t="shared" si="3"/>
        <v>214000000</v>
      </c>
      <c r="I29" s="346">
        <f t="shared" si="3"/>
        <v>113422400</v>
      </c>
      <c r="J29" s="346">
        <f t="shared" si="3"/>
        <v>125480000</v>
      </c>
      <c r="K29" s="346">
        <f>SUM(K28:K28)</f>
        <v>7448000</v>
      </c>
      <c r="L29" s="346"/>
      <c r="M29" s="346"/>
      <c r="N29" s="346"/>
      <c r="O29" s="346"/>
      <c r="P29" s="295">
        <f t="shared" si="0"/>
        <v>0</v>
      </c>
    </row>
    <row r="30" spans="1:16" ht="27" customHeight="1">
      <c r="A30" s="295" t="s">
        <v>286</v>
      </c>
      <c r="B30" s="295" t="s">
        <v>55</v>
      </c>
      <c r="C30" s="346"/>
      <c r="D30" s="346"/>
      <c r="E30" s="346"/>
      <c r="F30" s="346"/>
      <c r="G30" s="346"/>
      <c r="H30" s="346"/>
      <c r="I30" s="346"/>
      <c r="J30" s="346"/>
      <c r="K30" s="346"/>
      <c r="L30" s="295">
        <v>34896000</v>
      </c>
      <c r="M30" s="295">
        <v>24427200</v>
      </c>
      <c r="N30" s="295">
        <v>84000000</v>
      </c>
      <c r="O30" s="295">
        <v>84000000</v>
      </c>
      <c r="P30" s="295">
        <f t="shared" si="0"/>
        <v>0</v>
      </c>
    </row>
    <row r="31" spans="1:16" ht="27" customHeight="1">
      <c r="A31" s="295" t="s">
        <v>288</v>
      </c>
      <c r="B31" s="295" t="s">
        <v>287</v>
      </c>
      <c r="C31" s="295">
        <v>0</v>
      </c>
      <c r="D31" s="295">
        <v>0</v>
      </c>
      <c r="E31" s="295">
        <v>0</v>
      </c>
      <c r="F31" s="295">
        <v>0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5">
        <v>7448000</v>
      </c>
      <c r="M31" s="295">
        <f>7448000*70%</f>
        <v>5213600</v>
      </c>
      <c r="N31" s="295">
        <v>30213600</v>
      </c>
      <c r="O31" s="295">
        <v>30213600</v>
      </c>
      <c r="P31" s="295">
        <f t="shared" si="0"/>
        <v>0</v>
      </c>
    </row>
    <row r="32" spans="1:16" ht="27" customHeight="1">
      <c r="A32" s="295" t="s">
        <v>289</v>
      </c>
      <c r="B32" s="295" t="s">
        <v>290</v>
      </c>
      <c r="C32" s="616"/>
      <c r="D32" s="616"/>
      <c r="E32" s="616"/>
      <c r="F32" s="616"/>
      <c r="G32" s="616"/>
      <c r="H32" s="616"/>
      <c r="I32" s="616"/>
      <c r="J32" s="616"/>
      <c r="K32" s="616"/>
      <c r="L32" s="295">
        <v>0</v>
      </c>
      <c r="M32" s="295">
        <v>0</v>
      </c>
      <c r="N32" s="295">
        <v>0</v>
      </c>
      <c r="O32" s="295">
        <v>0</v>
      </c>
      <c r="P32" s="295">
        <f t="shared" si="0"/>
        <v>0</v>
      </c>
    </row>
    <row r="33" spans="1:16" ht="27" customHeight="1">
      <c r="A33" s="295" t="s">
        <v>530</v>
      </c>
      <c r="B33" s="295" t="s">
        <v>531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>
        <v>0</v>
      </c>
      <c r="M33" s="295">
        <f>2250000000*70%-12792000</f>
        <v>1562208000</v>
      </c>
      <c r="N33" s="295">
        <v>0</v>
      </c>
      <c r="O33" s="295">
        <v>0</v>
      </c>
      <c r="P33" s="295">
        <f t="shared" si="0"/>
        <v>0</v>
      </c>
    </row>
    <row r="34" spans="1:16" ht="27" customHeight="1">
      <c r="A34" s="295"/>
      <c r="B34" s="346" t="s">
        <v>119</v>
      </c>
      <c r="C34" s="616"/>
      <c r="D34" s="616"/>
      <c r="E34" s="616"/>
      <c r="F34" s="616">
        <v>0</v>
      </c>
      <c r="G34" s="616"/>
      <c r="H34" s="616"/>
      <c r="I34" s="616"/>
      <c r="J34" s="616"/>
      <c r="K34" s="616"/>
      <c r="L34" s="617">
        <f>SUM(L30:L33)</f>
        <v>42344000</v>
      </c>
      <c r="M34" s="617">
        <f>SUM(M30:M33)</f>
        <v>1591848800</v>
      </c>
      <c r="N34" s="346">
        <f>SUM(N30:N33)</f>
        <v>114213600</v>
      </c>
      <c r="O34" s="346">
        <f>SUM(O30:O33)</f>
        <v>114213600</v>
      </c>
      <c r="P34" s="295">
        <f t="shared" si="0"/>
        <v>0</v>
      </c>
    </row>
    <row r="35" spans="1:16" ht="27" customHeight="1">
      <c r="A35" s="346" t="s">
        <v>293</v>
      </c>
      <c r="B35" s="346" t="s">
        <v>292</v>
      </c>
      <c r="C35" s="616"/>
      <c r="D35" s="616"/>
      <c r="E35" s="616"/>
      <c r="F35" s="616"/>
      <c r="G35" s="616"/>
      <c r="H35" s="616"/>
      <c r="I35" s="616"/>
      <c r="J35" s="616"/>
      <c r="K35" s="616"/>
      <c r="L35" s="348"/>
      <c r="M35" s="348"/>
      <c r="N35" s="295"/>
      <c r="O35" s="295"/>
      <c r="P35" s="295">
        <f t="shared" si="0"/>
        <v>0</v>
      </c>
    </row>
    <row r="36" spans="1:16" ht="27" customHeight="1">
      <c r="A36" s="346" t="s">
        <v>294</v>
      </c>
      <c r="B36" s="346" t="s">
        <v>291</v>
      </c>
      <c r="C36" s="616"/>
      <c r="D36" s="616"/>
      <c r="E36" s="616"/>
      <c r="F36" s="618">
        <f>SUM(F23:F35)</f>
        <v>16000000</v>
      </c>
      <c r="G36" s="618"/>
      <c r="H36" s="618"/>
      <c r="I36" s="618"/>
      <c r="J36" s="618"/>
      <c r="K36" s="618"/>
      <c r="L36" s="349"/>
      <c r="M36" s="349"/>
      <c r="N36" s="295"/>
      <c r="O36" s="295"/>
      <c r="P36" s="295">
        <f t="shared" si="0"/>
        <v>0</v>
      </c>
    </row>
    <row r="37" spans="1:16" ht="27" customHeight="1">
      <c r="A37" s="295" t="s">
        <v>567</v>
      </c>
      <c r="B37" s="295" t="s">
        <v>850</v>
      </c>
      <c r="C37" s="616"/>
      <c r="D37" s="616"/>
      <c r="E37" s="616"/>
      <c r="F37" s="618"/>
      <c r="G37" s="618"/>
      <c r="H37" s="618"/>
      <c r="I37" s="618"/>
      <c r="J37" s="618"/>
      <c r="K37" s="618"/>
      <c r="L37" s="349"/>
      <c r="M37" s="349"/>
      <c r="N37" s="295">
        <v>0</v>
      </c>
      <c r="O37" s="295">
        <v>162000000</v>
      </c>
      <c r="P37" s="295"/>
    </row>
    <row r="38" spans="1:16" ht="27" customHeight="1">
      <c r="A38" s="295" t="s">
        <v>295</v>
      </c>
      <c r="B38" s="295" t="s">
        <v>176</v>
      </c>
      <c r="C38" s="346">
        <f t="shared" ref="C38:J38" si="4">SUM(C32:C35)</f>
        <v>0</v>
      </c>
      <c r="D38" s="346">
        <f t="shared" si="4"/>
        <v>0</v>
      </c>
      <c r="E38" s="346">
        <f t="shared" si="4"/>
        <v>0</v>
      </c>
      <c r="F38" s="346">
        <f t="shared" si="4"/>
        <v>0</v>
      </c>
      <c r="G38" s="346">
        <f t="shared" si="4"/>
        <v>0</v>
      </c>
      <c r="H38" s="346">
        <f t="shared" si="4"/>
        <v>0</v>
      </c>
      <c r="I38" s="346">
        <f t="shared" si="4"/>
        <v>0</v>
      </c>
      <c r="J38" s="346">
        <f t="shared" si="4"/>
        <v>0</v>
      </c>
      <c r="K38" s="346">
        <f>SUM(K35)</f>
        <v>0</v>
      </c>
      <c r="L38" s="295">
        <v>3724000</v>
      </c>
      <c r="M38" s="295">
        <f>3724000*70%</f>
        <v>2606800</v>
      </c>
      <c r="N38" s="295">
        <v>0</v>
      </c>
      <c r="O38" s="295">
        <v>0</v>
      </c>
      <c r="P38" s="295">
        <f t="shared" si="0"/>
        <v>0</v>
      </c>
    </row>
    <row r="39" spans="1:16" ht="27" customHeight="1">
      <c r="A39" s="295" t="s">
        <v>296</v>
      </c>
      <c r="B39" s="295" t="s">
        <v>177</v>
      </c>
      <c r="C39" s="346" t="e">
        <f>C32+C26+#REF!+C14+#REF!</f>
        <v>#REF!</v>
      </c>
      <c r="D39" s="346" t="e">
        <f>D32+D26+#REF!+D14+#REF!</f>
        <v>#REF!</v>
      </c>
      <c r="E39" s="346" t="e">
        <f>E32+E26+#REF!+E14+#REF!</f>
        <v>#REF!</v>
      </c>
      <c r="F39" s="346" t="e">
        <f>F32+F26+#REF!+F14+#REF!</f>
        <v>#REF!</v>
      </c>
      <c r="G39" s="346" t="e">
        <f>G32+G26+#REF!+G14+#REF!</f>
        <v>#REF!</v>
      </c>
      <c r="H39" s="346" t="e">
        <f>H32+H26+#REF!+H14+#REF!</f>
        <v>#REF!</v>
      </c>
      <c r="I39" s="346" t="e">
        <f>I32+I26+#REF!+I14+#REF!</f>
        <v>#REF!</v>
      </c>
      <c r="J39" s="346" t="e">
        <f>J32+J26+#REF!+J14+#REF!</f>
        <v>#REF!</v>
      </c>
      <c r="K39" s="346" t="e">
        <f>K38+K32+#REF!+#REF!+K23+K10</f>
        <v>#REF!</v>
      </c>
      <c r="L39" s="295">
        <v>2234400</v>
      </c>
      <c r="M39" s="295">
        <f>2234400*70%</f>
        <v>1564080</v>
      </c>
      <c r="N39" s="295">
        <v>0</v>
      </c>
      <c r="O39" s="295">
        <v>0</v>
      </c>
      <c r="P39" s="295">
        <f t="shared" si="0"/>
        <v>0</v>
      </c>
    </row>
    <row r="40" spans="1:16" ht="27" customHeight="1">
      <c r="A40" s="295" t="s">
        <v>466</v>
      </c>
      <c r="B40" s="295" t="s">
        <v>467</v>
      </c>
      <c r="C40" s="616"/>
      <c r="D40" s="616"/>
      <c r="E40" s="616"/>
      <c r="F40" s="616"/>
      <c r="G40" s="616"/>
      <c r="H40" s="616"/>
      <c r="I40" s="616"/>
      <c r="J40" s="616"/>
      <c r="K40" s="616"/>
      <c r="L40" s="619">
        <v>45552000</v>
      </c>
      <c r="M40" s="619">
        <v>0</v>
      </c>
      <c r="N40" s="295">
        <v>0</v>
      </c>
      <c r="O40" s="295">
        <v>0</v>
      </c>
      <c r="P40" s="295">
        <f t="shared" si="0"/>
        <v>0</v>
      </c>
    </row>
    <row r="41" spans="1:16" ht="27" customHeight="1">
      <c r="A41" s="295"/>
      <c r="B41" s="295" t="s">
        <v>119</v>
      </c>
      <c r="C41" s="616"/>
      <c r="D41" s="616"/>
      <c r="E41" s="616"/>
      <c r="F41" s="616"/>
      <c r="G41" s="616"/>
      <c r="H41" s="616"/>
      <c r="I41" s="616"/>
      <c r="J41" s="616"/>
      <c r="K41" s="616"/>
      <c r="L41" s="620">
        <f>SUM(L38:L40)</f>
        <v>51510400</v>
      </c>
      <c r="M41" s="620">
        <f>SUM(M38:M40)</f>
        <v>4170880</v>
      </c>
      <c r="N41" s="346">
        <f>SUM(N37:N40)</f>
        <v>0</v>
      </c>
      <c r="O41" s="346">
        <f>SUM(O37:O40)</f>
        <v>162000000</v>
      </c>
      <c r="P41" s="295">
        <f t="shared" si="0"/>
        <v>162000000</v>
      </c>
    </row>
    <row r="42" spans="1:16" ht="27" customHeight="1">
      <c r="A42" s="351" t="s">
        <v>338</v>
      </c>
      <c r="B42" s="351" t="s">
        <v>301</v>
      </c>
      <c r="C42" s="348"/>
      <c r="D42" s="348"/>
      <c r="E42" s="348"/>
      <c r="F42" s="349"/>
      <c r="G42" s="349"/>
      <c r="H42" s="349"/>
      <c r="I42" s="349"/>
      <c r="J42" s="349"/>
      <c r="K42" s="349"/>
      <c r="L42" s="349"/>
      <c r="M42" s="349"/>
      <c r="N42" s="295"/>
      <c r="O42" s="295"/>
      <c r="P42" s="295">
        <f t="shared" si="0"/>
        <v>0</v>
      </c>
    </row>
    <row r="43" spans="1:16" ht="27" customHeight="1">
      <c r="A43" s="621" t="s">
        <v>446</v>
      </c>
      <c r="B43" s="621" t="s">
        <v>464</v>
      </c>
      <c r="C43" s="348"/>
      <c r="D43" s="348"/>
      <c r="E43" s="348"/>
      <c r="F43" s="349"/>
      <c r="G43" s="349"/>
      <c r="H43" s="349"/>
      <c r="I43" s="349"/>
      <c r="J43" s="349"/>
      <c r="K43" s="349"/>
      <c r="L43" s="349">
        <v>43330000</v>
      </c>
      <c r="M43" s="349">
        <v>0</v>
      </c>
      <c r="N43" s="295">
        <v>650000000</v>
      </c>
      <c r="O43" s="295"/>
      <c r="P43" s="295">
        <f t="shared" si="0"/>
        <v>-650000000</v>
      </c>
    </row>
    <row r="44" spans="1:16" ht="27" customHeight="1">
      <c r="A44" s="622"/>
      <c r="B44" s="623" t="s">
        <v>119</v>
      </c>
      <c r="C44" s="618"/>
      <c r="D44" s="618"/>
      <c r="E44" s="618"/>
      <c r="F44" s="618"/>
      <c r="G44" s="618"/>
      <c r="H44" s="618"/>
      <c r="I44" s="618"/>
      <c r="J44" s="618"/>
      <c r="K44" s="618"/>
      <c r="L44" s="624">
        <f>SUM(L43)</f>
        <v>43330000</v>
      </c>
      <c r="M44" s="624">
        <f>SUM(M43)</f>
        <v>0</v>
      </c>
      <c r="N44" s="623">
        <f>SUM(N43)</f>
        <v>650000000</v>
      </c>
      <c r="O44" s="623">
        <f>SUM(O43)</f>
        <v>0</v>
      </c>
      <c r="P44" s="295">
        <f t="shared" si="0"/>
        <v>-650000000</v>
      </c>
    </row>
    <row r="45" spans="1:16" ht="27" customHeight="1">
      <c r="A45" s="295"/>
      <c r="B45" s="346" t="s">
        <v>42</v>
      </c>
      <c r="C45" s="616"/>
      <c r="D45" s="616"/>
      <c r="E45" s="616"/>
      <c r="F45" s="616"/>
      <c r="G45" s="616"/>
      <c r="H45" s="616"/>
      <c r="I45" s="616"/>
      <c r="J45" s="616"/>
      <c r="K45" s="616"/>
      <c r="L45" s="617" t="e">
        <f>L44+L41+L34+L28+L23+L9</f>
        <v>#REF!</v>
      </c>
      <c r="M45" s="617">
        <f>M44+M41+M34+M28+M23+M9</f>
        <v>2903721822</v>
      </c>
      <c r="N45" s="346">
        <f>N44+N41+N34+N28+N23+N9</f>
        <v>2644657302</v>
      </c>
      <c r="O45" s="346">
        <f>O44+O41+O34+O28+O23+O9</f>
        <v>2199128102</v>
      </c>
      <c r="P45" s="295">
        <f t="shared" si="0"/>
        <v>-445529200</v>
      </c>
    </row>
  </sheetData>
  <pageMargins left="0.64" right="0.28000000000000003" top="0.67" bottom="0.5" header="0.17" footer="0.17"/>
  <pageSetup scale="57" orientation="portrait" r:id="rId1"/>
  <headerFooter>
    <oddHeader>&amp;C&amp;"Times New Roman,Bold"&amp;24Wasaaradda Kaluumaysiga.</oddHeader>
    <oddFooter>&amp;C&amp;"Times New Roman,Bold"&amp;22
&amp;R
&amp;"Times New Roman,Bold"&amp;14 31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4"/>
  <dimension ref="A1:P50"/>
  <sheetViews>
    <sheetView view="pageBreakPreview" zoomScale="60" zoomScaleNormal="75" workbookViewId="0">
      <selection sqref="A1:XFD1048576"/>
    </sheetView>
  </sheetViews>
  <sheetFormatPr defaultRowHeight="23.1" customHeight="1"/>
  <cols>
    <col min="1" max="1" width="18.1640625" style="155" bestFit="1" customWidth="1"/>
    <col min="2" max="2" width="79.33203125" style="155" bestFit="1" customWidth="1"/>
    <col min="3" max="3" width="15.5" style="155" hidden="1" customWidth="1"/>
    <col min="4" max="4" width="14" style="155" hidden="1" customWidth="1"/>
    <col min="5" max="5" width="18" style="155" hidden="1" customWidth="1"/>
    <col min="6" max="6" width="16" style="155" hidden="1" customWidth="1"/>
    <col min="7" max="7" width="17.83203125" style="155" hidden="1" customWidth="1"/>
    <col min="8" max="8" width="2" style="155" hidden="1" customWidth="1"/>
    <col min="9" max="9" width="21.5" style="155" hidden="1" customWidth="1"/>
    <col min="10" max="10" width="18.33203125" style="155" hidden="1" customWidth="1"/>
    <col min="11" max="11" width="16.5" style="155" hidden="1" customWidth="1"/>
    <col min="12" max="12" width="21" style="155" hidden="1" customWidth="1"/>
    <col min="13" max="13" width="20.5" style="155" hidden="1" customWidth="1"/>
    <col min="14" max="15" width="27.5" style="155" bestFit="1" customWidth="1"/>
    <col min="16" max="16" width="24.5" style="399" bestFit="1" customWidth="1"/>
    <col min="17" max="16384" width="9.33203125" style="155"/>
  </cols>
  <sheetData>
    <row r="1" spans="1:16" ht="24" customHeight="1">
      <c r="A1" s="373" t="s">
        <v>45</v>
      </c>
      <c r="B1" s="443" t="s">
        <v>1152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292"/>
    </row>
    <row r="2" spans="1:16" s="449" customFormat="1" ht="24" customHeight="1">
      <c r="A2" s="284" t="s">
        <v>248</v>
      </c>
      <c r="B2" s="292" t="s">
        <v>165</v>
      </c>
      <c r="C2" s="626" t="s">
        <v>43</v>
      </c>
      <c r="D2" s="430" t="s">
        <v>2</v>
      </c>
      <c r="E2" s="430" t="s">
        <v>48</v>
      </c>
      <c r="F2" s="430" t="s">
        <v>52</v>
      </c>
      <c r="G2" s="430" t="s">
        <v>62</v>
      </c>
      <c r="H2" s="430" t="s">
        <v>69</v>
      </c>
      <c r="I2" s="430" t="s">
        <v>128</v>
      </c>
      <c r="J2" s="430" t="s">
        <v>135</v>
      </c>
      <c r="K2" s="430" t="s">
        <v>145</v>
      </c>
      <c r="L2" s="378" t="s">
        <v>180</v>
      </c>
      <c r="M2" s="378" t="s">
        <v>299</v>
      </c>
      <c r="N2" s="378" t="s">
        <v>641</v>
      </c>
      <c r="O2" s="378" t="s">
        <v>1111</v>
      </c>
      <c r="P2" s="271" t="s">
        <v>63</v>
      </c>
    </row>
    <row r="3" spans="1:16" ht="24" customHeight="1">
      <c r="A3" s="284" t="s">
        <v>249</v>
      </c>
      <c r="B3" s="284" t="s">
        <v>250</v>
      </c>
      <c r="C3" s="335"/>
      <c r="D3" s="335"/>
      <c r="E3" s="335"/>
      <c r="F3" s="335"/>
      <c r="G3" s="335"/>
      <c r="H3" s="335"/>
      <c r="I3" s="335"/>
      <c r="J3" s="335"/>
      <c r="K3" s="284">
        <f>572163600+12000000+4149600</f>
        <v>588313200</v>
      </c>
      <c r="L3" s="335"/>
      <c r="M3" s="284"/>
      <c r="N3" s="284"/>
      <c r="O3" s="284"/>
      <c r="P3" s="284"/>
    </row>
    <row r="4" spans="1:16" ht="24" customHeight="1">
      <c r="A4" s="284" t="s">
        <v>247</v>
      </c>
      <c r="B4" s="284" t="s">
        <v>32</v>
      </c>
      <c r="C4" s="284">
        <v>148515000</v>
      </c>
      <c r="D4" s="284">
        <v>297002000</v>
      </c>
      <c r="E4" s="284">
        <v>267852000</v>
      </c>
      <c r="F4" s="284">
        <v>272157000</v>
      </c>
      <c r="G4" s="284">
        <v>286368000</v>
      </c>
      <c r="H4" s="284">
        <f>286368000+65424000</f>
        <v>351792000</v>
      </c>
      <c r="I4" s="284">
        <v>457329600</v>
      </c>
      <c r="J4" s="284">
        <f>512163600+54000000+6000000</f>
        <v>572163600</v>
      </c>
      <c r="K4" s="284">
        <v>0</v>
      </c>
      <c r="L4" s="284">
        <v>588687600</v>
      </c>
      <c r="M4" s="284">
        <f>'shaq,3'!H33+36000000+221932800</f>
        <v>1218861600</v>
      </c>
      <c r="N4" s="284">
        <v>1152060000</v>
      </c>
      <c r="O4" s="284">
        <v>1411550400</v>
      </c>
      <c r="P4" s="284">
        <f>O4-N4</f>
        <v>259490400</v>
      </c>
    </row>
    <row r="5" spans="1:16" ht="24" customHeight="1">
      <c r="A5" s="284" t="s">
        <v>251</v>
      </c>
      <c r="B5" s="284" t="s">
        <v>812</v>
      </c>
      <c r="C5" s="284">
        <v>11833000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>
        <f>48240000+1440000+7920000</f>
        <v>57600000</v>
      </c>
      <c r="L5" s="284">
        <v>0</v>
      </c>
      <c r="M5" s="284">
        <v>0</v>
      </c>
      <c r="N5" s="284">
        <v>97200000</v>
      </c>
      <c r="O5" s="284">
        <v>97200000</v>
      </c>
      <c r="P5" s="284">
        <f t="shared" ref="P5:P47" si="0">O5-N5</f>
        <v>0</v>
      </c>
    </row>
    <row r="6" spans="1:16" ht="24" customHeight="1">
      <c r="A6" s="284" t="s">
        <v>252</v>
      </c>
      <c r="B6" s="284" t="s">
        <v>34</v>
      </c>
      <c r="C6" s="284">
        <v>10800000</v>
      </c>
      <c r="D6" s="284">
        <v>10800000</v>
      </c>
      <c r="E6" s="284">
        <v>10800000</v>
      </c>
      <c r="F6" s="284">
        <v>10800000</v>
      </c>
      <c r="G6" s="284">
        <v>14400000</v>
      </c>
      <c r="H6" s="284">
        <v>14400000</v>
      </c>
      <c r="I6" s="284">
        <v>14400000</v>
      </c>
      <c r="J6" s="284">
        <f>14400000+32400000+1440000</f>
        <v>48240000</v>
      </c>
      <c r="K6" s="284">
        <v>0</v>
      </c>
      <c r="L6" s="284">
        <v>61200000</v>
      </c>
      <c r="M6" s="284">
        <v>61200000</v>
      </c>
      <c r="N6" s="284">
        <v>97200000</v>
      </c>
      <c r="O6" s="284">
        <v>151200000</v>
      </c>
      <c r="P6" s="284">
        <f t="shared" si="0"/>
        <v>54000000</v>
      </c>
    </row>
    <row r="7" spans="1:16" ht="24" customHeight="1">
      <c r="A7" s="284" t="s">
        <v>676</v>
      </c>
      <c r="B7" s="284" t="s">
        <v>693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>
        <v>48000000</v>
      </c>
      <c r="N7" s="284">
        <f>M7</f>
        <v>48000000</v>
      </c>
      <c r="O7" s="284">
        <f>N7</f>
        <v>48000000</v>
      </c>
      <c r="P7" s="284">
        <f t="shared" si="0"/>
        <v>0</v>
      </c>
    </row>
    <row r="8" spans="1:16" ht="24" customHeight="1">
      <c r="A8" s="284"/>
      <c r="B8" s="292" t="s">
        <v>119</v>
      </c>
      <c r="C8" s="284"/>
      <c r="D8" s="284">
        <v>0</v>
      </c>
      <c r="E8" s="284">
        <v>6000000</v>
      </c>
      <c r="F8" s="284">
        <v>3000000</v>
      </c>
      <c r="G8" s="284">
        <v>0</v>
      </c>
      <c r="H8" s="284">
        <v>0</v>
      </c>
      <c r="I8" s="284">
        <v>0</v>
      </c>
      <c r="J8" s="284">
        <v>15000000</v>
      </c>
      <c r="K8" s="284">
        <v>0</v>
      </c>
      <c r="L8" s="284">
        <f>SUM(L4:L6)</f>
        <v>649887600</v>
      </c>
      <c r="M8" s="284">
        <f>M7+M6+M4+M5</f>
        <v>1328061600</v>
      </c>
      <c r="N8" s="292">
        <f>N7+N6+N4+N5</f>
        <v>1394460000</v>
      </c>
      <c r="O8" s="292">
        <f>SUM(O4:O7)</f>
        <v>1707950400</v>
      </c>
      <c r="P8" s="292">
        <f t="shared" si="0"/>
        <v>313490400</v>
      </c>
    </row>
    <row r="9" spans="1:16" ht="24" customHeight="1">
      <c r="A9" s="292" t="s">
        <v>262</v>
      </c>
      <c r="B9" s="292" t="s">
        <v>263</v>
      </c>
      <c r="C9" s="284"/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/>
      <c r="M9" s="284"/>
      <c r="N9" s="284"/>
      <c r="O9" s="284"/>
      <c r="P9" s="284">
        <f t="shared" si="0"/>
        <v>0</v>
      </c>
    </row>
    <row r="10" spans="1:16" ht="24" customHeight="1">
      <c r="A10" s="292" t="s">
        <v>265</v>
      </c>
      <c r="B10" s="292" t="s">
        <v>264</v>
      </c>
      <c r="C10" s="284"/>
      <c r="D10" s="284">
        <v>20000000</v>
      </c>
      <c r="E10" s="284">
        <v>56000000</v>
      </c>
      <c r="F10" s="284">
        <v>0</v>
      </c>
      <c r="G10" s="284">
        <v>0</v>
      </c>
      <c r="H10" s="284">
        <v>149500000</v>
      </c>
      <c r="I10" s="284">
        <v>0</v>
      </c>
      <c r="J10" s="284">
        <v>0</v>
      </c>
      <c r="K10" s="284">
        <v>14896000</v>
      </c>
      <c r="L10" s="284"/>
      <c r="M10" s="284"/>
      <c r="N10" s="284"/>
      <c r="O10" s="284"/>
      <c r="P10" s="284">
        <f t="shared" si="0"/>
        <v>0</v>
      </c>
    </row>
    <row r="11" spans="1:16" ht="24" customHeight="1">
      <c r="A11" s="284" t="s">
        <v>266</v>
      </c>
      <c r="B11" s="284" t="s">
        <v>38</v>
      </c>
      <c r="C11" s="284">
        <v>0</v>
      </c>
      <c r="D11" s="284">
        <v>2000000</v>
      </c>
      <c r="E11" s="284">
        <v>2000000</v>
      </c>
      <c r="F11" s="284">
        <v>1000000</v>
      </c>
      <c r="G11" s="284">
        <v>3200000</v>
      </c>
      <c r="H11" s="284">
        <v>4000000</v>
      </c>
      <c r="I11" s="284">
        <v>2979200</v>
      </c>
      <c r="J11" s="284">
        <v>4000000</v>
      </c>
      <c r="K11" s="284">
        <v>8937600</v>
      </c>
      <c r="L11" s="284">
        <v>44688000</v>
      </c>
      <c r="M11" s="284">
        <f>44688000*70%</f>
        <v>31281599.999999996</v>
      </c>
      <c r="N11" s="284">
        <f>44688000*70%</f>
        <v>31281599.999999996</v>
      </c>
      <c r="O11" s="284">
        <v>66281600</v>
      </c>
      <c r="P11" s="284">
        <f t="shared" si="0"/>
        <v>35000000</v>
      </c>
    </row>
    <row r="12" spans="1:16" ht="24" customHeight="1">
      <c r="A12" s="284" t="s">
        <v>267</v>
      </c>
      <c r="B12" s="284" t="s">
        <v>152</v>
      </c>
      <c r="C12" s="284"/>
      <c r="D12" s="284"/>
      <c r="E12" s="284"/>
      <c r="F12" s="284"/>
      <c r="G12" s="284"/>
      <c r="H12" s="284"/>
      <c r="I12" s="284"/>
      <c r="J12" s="284"/>
      <c r="K12" s="284">
        <v>18620000</v>
      </c>
      <c r="L12" s="284">
        <v>0</v>
      </c>
      <c r="M12" s="284">
        <v>0</v>
      </c>
      <c r="N12" s="284">
        <v>0</v>
      </c>
      <c r="O12" s="284">
        <v>0</v>
      </c>
      <c r="P12" s="284">
        <f t="shared" si="0"/>
        <v>0</v>
      </c>
    </row>
    <row r="13" spans="1:16" ht="24" customHeight="1">
      <c r="A13" s="284" t="s">
        <v>268</v>
      </c>
      <c r="B13" s="284" t="s">
        <v>153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f t="shared" si="0"/>
        <v>0</v>
      </c>
    </row>
    <row r="14" spans="1:16" ht="24" customHeight="1">
      <c r="A14" s="284" t="s">
        <v>269</v>
      </c>
      <c r="B14" s="284" t="s">
        <v>186</v>
      </c>
      <c r="C14" s="284"/>
      <c r="D14" s="284"/>
      <c r="E14" s="284"/>
      <c r="F14" s="284"/>
      <c r="G14" s="284"/>
      <c r="H14" s="284"/>
      <c r="I14" s="284"/>
      <c r="J14" s="284"/>
      <c r="K14" s="284">
        <v>208212162</v>
      </c>
      <c r="L14" s="284">
        <v>58040934</v>
      </c>
      <c r="M14" s="284">
        <v>40628653</v>
      </c>
      <c r="N14" s="284">
        <v>40628653</v>
      </c>
      <c r="O14" s="284">
        <v>40628653</v>
      </c>
      <c r="P14" s="284">
        <f t="shared" si="0"/>
        <v>0</v>
      </c>
    </row>
    <row r="15" spans="1:16" ht="24" customHeight="1">
      <c r="A15" s="284" t="s">
        <v>270</v>
      </c>
      <c r="B15" s="284" t="s">
        <v>163</v>
      </c>
      <c r="C15" s="284"/>
      <c r="D15" s="284"/>
      <c r="E15" s="284"/>
      <c r="F15" s="284"/>
      <c r="G15" s="284"/>
      <c r="H15" s="284"/>
      <c r="I15" s="284"/>
      <c r="J15" s="284"/>
      <c r="K15" s="284">
        <v>7448000</v>
      </c>
      <c r="L15" s="284">
        <v>0</v>
      </c>
      <c r="M15" s="284">
        <v>0</v>
      </c>
      <c r="N15" s="284">
        <v>0</v>
      </c>
      <c r="O15" s="284">
        <v>0</v>
      </c>
      <c r="P15" s="284">
        <f t="shared" si="0"/>
        <v>0</v>
      </c>
    </row>
    <row r="16" spans="1:16" ht="24" customHeight="1">
      <c r="A16" s="284" t="s">
        <v>271</v>
      </c>
      <c r="B16" s="284" t="s">
        <v>154</v>
      </c>
      <c r="C16" s="284">
        <v>6000000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f>SUM(K8:K15)</f>
        <v>258113762</v>
      </c>
      <c r="L16" s="284">
        <v>15000000</v>
      </c>
      <c r="M16" s="284">
        <f>15000000*70%</f>
        <v>10500000</v>
      </c>
      <c r="N16" s="284">
        <v>0</v>
      </c>
      <c r="O16" s="284">
        <v>0</v>
      </c>
      <c r="P16" s="284">
        <f t="shared" si="0"/>
        <v>0</v>
      </c>
    </row>
    <row r="17" spans="1:16" ht="24" customHeight="1">
      <c r="A17" s="284" t="s">
        <v>272</v>
      </c>
      <c r="B17" s="284" t="s">
        <v>54</v>
      </c>
      <c r="C17" s="284">
        <v>0</v>
      </c>
      <c r="D17" s="284">
        <v>6000000</v>
      </c>
      <c r="E17" s="284">
        <v>8000000</v>
      </c>
      <c r="F17" s="284">
        <v>16000000</v>
      </c>
      <c r="G17" s="284">
        <v>20217600</v>
      </c>
      <c r="H17" s="284">
        <v>25272000</v>
      </c>
      <c r="I17" s="284">
        <v>37442586</v>
      </c>
      <c r="J17" s="284">
        <v>55000000</v>
      </c>
      <c r="K17" s="284"/>
      <c r="L17" s="284">
        <v>34896000</v>
      </c>
      <c r="M17" s="284">
        <f>L17*70%</f>
        <v>24427200</v>
      </c>
      <c r="N17" s="284">
        <f>M17*70%</f>
        <v>17099040</v>
      </c>
      <c r="O17" s="284">
        <v>27099040</v>
      </c>
      <c r="P17" s="284">
        <f t="shared" si="0"/>
        <v>10000000</v>
      </c>
    </row>
    <row r="18" spans="1:16" ht="24" customHeight="1">
      <c r="A18" s="284" t="s">
        <v>273</v>
      </c>
      <c r="B18" s="284" t="s">
        <v>120</v>
      </c>
      <c r="C18" s="284">
        <v>12000000</v>
      </c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f t="shared" si="0"/>
        <v>0</v>
      </c>
    </row>
    <row r="19" spans="1:16" ht="24" customHeight="1">
      <c r="A19" s="284" t="s">
        <v>274</v>
      </c>
      <c r="B19" s="284" t="s">
        <v>164</v>
      </c>
      <c r="C19" s="284">
        <v>7000000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15000000</v>
      </c>
      <c r="K19" s="284">
        <v>201406000</v>
      </c>
      <c r="L19" s="284">
        <v>8937600</v>
      </c>
      <c r="M19" s="284">
        <f>8937600*70%</f>
        <v>6256320</v>
      </c>
      <c r="N19" s="284">
        <f>8937600*70%</f>
        <v>6256320</v>
      </c>
      <c r="O19" s="284">
        <f>8937600*70%</f>
        <v>6256320</v>
      </c>
      <c r="P19" s="284">
        <f t="shared" si="0"/>
        <v>0</v>
      </c>
    </row>
    <row r="20" spans="1:16" ht="24" customHeight="1">
      <c r="A20" s="284" t="s">
        <v>275</v>
      </c>
      <c r="B20" s="284" t="s">
        <v>40</v>
      </c>
      <c r="C20" s="284">
        <v>0</v>
      </c>
      <c r="D20" s="284">
        <v>0</v>
      </c>
      <c r="E20" s="284">
        <v>0</v>
      </c>
      <c r="F20" s="284">
        <v>0</v>
      </c>
      <c r="G20" s="284">
        <v>4000000</v>
      </c>
      <c r="H20" s="284">
        <v>5000000</v>
      </c>
      <c r="I20" s="284">
        <v>14896000</v>
      </c>
      <c r="J20" s="284">
        <v>45000000</v>
      </c>
      <c r="K20" s="284">
        <v>26812800</v>
      </c>
      <c r="L20" s="284">
        <v>48620000</v>
      </c>
      <c r="M20" s="284">
        <v>34034000</v>
      </c>
      <c r="N20" s="284">
        <v>40034000</v>
      </c>
      <c r="O20" s="284">
        <v>80034000</v>
      </c>
      <c r="P20" s="284">
        <f t="shared" si="0"/>
        <v>40000000</v>
      </c>
    </row>
    <row r="21" spans="1:16" ht="24" customHeight="1">
      <c r="A21" s="284" t="s">
        <v>276</v>
      </c>
      <c r="B21" s="284" t="s">
        <v>170</v>
      </c>
      <c r="C21" s="284">
        <v>5000000</v>
      </c>
      <c r="D21" s="284">
        <v>5000000</v>
      </c>
      <c r="E21" s="284">
        <v>5000000</v>
      </c>
      <c r="F21" s="284">
        <v>5000000</v>
      </c>
      <c r="G21" s="284">
        <v>8000000</v>
      </c>
      <c r="H21" s="284">
        <v>10000000</v>
      </c>
      <c r="I21" s="284">
        <v>18620000</v>
      </c>
      <c r="J21" s="284">
        <v>48000000</v>
      </c>
      <c r="K21" s="284">
        <f ca="1">SUM(K18:K23)</f>
        <v>235666800</v>
      </c>
      <c r="L21" s="284">
        <v>0</v>
      </c>
      <c r="M21" s="284">
        <v>0</v>
      </c>
      <c r="N21" s="284">
        <v>0</v>
      </c>
      <c r="O21" s="284">
        <v>0</v>
      </c>
      <c r="P21" s="284">
        <f t="shared" si="0"/>
        <v>0</v>
      </c>
    </row>
    <row r="22" spans="1:16" ht="24" customHeight="1">
      <c r="A22" s="284" t="s">
        <v>321</v>
      </c>
      <c r="B22" s="284" t="s">
        <v>322</v>
      </c>
      <c r="C22" s="284">
        <v>0</v>
      </c>
      <c r="D22" s="284">
        <v>0</v>
      </c>
      <c r="E22" s="284">
        <v>0</v>
      </c>
      <c r="F22" s="284">
        <v>0</v>
      </c>
      <c r="G22" s="284">
        <v>16000000</v>
      </c>
      <c r="H22" s="284">
        <v>360113000</v>
      </c>
      <c r="I22" s="284">
        <v>208212162</v>
      </c>
      <c r="J22" s="284">
        <v>330000000</v>
      </c>
      <c r="K22" s="284"/>
      <c r="L22" s="284">
        <v>0</v>
      </c>
      <c r="M22" s="284">
        <v>74131200</v>
      </c>
      <c r="N22" s="284">
        <v>74131200</v>
      </c>
      <c r="O22" s="284">
        <v>100000000</v>
      </c>
      <c r="P22" s="284">
        <f t="shared" si="0"/>
        <v>25868800</v>
      </c>
    </row>
    <row r="23" spans="1:16" ht="24" customHeight="1">
      <c r="A23" s="284" t="s">
        <v>1177</v>
      </c>
      <c r="B23" s="284" t="s">
        <v>1133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7448000</v>
      </c>
      <c r="L23" s="284">
        <v>208212162</v>
      </c>
      <c r="M23" s="284">
        <f>1000000000*70%</f>
        <v>700000000</v>
      </c>
      <c r="N23" s="284">
        <v>0</v>
      </c>
      <c r="O23" s="284">
        <v>50000000</v>
      </c>
      <c r="P23" s="284">
        <f>O23-N23</f>
        <v>50000000</v>
      </c>
    </row>
    <row r="24" spans="1:16" ht="24" customHeight="1">
      <c r="A24" s="284"/>
      <c r="B24" s="292" t="s">
        <v>119</v>
      </c>
      <c r="C24" s="284"/>
      <c r="D24" s="284"/>
      <c r="E24" s="284"/>
      <c r="F24" s="284"/>
      <c r="G24" s="284"/>
      <c r="H24" s="284"/>
      <c r="I24" s="284">
        <v>0</v>
      </c>
      <c r="J24" s="284">
        <v>35000000</v>
      </c>
      <c r="K24" s="284"/>
      <c r="L24" s="284">
        <f>SUM(L11:L22)</f>
        <v>210182534</v>
      </c>
      <c r="M24" s="284">
        <f>SUM(M11:M22)</f>
        <v>221258973</v>
      </c>
      <c r="N24" s="292">
        <f>SUM(N11:N23)</f>
        <v>209430813</v>
      </c>
      <c r="O24" s="292">
        <f>SUM(O11:O23)</f>
        <v>370299613</v>
      </c>
      <c r="P24" s="292">
        <f t="shared" si="0"/>
        <v>160868800</v>
      </c>
    </row>
    <row r="25" spans="1:16" ht="24" customHeight="1">
      <c r="A25" s="292" t="s">
        <v>279</v>
      </c>
      <c r="B25" s="292" t="s">
        <v>278</v>
      </c>
      <c r="C25" s="284"/>
      <c r="D25" s="284">
        <v>2577555</v>
      </c>
      <c r="E25" s="284">
        <v>11431000</v>
      </c>
      <c r="F25" s="284">
        <v>11446285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/>
      <c r="M25" s="284"/>
      <c r="N25" s="284"/>
      <c r="O25" s="284"/>
      <c r="P25" s="284">
        <f t="shared" si="0"/>
        <v>0</v>
      </c>
    </row>
    <row r="26" spans="1:16" s="387" customFormat="1" ht="24" customHeight="1">
      <c r="A26" s="284" t="s">
        <v>280</v>
      </c>
      <c r="B26" s="284" t="s">
        <v>160</v>
      </c>
      <c r="C26" s="284">
        <f>SUM(C16:C22)</f>
        <v>30000000</v>
      </c>
      <c r="D26" s="284">
        <f t="shared" ref="D26:J26" si="1">SUM(D16:D25)</f>
        <v>13577555</v>
      </c>
      <c r="E26" s="284">
        <f t="shared" si="1"/>
        <v>24431000</v>
      </c>
      <c r="F26" s="284">
        <f t="shared" si="1"/>
        <v>32446285</v>
      </c>
      <c r="G26" s="284">
        <f t="shared" si="1"/>
        <v>48217600</v>
      </c>
      <c r="H26" s="284">
        <f t="shared" si="1"/>
        <v>400385000</v>
      </c>
      <c r="I26" s="284">
        <f t="shared" si="1"/>
        <v>279170748</v>
      </c>
      <c r="J26" s="284">
        <f t="shared" si="1"/>
        <v>528000000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f t="shared" si="0"/>
        <v>0</v>
      </c>
    </row>
    <row r="27" spans="1:16" s="387" customFormat="1" ht="24" customHeight="1">
      <c r="A27" s="284" t="s">
        <v>281</v>
      </c>
      <c r="B27" s="284" t="s">
        <v>161</v>
      </c>
      <c r="C27" s="284" t="e">
        <f>C26+#REF!+#REF!+#REF!+#REF!</f>
        <v>#REF!</v>
      </c>
      <c r="D27" s="284" t="e">
        <f>D26+#REF!+#REF!+#REF!+#REF!</f>
        <v>#REF!</v>
      </c>
      <c r="E27" s="284" t="e">
        <f>E26+#REF!+#REF!+#REF!+#REF!</f>
        <v>#REF!</v>
      </c>
      <c r="F27" s="284" t="e">
        <f>F26+#REF!+#REF!+#REF!+#REF!</f>
        <v>#REF!</v>
      </c>
      <c r="G27" s="284" t="e">
        <f>G26+#REF!+#REF!+#REF!+#REF!</f>
        <v>#REF!</v>
      </c>
      <c r="H27" s="284" t="e">
        <f>H26+#REF!+#REF!+#REF!+#REF!</f>
        <v>#REF!</v>
      </c>
      <c r="I27" s="284" t="e">
        <f>I26+#REF!+#REF!+#REF!+#REF!</f>
        <v>#REF!</v>
      </c>
      <c r="J27" s="284" t="e">
        <f>J26+#REF!+#REF!+#REF!+#REF!</f>
        <v>#REF!</v>
      </c>
      <c r="K27" s="284">
        <v>2979200</v>
      </c>
      <c r="L27" s="284">
        <v>351406000</v>
      </c>
      <c r="M27" s="284">
        <f>245984200+105421800</f>
        <v>351406000</v>
      </c>
      <c r="N27" s="284">
        <f>M27</f>
        <v>351406000</v>
      </c>
      <c r="O27" s="284">
        <v>421406000</v>
      </c>
      <c r="P27" s="284">
        <f t="shared" si="0"/>
        <v>70000000</v>
      </c>
    </row>
    <row r="28" spans="1:16" ht="24" customHeight="1">
      <c r="A28" s="284" t="s">
        <v>282</v>
      </c>
      <c r="B28" s="284" t="s">
        <v>155</v>
      </c>
      <c r="C28" s="335"/>
      <c r="D28" s="335"/>
      <c r="E28" s="335"/>
      <c r="F28" s="336">
        <v>0</v>
      </c>
      <c r="G28" s="336" t="s">
        <v>4</v>
      </c>
      <c r="H28" s="336"/>
      <c r="I28" s="336"/>
      <c r="J28" s="336"/>
      <c r="K28" s="336">
        <v>2234400</v>
      </c>
      <c r="L28" s="336">
        <v>26812800</v>
      </c>
      <c r="M28" s="336">
        <v>18768960</v>
      </c>
      <c r="N28" s="336">
        <v>18768960</v>
      </c>
      <c r="O28" s="336">
        <v>18768960</v>
      </c>
      <c r="P28" s="284">
        <f t="shared" si="0"/>
        <v>0</v>
      </c>
    </row>
    <row r="29" spans="1:16" ht="24" customHeight="1">
      <c r="A29" s="284" t="s">
        <v>283</v>
      </c>
      <c r="B29" s="284" t="s">
        <v>156</v>
      </c>
      <c r="C29" s="335"/>
      <c r="D29" s="336">
        <v>0</v>
      </c>
      <c r="E29" s="336"/>
      <c r="F29" s="336"/>
      <c r="G29" s="336"/>
      <c r="H29" s="336"/>
      <c r="I29" s="336"/>
      <c r="J29" s="336"/>
      <c r="K29" s="336">
        <f>SUM(K25:K28)</f>
        <v>5213600</v>
      </c>
      <c r="L29" s="336">
        <v>45448000</v>
      </c>
      <c r="M29" s="336">
        <f>45448000*70%</f>
        <v>31813599.999999996</v>
      </c>
      <c r="N29" s="336">
        <f>45448000*70%</f>
        <v>31813599.999999996</v>
      </c>
      <c r="O29" s="336">
        <f>45448000*70%</f>
        <v>31813599.999999996</v>
      </c>
      <c r="P29" s="284">
        <f t="shared" si="0"/>
        <v>0</v>
      </c>
    </row>
    <row r="30" spans="1:16" ht="24" customHeight="1">
      <c r="A30" s="284" t="s">
        <v>284</v>
      </c>
      <c r="B30" s="284" t="s">
        <v>162</v>
      </c>
      <c r="C30" s="335"/>
      <c r="D30" s="336">
        <v>0</v>
      </c>
      <c r="E30" s="336"/>
      <c r="F30" s="336"/>
      <c r="G30" s="336"/>
      <c r="H30" s="336"/>
      <c r="I30" s="336"/>
      <c r="J30" s="336"/>
      <c r="K30" s="336"/>
      <c r="L30" s="336">
        <v>0</v>
      </c>
      <c r="M30" s="336">
        <v>0</v>
      </c>
      <c r="N30" s="336">
        <v>0</v>
      </c>
      <c r="O30" s="336">
        <v>0</v>
      </c>
      <c r="P30" s="284">
        <f t="shared" si="0"/>
        <v>0</v>
      </c>
    </row>
    <row r="31" spans="1:16" ht="24" customHeight="1">
      <c r="A31" s="284" t="s">
        <v>298</v>
      </c>
      <c r="B31" s="284" t="s">
        <v>219</v>
      </c>
      <c r="C31" s="335"/>
      <c r="D31" s="335"/>
      <c r="E31" s="335"/>
      <c r="F31" s="335"/>
      <c r="G31" s="335"/>
      <c r="H31" s="335"/>
      <c r="I31" s="335"/>
      <c r="J31" s="335"/>
      <c r="K31" s="360">
        <v>37240000</v>
      </c>
      <c r="L31" s="360">
        <v>27448000</v>
      </c>
      <c r="M31" s="360">
        <v>27448000</v>
      </c>
      <c r="N31" s="384">
        <v>0</v>
      </c>
      <c r="O31" s="384">
        <v>0</v>
      </c>
      <c r="P31" s="384">
        <f t="shared" si="0"/>
        <v>0</v>
      </c>
    </row>
    <row r="32" spans="1:16" ht="24" customHeight="1">
      <c r="A32" s="284"/>
      <c r="B32" s="292" t="s">
        <v>119</v>
      </c>
      <c r="C32" s="335"/>
      <c r="D32" s="335"/>
      <c r="E32" s="335"/>
      <c r="F32" s="335"/>
      <c r="G32" s="335"/>
      <c r="H32" s="335"/>
      <c r="I32" s="335"/>
      <c r="J32" s="335"/>
      <c r="K32" s="284">
        <v>0</v>
      </c>
      <c r="L32" s="284">
        <f>SUM(L26:L31)</f>
        <v>451114800</v>
      </c>
      <c r="M32" s="284">
        <f>SUM(M26:M31)</f>
        <v>429436560</v>
      </c>
      <c r="N32" s="292">
        <f>SUM(N26:N31)</f>
        <v>401988560</v>
      </c>
      <c r="O32" s="292">
        <f>SUM(O26:O31)</f>
        <v>471988560</v>
      </c>
      <c r="P32" s="292">
        <f t="shared" si="0"/>
        <v>70000000</v>
      </c>
    </row>
    <row r="33" spans="1:16" ht="24" customHeight="1">
      <c r="A33" s="284" t="s">
        <v>285</v>
      </c>
      <c r="B33" s="284" t="s">
        <v>158</v>
      </c>
      <c r="C33" s="335"/>
      <c r="D33" s="335"/>
      <c r="E33" s="335"/>
      <c r="F33" s="335"/>
      <c r="G33" s="335"/>
      <c r="H33" s="335"/>
      <c r="I33" s="335"/>
      <c r="J33" s="335"/>
      <c r="K33" s="284">
        <v>4468800</v>
      </c>
      <c r="L33" s="284"/>
      <c r="M33" s="284"/>
      <c r="N33" s="284"/>
      <c r="O33" s="284"/>
      <c r="P33" s="284">
        <f t="shared" si="0"/>
        <v>0</v>
      </c>
    </row>
    <row r="34" spans="1:16" ht="24" customHeight="1">
      <c r="A34" s="284" t="s">
        <v>286</v>
      </c>
      <c r="B34" s="284" t="s">
        <v>55</v>
      </c>
      <c r="C34" s="335"/>
      <c r="D34" s="335"/>
      <c r="E34" s="335"/>
      <c r="F34" s="335"/>
      <c r="G34" s="335"/>
      <c r="H34" s="335"/>
      <c r="I34" s="335"/>
      <c r="J34" s="335"/>
      <c r="K34" s="360">
        <f>SUM(K31:K33)</f>
        <v>41708800</v>
      </c>
      <c r="L34" s="360">
        <v>67240000</v>
      </c>
      <c r="M34" s="360">
        <v>47068000</v>
      </c>
      <c r="N34" s="360">
        <v>60000000</v>
      </c>
      <c r="O34" s="360">
        <v>60000000</v>
      </c>
      <c r="P34" s="284">
        <f t="shared" si="0"/>
        <v>0</v>
      </c>
    </row>
    <row r="35" spans="1:16" ht="24" customHeight="1">
      <c r="A35" s="284" t="s">
        <v>288</v>
      </c>
      <c r="B35" s="284" t="s">
        <v>287</v>
      </c>
      <c r="C35" s="335"/>
      <c r="D35" s="335"/>
      <c r="E35" s="335"/>
      <c r="F35" s="335"/>
      <c r="G35" s="335"/>
      <c r="H35" s="335"/>
      <c r="I35" s="335"/>
      <c r="J35" s="335"/>
      <c r="K35" s="360" t="e">
        <f ca="1">K34+K29+K21+K16+#REF!</f>
        <v>#REF!</v>
      </c>
      <c r="L35" s="300">
        <v>0</v>
      </c>
      <c r="M35" s="300">
        <v>0</v>
      </c>
      <c r="N35" s="300">
        <v>0</v>
      </c>
      <c r="O35" s="300">
        <v>0</v>
      </c>
      <c r="P35" s="284">
        <f t="shared" si="0"/>
        <v>0</v>
      </c>
    </row>
    <row r="36" spans="1:16" ht="24" customHeight="1">
      <c r="A36" s="284" t="s">
        <v>323</v>
      </c>
      <c r="B36" s="284" t="s">
        <v>324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00">
        <v>0</v>
      </c>
      <c r="M36" s="300">
        <v>0</v>
      </c>
      <c r="N36" s="300">
        <v>0</v>
      </c>
      <c r="O36" s="300">
        <v>0</v>
      </c>
      <c r="P36" s="284">
        <f t="shared" si="0"/>
        <v>0</v>
      </c>
    </row>
    <row r="37" spans="1:16" ht="24" customHeight="1">
      <c r="A37" s="284" t="s">
        <v>289</v>
      </c>
      <c r="B37" s="284" t="s">
        <v>290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00">
        <v>0</v>
      </c>
      <c r="M37" s="300">
        <v>0</v>
      </c>
      <c r="N37" s="300">
        <v>0</v>
      </c>
      <c r="O37" s="300">
        <v>0</v>
      </c>
      <c r="P37" s="284">
        <f t="shared" si="0"/>
        <v>0</v>
      </c>
    </row>
    <row r="38" spans="1:16" ht="24" customHeight="1">
      <c r="A38" s="284"/>
      <c r="B38" s="292" t="s">
        <v>119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60">
        <f>SUM(L34:L37)</f>
        <v>67240000</v>
      </c>
      <c r="M38" s="360">
        <f>SUM(M34:M37)</f>
        <v>47068000</v>
      </c>
      <c r="N38" s="383">
        <f>SUM(N34:N37)</f>
        <v>60000000</v>
      </c>
      <c r="O38" s="383">
        <f>SUM(O34:O37)</f>
        <v>60000000</v>
      </c>
      <c r="P38" s="292">
        <f t="shared" si="0"/>
        <v>0</v>
      </c>
    </row>
    <row r="39" spans="1:16" ht="24" customHeight="1">
      <c r="A39" s="292" t="s">
        <v>293</v>
      </c>
      <c r="B39" s="292" t="s">
        <v>292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284">
        <f t="shared" si="0"/>
        <v>0</v>
      </c>
    </row>
    <row r="40" spans="1:16" ht="24" customHeight="1">
      <c r="A40" s="292" t="s">
        <v>294</v>
      </c>
      <c r="B40" s="292" t="s">
        <v>291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284">
        <f t="shared" si="0"/>
        <v>0</v>
      </c>
    </row>
    <row r="41" spans="1:16" ht="24" customHeight="1">
      <c r="A41" s="284" t="s">
        <v>446</v>
      </c>
      <c r="B41" s="284" t="s">
        <v>307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00">
        <v>4468800</v>
      </c>
      <c r="M41" s="300">
        <f>4468800*70%</f>
        <v>3128160</v>
      </c>
      <c r="N41" s="300">
        <v>0</v>
      </c>
      <c r="O41" s="300">
        <v>0</v>
      </c>
      <c r="P41" s="284">
        <f t="shared" si="0"/>
        <v>0</v>
      </c>
    </row>
    <row r="42" spans="1:16" ht="24" customHeight="1">
      <c r="A42" s="284" t="s">
        <v>388</v>
      </c>
      <c r="B42" s="284" t="s">
        <v>444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00">
        <v>0</v>
      </c>
      <c r="M42" s="300">
        <v>216000000</v>
      </c>
      <c r="N42" s="300">
        <v>0</v>
      </c>
      <c r="O42" s="300">
        <v>0</v>
      </c>
      <c r="P42" s="284">
        <f t="shared" si="0"/>
        <v>0</v>
      </c>
    </row>
    <row r="43" spans="1:16" ht="24" customHeight="1">
      <c r="A43" s="284" t="s">
        <v>295</v>
      </c>
      <c r="B43" s="284" t="s">
        <v>176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00">
        <v>2979200</v>
      </c>
      <c r="M43" s="300">
        <f>2979200*70%</f>
        <v>2085439.9999999998</v>
      </c>
      <c r="N43" s="300">
        <f>M43</f>
        <v>2085439.9999999998</v>
      </c>
      <c r="O43" s="300">
        <f>N43</f>
        <v>2085439.9999999998</v>
      </c>
      <c r="P43" s="284">
        <f t="shared" si="0"/>
        <v>0</v>
      </c>
    </row>
    <row r="44" spans="1:16" ht="24" customHeight="1">
      <c r="A44" s="284" t="s">
        <v>296</v>
      </c>
      <c r="B44" s="284" t="s">
        <v>177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00">
        <v>2234400</v>
      </c>
      <c r="M44" s="300">
        <f>2234400*70%</f>
        <v>1564080</v>
      </c>
      <c r="N44" s="300">
        <v>0</v>
      </c>
      <c r="O44" s="300">
        <v>0</v>
      </c>
      <c r="P44" s="284">
        <f t="shared" si="0"/>
        <v>0</v>
      </c>
    </row>
    <row r="45" spans="1:16" ht="24" customHeight="1">
      <c r="A45" s="284" t="s">
        <v>517</v>
      </c>
      <c r="B45" s="284" t="s">
        <v>518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00">
        <v>0</v>
      </c>
      <c r="M45" s="300">
        <f>180000000*70%</f>
        <v>125999999.99999999</v>
      </c>
      <c r="N45" s="300">
        <v>0</v>
      </c>
      <c r="O45" s="300">
        <v>0</v>
      </c>
      <c r="P45" s="284">
        <f t="shared" si="0"/>
        <v>0</v>
      </c>
    </row>
    <row r="46" spans="1:16" ht="24" customHeight="1">
      <c r="A46" s="284"/>
      <c r="B46" s="292" t="s">
        <v>119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00">
        <f>SUM(L41:L45)</f>
        <v>9682400</v>
      </c>
      <c r="M46" s="300">
        <f>SUM(M41:M45)</f>
        <v>348777680</v>
      </c>
      <c r="N46" s="627">
        <f>SUM(N41:N45)</f>
        <v>2085439.9999999998</v>
      </c>
      <c r="O46" s="627">
        <f>SUM(O41:O45)</f>
        <v>2085439.9999999998</v>
      </c>
      <c r="P46" s="292">
        <f t="shared" si="0"/>
        <v>0</v>
      </c>
    </row>
    <row r="47" spans="1:16" ht="24" customHeight="1">
      <c r="A47" s="284"/>
      <c r="B47" s="292" t="s">
        <v>42</v>
      </c>
      <c r="C47" s="373"/>
      <c r="D47" s="373"/>
      <c r="E47" s="373"/>
      <c r="F47" s="373"/>
      <c r="G47" s="373"/>
      <c r="H47" s="373"/>
      <c r="I47" s="373"/>
      <c r="J47" s="373"/>
      <c r="K47" s="373"/>
      <c r="L47" s="627">
        <f>L46+L38+L32+L24+L8</f>
        <v>1388107334</v>
      </c>
      <c r="M47" s="627">
        <f>M46+M38+M32+M24+M8</f>
        <v>2374602813</v>
      </c>
      <c r="N47" s="627">
        <f>N46+N38+N32+N24+N8</f>
        <v>2067964813</v>
      </c>
      <c r="O47" s="627">
        <f>O46+O38+O32+O24+O8</f>
        <v>2612324013</v>
      </c>
      <c r="P47" s="292">
        <f t="shared" si="0"/>
        <v>544359200</v>
      </c>
    </row>
    <row r="50" spans="13:13" ht="23.1" customHeight="1">
      <c r="M50" s="628"/>
    </row>
  </sheetData>
  <phoneticPr fontId="0" type="noConversion"/>
  <printOptions gridLines="1"/>
  <pageMargins left="0.76" right="0.25" top="1.1000000000000001" bottom="0.49" header="0.53" footer="0.21"/>
  <pageSetup scale="60" orientation="portrait" r:id="rId1"/>
  <headerFooter alignWithMargins="0">
    <oddHeader>&amp;C&amp;"Algerian,Regular"&amp;28Wasaaradda beeraha</oddHeader>
    <oddFooter>&amp;R&amp;"Times New Roman,Bold"&amp;14 32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5"/>
  <dimension ref="A1:P53"/>
  <sheetViews>
    <sheetView view="pageBreakPreview" zoomScale="60" zoomScaleNormal="75" workbookViewId="0">
      <selection sqref="A1:XFD1048576"/>
    </sheetView>
  </sheetViews>
  <sheetFormatPr defaultRowHeight="21.95" customHeight="1"/>
  <cols>
    <col min="1" max="1" width="16.6640625" style="155" bestFit="1" customWidth="1"/>
    <col min="2" max="2" width="79" style="155" bestFit="1" customWidth="1"/>
    <col min="3" max="3" width="16.1640625" style="155" hidden="1" customWidth="1"/>
    <col min="4" max="4" width="15.5" style="155" hidden="1" customWidth="1"/>
    <col min="5" max="5" width="18" style="155" hidden="1" customWidth="1"/>
    <col min="6" max="6" width="16.1640625" style="155" hidden="1" customWidth="1"/>
    <col min="7" max="7" width="0.1640625" style="155" hidden="1" customWidth="1"/>
    <col min="8" max="8" width="21" style="155" hidden="1" customWidth="1"/>
    <col min="9" max="9" width="1.5" style="155" hidden="1" customWidth="1"/>
    <col min="10" max="10" width="1.6640625" style="155" hidden="1" customWidth="1"/>
    <col min="11" max="11" width="21" style="155" hidden="1" customWidth="1"/>
    <col min="12" max="12" width="0.1640625" style="155" hidden="1" customWidth="1"/>
    <col min="13" max="13" width="31" style="155" hidden="1" customWidth="1"/>
    <col min="14" max="14" width="31" style="155" bestFit="1" customWidth="1"/>
    <col min="15" max="16" width="31" style="155" customWidth="1"/>
    <col min="17" max="16384" width="9.33203125" style="155"/>
  </cols>
  <sheetData>
    <row r="1" spans="1:16" ht="24" customHeight="1">
      <c r="A1" s="373" t="s">
        <v>45</v>
      </c>
      <c r="B1" s="443" t="s">
        <v>473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35"/>
      <c r="O1" s="335"/>
      <c r="P1" s="335"/>
    </row>
    <row r="2" spans="1:16" ht="24" customHeight="1">
      <c r="A2" s="292" t="s">
        <v>248</v>
      </c>
      <c r="B2" s="292" t="s">
        <v>165</v>
      </c>
      <c r="C2" s="373" t="s">
        <v>43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128</v>
      </c>
      <c r="J2" s="378" t="s">
        <v>135</v>
      </c>
      <c r="K2" s="378" t="s">
        <v>145</v>
      </c>
      <c r="L2" s="378" t="s">
        <v>180</v>
      </c>
      <c r="M2" s="378" t="s">
        <v>297</v>
      </c>
      <c r="N2" s="378" t="s">
        <v>641</v>
      </c>
      <c r="O2" s="378" t="s">
        <v>1111</v>
      </c>
      <c r="P2" s="378" t="s">
        <v>63</v>
      </c>
    </row>
    <row r="3" spans="1:16" ht="24" customHeight="1">
      <c r="A3" s="292" t="s">
        <v>249</v>
      </c>
      <c r="B3" s="292" t="s">
        <v>250</v>
      </c>
      <c r="C3" s="335"/>
      <c r="D3" s="335"/>
      <c r="E3" s="335"/>
      <c r="F3" s="335"/>
      <c r="G3" s="335"/>
      <c r="H3" s="335"/>
      <c r="I3" s="335"/>
      <c r="J3" s="335"/>
      <c r="K3" s="284">
        <f>572163600+12000000+4149600</f>
        <v>588313200</v>
      </c>
      <c r="L3" s="335"/>
      <c r="M3" s="284"/>
      <c r="N3" s="284"/>
      <c r="O3" s="284"/>
      <c r="P3" s="284"/>
    </row>
    <row r="4" spans="1:16" ht="24" customHeight="1">
      <c r="A4" s="284" t="s">
        <v>247</v>
      </c>
      <c r="B4" s="284" t="s">
        <v>722</v>
      </c>
      <c r="C4" s="284">
        <v>148515000</v>
      </c>
      <c r="D4" s="284">
        <v>297002000</v>
      </c>
      <c r="E4" s="284">
        <v>267852000</v>
      </c>
      <c r="F4" s="284">
        <v>272157000</v>
      </c>
      <c r="G4" s="284">
        <v>286368000</v>
      </c>
      <c r="H4" s="284">
        <f>286368000+65424000</f>
        <v>351792000</v>
      </c>
      <c r="I4" s="284">
        <v>457329600</v>
      </c>
      <c r="J4" s="284">
        <f>512163600+54000000+6000000</f>
        <v>572163600</v>
      </c>
      <c r="K4" s="284">
        <v>0</v>
      </c>
      <c r="L4" s="284">
        <f>692162600+720258200</f>
        <v>1412420800</v>
      </c>
      <c r="M4" s="284">
        <v>1546080000</v>
      </c>
      <c r="N4" s="284">
        <v>1824638400</v>
      </c>
      <c r="O4" s="284">
        <v>1972557600</v>
      </c>
      <c r="P4" s="284">
        <f>O4-N4</f>
        <v>147919200</v>
      </c>
    </row>
    <row r="5" spans="1:16" ht="24" customHeight="1">
      <c r="A5" s="284" t="s">
        <v>251</v>
      </c>
      <c r="B5" s="284" t="s">
        <v>815</v>
      </c>
      <c r="C5" s="284">
        <v>11833000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>
        <f>48240000+1440000+7920000</f>
        <v>57600000</v>
      </c>
      <c r="L5" s="284">
        <v>0</v>
      </c>
      <c r="M5" s="284">
        <v>0</v>
      </c>
      <c r="N5" s="284">
        <v>97200000</v>
      </c>
      <c r="O5" s="284">
        <v>97200000</v>
      </c>
      <c r="P5" s="284">
        <f t="shared" ref="P5:P53" si="0">O5-N5</f>
        <v>0</v>
      </c>
    </row>
    <row r="6" spans="1:16" ht="24" customHeight="1">
      <c r="A6" s="284" t="s">
        <v>252</v>
      </c>
      <c r="B6" s="284" t="s">
        <v>34</v>
      </c>
      <c r="C6" s="284">
        <v>10800000</v>
      </c>
      <c r="D6" s="284">
        <v>10800000</v>
      </c>
      <c r="E6" s="284">
        <v>10800000</v>
      </c>
      <c r="F6" s="284">
        <v>10800000</v>
      </c>
      <c r="G6" s="284">
        <v>14400000</v>
      </c>
      <c r="H6" s="284">
        <v>14400000</v>
      </c>
      <c r="I6" s="284">
        <v>14400000</v>
      </c>
      <c r="J6" s="284">
        <f>14400000+32400000+1440000</f>
        <v>48240000</v>
      </c>
      <c r="K6" s="284">
        <v>0</v>
      </c>
      <c r="L6" s="284">
        <f>61200000+61200000</f>
        <v>122400000</v>
      </c>
      <c r="M6" s="284">
        <v>61200000</v>
      </c>
      <c r="N6" s="284">
        <v>100800000</v>
      </c>
      <c r="O6" s="284">
        <v>151200000</v>
      </c>
      <c r="P6" s="284">
        <f t="shared" si="0"/>
        <v>50400000</v>
      </c>
    </row>
    <row r="7" spans="1:16" ht="24" customHeight="1">
      <c r="A7" s="284" t="s">
        <v>676</v>
      </c>
      <c r="B7" s="284" t="s">
        <v>776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>
        <v>0</v>
      </c>
      <c r="O7" s="284">
        <v>216000000</v>
      </c>
      <c r="P7" s="284">
        <f t="shared" si="0"/>
        <v>216000000</v>
      </c>
    </row>
    <row r="8" spans="1:16" ht="24" customHeight="1">
      <c r="A8" s="284"/>
      <c r="B8" s="292" t="s">
        <v>119</v>
      </c>
      <c r="C8" s="284"/>
      <c r="D8" s="284">
        <v>0</v>
      </c>
      <c r="E8" s="284">
        <v>6000000</v>
      </c>
      <c r="F8" s="284">
        <v>3000000</v>
      </c>
      <c r="G8" s="284">
        <v>0</v>
      </c>
      <c r="H8" s="284">
        <v>0</v>
      </c>
      <c r="I8" s="284">
        <v>0</v>
      </c>
      <c r="J8" s="284">
        <v>15000000</v>
      </c>
      <c r="K8" s="284">
        <v>0</v>
      </c>
      <c r="L8" s="292">
        <f>SUM(L4:L6)</f>
        <v>1534820800</v>
      </c>
      <c r="M8" s="292">
        <f>SUM(M4:M6)</f>
        <v>1607280000</v>
      </c>
      <c r="N8" s="292">
        <f>SUM(N4:N7)</f>
        <v>2022638400</v>
      </c>
      <c r="O8" s="292">
        <f>SUM(O4:O7)</f>
        <v>2436957600</v>
      </c>
      <c r="P8" s="292">
        <f t="shared" si="0"/>
        <v>414319200</v>
      </c>
    </row>
    <row r="9" spans="1:16" ht="24" customHeight="1">
      <c r="A9" s="292" t="s">
        <v>262</v>
      </c>
      <c r="B9" s="292" t="s">
        <v>263</v>
      </c>
      <c r="C9" s="284"/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/>
      <c r="M9" s="284"/>
      <c r="N9" s="284"/>
      <c r="O9" s="284"/>
      <c r="P9" s="284">
        <f t="shared" si="0"/>
        <v>0</v>
      </c>
    </row>
    <row r="10" spans="1:16" ht="24" customHeight="1">
      <c r="A10" s="292" t="s">
        <v>265</v>
      </c>
      <c r="B10" s="292" t="s">
        <v>264</v>
      </c>
      <c r="C10" s="284"/>
      <c r="D10" s="284">
        <v>20000000</v>
      </c>
      <c r="E10" s="284">
        <v>56000000</v>
      </c>
      <c r="F10" s="284">
        <v>0</v>
      </c>
      <c r="G10" s="284">
        <v>0</v>
      </c>
      <c r="H10" s="284">
        <v>149500000</v>
      </c>
      <c r="I10" s="284">
        <v>0</v>
      </c>
      <c r="J10" s="284">
        <v>0</v>
      </c>
      <c r="K10" s="284">
        <v>14896000</v>
      </c>
      <c r="L10" s="284"/>
      <c r="M10" s="284"/>
      <c r="N10" s="284"/>
      <c r="O10" s="284"/>
      <c r="P10" s="284">
        <f t="shared" si="0"/>
        <v>0</v>
      </c>
    </row>
    <row r="11" spans="1:16" ht="24" customHeight="1">
      <c r="A11" s="284" t="s">
        <v>266</v>
      </c>
      <c r="B11" s="284" t="s">
        <v>38</v>
      </c>
      <c r="C11" s="284">
        <v>0</v>
      </c>
      <c r="D11" s="284">
        <v>2000000</v>
      </c>
      <c r="E11" s="284">
        <v>2000000</v>
      </c>
      <c r="F11" s="284">
        <v>1000000</v>
      </c>
      <c r="G11" s="284">
        <v>3200000</v>
      </c>
      <c r="H11" s="284">
        <v>4000000</v>
      </c>
      <c r="I11" s="284">
        <v>2979200</v>
      </c>
      <c r="J11" s="284">
        <v>4000000</v>
      </c>
      <c r="K11" s="284">
        <v>8937600</v>
      </c>
      <c r="L11" s="284">
        <f>32344000+20258560</f>
        <v>52602560</v>
      </c>
      <c r="M11" s="284">
        <v>22642800</v>
      </c>
      <c r="N11" s="284">
        <f>M11</f>
        <v>22642800</v>
      </c>
      <c r="O11" s="284">
        <f>N11</f>
        <v>22642800</v>
      </c>
      <c r="P11" s="284">
        <f t="shared" si="0"/>
        <v>0</v>
      </c>
    </row>
    <row r="12" spans="1:16" ht="24" customHeight="1">
      <c r="A12" s="284" t="s">
        <v>267</v>
      </c>
      <c r="B12" s="284" t="s">
        <v>152</v>
      </c>
      <c r="C12" s="284"/>
      <c r="D12" s="284"/>
      <c r="E12" s="284"/>
      <c r="F12" s="284"/>
      <c r="G12" s="284"/>
      <c r="H12" s="284"/>
      <c r="I12" s="284"/>
      <c r="J12" s="284"/>
      <c r="K12" s="284">
        <v>18620000</v>
      </c>
      <c r="L12" s="284">
        <v>7500000</v>
      </c>
      <c r="M12" s="284">
        <f>7500000*70%</f>
        <v>5250000</v>
      </c>
      <c r="N12" s="284">
        <f>7500000*70%</f>
        <v>5250000</v>
      </c>
      <c r="O12" s="284">
        <f>7500000*70%</f>
        <v>5250000</v>
      </c>
      <c r="P12" s="284">
        <f t="shared" si="0"/>
        <v>0</v>
      </c>
    </row>
    <row r="13" spans="1:16" s="427" customFormat="1" ht="24" customHeight="1">
      <c r="A13" s="284" t="s">
        <v>268</v>
      </c>
      <c r="B13" s="284" t="s">
        <v>153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f t="shared" si="0"/>
        <v>0</v>
      </c>
    </row>
    <row r="14" spans="1:16" ht="24" customHeight="1">
      <c r="A14" s="284" t="s">
        <v>269</v>
      </c>
      <c r="B14" s="284" t="s">
        <v>186</v>
      </c>
      <c r="C14" s="284"/>
      <c r="D14" s="284"/>
      <c r="E14" s="284"/>
      <c r="F14" s="284"/>
      <c r="G14" s="284"/>
      <c r="H14" s="284"/>
      <c r="I14" s="284"/>
      <c r="J14" s="284"/>
      <c r="K14" s="284">
        <v>208212162</v>
      </c>
      <c r="L14" s="284">
        <f>29896000+77240000</f>
        <v>107136000</v>
      </c>
      <c r="M14" s="284">
        <v>20927200</v>
      </c>
      <c r="N14" s="284">
        <f>M14</f>
        <v>20927200</v>
      </c>
      <c r="O14" s="284">
        <v>50927200</v>
      </c>
      <c r="P14" s="284">
        <f t="shared" si="0"/>
        <v>30000000</v>
      </c>
    </row>
    <row r="15" spans="1:16" ht="24" customHeight="1">
      <c r="A15" s="284" t="s">
        <v>270</v>
      </c>
      <c r="B15" s="284" t="s">
        <v>163</v>
      </c>
      <c r="C15" s="284"/>
      <c r="D15" s="284"/>
      <c r="E15" s="284"/>
      <c r="F15" s="284"/>
      <c r="G15" s="284"/>
      <c r="H15" s="284"/>
      <c r="I15" s="284"/>
      <c r="J15" s="284"/>
      <c r="K15" s="284">
        <v>7448000</v>
      </c>
      <c r="L15" s="284">
        <f>11172000+27065760</f>
        <v>38237760</v>
      </c>
      <c r="M15" s="284">
        <v>7820400</v>
      </c>
      <c r="N15" s="284">
        <f>M15</f>
        <v>7820400</v>
      </c>
      <c r="O15" s="284">
        <f>N15</f>
        <v>7820400</v>
      </c>
      <c r="P15" s="284">
        <f t="shared" si="0"/>
        <v>0</v>
      </c>
    </row>
    <row r="16" spans="1:16" ht="24" customHeight="1">
      <c r="A16" s="284" t="s">
        <v>271</v>
      </c>
      <c r="B16" s="284" t="s">
        <v>154</v>
      </c>
      <c r="C16" s="284">
        <v>6000000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92">
        <f>SUM(K8:K15)</f>
        <v>258113762</v>
      </c>
      <c r="L16" s="284">
        <v>9228496</v>
      </c>
      <c r="M16" s="284">
        <v>0</v>
      </c>
      <c r="N16" s="284">
        <v>0</v>
      </c>
      <c r="O16" s="284">
        <v>0</v>
      </c>
      <c r="P16" s="284">
        <f t="shared" si="0"/>
        <v>0</v>
      </c>
    </row>
    <row r="17" spans="1:16" ht="24" customHeight="1">
      <c r="A17" s="284" t="s">
        <v>272</v>
      </c>
      <c r="B17" s="284" t="s">
        <v>54</v>
      </c>
      <c r="C17" s="284">
        <v>0</v>
      </c>
      <c r="D17" s="284">
        <v>6000000</v>
      </c>
      <c r="E17" s="284">
        <v>8000000</v>
      </c>
      <c r="F17" s="284">
        <v>16000000</v>
      </c>
      <c r="G17" s="284">
        <v>20217600</v>
      </c>
      <c r="H17" s="284">
        <v>25272000</v>
      </c>
      <c r="I17" s="284">
        <v>37442586</v>
      </c>
      <c r="J17" s="284">
        <v>55000000</v>
      </c>
      <c r="K17" s="284"/>
      <c r="L17" s="284">
        <f>11172000+32448000</f>
        <v>43620000</v>
      </c>
      <c r="M17" s="284">
        <v>7820400</v>
      </c>
      <c r="N17" s="284">
        <f>M17*70%</f>
        <v>5474280</v>
      </c>
      <c r="O17" s="284">
        <v>35474280</v>
      </c>
      <c r="P17" s="284">
        <f t="shared" si="0"/>
        <v>30000000</v>
      </c>
    </row>
    <row r="18" spans="1:16" ht="24" customHeight="1">
      <c r="A18" s="284" t="s">
        <v>273</v>
      </c>
      <c r="B18" s="284" t="s">
        <v>120</v>
      </c>
      <c r="C18" s="284">
        <v>12000000</v>
      </c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f t="shared" si="0"/>
        <v>0</v>
      </c>
    </row>
    <row r="19" spans="1:16" ht="24" customHeight="1">
      <c r="A19" s="284" t="s">
        <v>274</v>
      </c>
      <c r="B19" s="284" t="s">
        <v>164</v>
      </c>
      <c r="C19" s="284">
        <v>7000000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15000000</v>
      </c>
      <c r="K19" s="284">
        <v>201406000</v>
      </c>
      <c r="L19" s="284">
        <f>13937600+7871000</f>
        <v>21808600</v>
      </c>
      <c r="M19" s="284">
        <v>9756320</v>
      </c>
      <c r="N19" s="284">
        <f>M19</f>
        <v>9756320</v>
      </c>
      <c r="O19" s="284">
        <f>N19</f>
        <v>9756320</v>
      </c>
      <c r="P19" s="284">
        <f t="shared" si="0"/>
        <v>0</v>
      </c>
    </row>
    <row r="20" spans="1:16" ht="24" customHeight="1">
      <c r="A20" s="284" t="s">
        <v>275</v>
      </c>
      <c r="B20" s="284" t="s">
        <v>40</v>
      </c>
      <c r="C20" s="284">
        <v>0</v>
      </c>
      <c r="D20" s="284">
        <v>0</v>
      </c>
      <c r="E20" s="284">
        <v>0</v>
      </c>
      <c r="F20" s="284">
        <v>0</v>
      </c>
      <c r="G20" s="284">
        <v>4000000</v>
      </c>
      <c r="H20" s="284">
        <v>5000000</v>
      </c>
      <c r="I20" s="284">
        <v>14896000</v>
      </c>
      <c r="J20" s="284">
        <v>45000000</v>
      </c>
      <c r="K20" s="284">
        <v>26812800</v>
      </c>
      <c r="L20" s="284">
        <f>33516000+25854400</f>
        <v>59370400</v>
      </c>
      <c r="M20" s="284">
        <v>23461200</v>
      </c>
      <c r="N20" s="284">
        <f>M20</f>
        <v>23461200</v>
      </c>
      <c r="O20" s="284">
        <f>N20</f>
        <v>23461200</v>
      </c>
      <c r="P20" s="284">
        <f t="shared" si="0"/>
        <v>0</v>
      </c>
    </row>
    <row r="21" spans="1:16" ht="24" customHeight="1">
      <c r="A21" s="284" t="s">
        <v>328</v>
      </c>
      <c r="B21" s="284" t="s">
        <v>329</v>
      </c>
      <c r="C21" s="284">
        <v>0</v>
      </c>
      <c r="D21" s="284">
        <v>2000000</v>
      </c>
      <c r="E21" s="284">
        <v>2000000</v>
      </c>
      <c r="F21" s="284">
        <v>2000000</v>
      </c>
      <c r="G21" s="284">
        <v>3200000</v>
      </c>
      <c r="H21" s="284">
        <v>4000000</v>
      </c>
      <c r="I21" s="284">
        <v>2979200</v>
      </c>
      <c r="J21" s="284">
        <v>2979200</v>
      </c>
      <c r="K21" s="284">
        <v>32771200</v>
      </c>
      <c r="L21" s="284">
        <v>7448000</v>
      </c>
      <c r="M21" s="284">
        <v>0</v>
      </c>
      <c r="N21" s="284">
        <v>0</v>
      </c>
      <c r="O21" s="284">
        <v>0</v>
      </c>
      <c r="P21" s="284">
        <f t="shared" si="0"/>
        <v>0</v>
      </c>
    </row>
    <row r="22" spans="1:16" ht="24" customHeight="1">
      <c r="A22" s="284" t="s">
        <v>277</v>
      </c>
      <c r="B22" s="284" t="s">
        <v>218</v>
      </c>
      <c r="C22" s="284">
        <v>0</v>
      </c>
      <c r="D22" s="284">
        <v>0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7448000</v>
      </c>
      <c r="L22" s="284">
        <f>250200000+156297280</f>
        <v>406497280</v>
      </c>
      <c r="M22" s="284">
        <v>175140000</v>
      </c>
      <c r="N22" s="284">
        <v>0</v>
      </c>
      <c r="O22" s="284">
        <v>0</v>
      </c>
      <c r="P22" s="284">
        <f t="shared" si="0"/>
        <v>0</v>
      </c>
    </row>
    <row r="23" spans="1:16" ht="24" customHeight="1">
      <c r="A23" s="284" t="s">
        <v>276</v>
      </c>
      <c r="B23" s="284" t="s">
        <v>170</v>
      </c>
      <c r="C23" s="284">
        <v>5000000</v>
      </c>
      <c r="D23" s="284">
        <v>5000000</v>
      </c>
      <c r="E23" s="284">
        <v>5000000</v>
      </c>
      <c r="F23" s="284">
        <v>5000000</v>
      </c>
      <c r="G23" s="284">
        <v>8000000</v>
      </c>
      <c r="H23" s="284">
        <v>10000000</v>
      </c>
      <c r="I23" s="284">
        <v>18620000</v>
      </c>
      <c r="J23" s="284">
        <v>48000000</v>
      </c>
      <c r="K23" s="292">
        <f>SUM(K18:K22)</f>
        <v>268438000</v>
      </c>
      <c r="L23" s="284">
        <v>0</v>
      </c>
      <c r="M23" s="284">
        <v>0</v>
      </c>
      <c r="N23" s="284">
        <v>0</v>
      </c>
      <c r="O23" s="284">
        <v>0</v>
      </c>
      <c r="P23" s="284">
        <f t="shared" si="0"/>
        <v>0</v>
      </c>
    </row>
    <row r="24" spans="1:16" ht="24" customHeight="1">
      <c r="A24" s="284" t="s">
        <v>733</v>
      </c>
      <c r="B24" s="284" t="s">
        <v>751</v>
      </c>
      <c r="C24" s="284"/>
      <c r="D24" s="284"/>
      <c r="E24" s="284"/>
      <c r="F24" s="284"/>
      <c r="G24" s="284"/>
      <c r="H24" s="284"/>
      <c r="I24" s="284"/>
      <c r="J24" s="284"/>
      <c r="K24" s="292"/>
      <c r="L24" s="284"/>
      <c r="M24" s="284"/>
      <c r="N24" s="284">
        <v>0</v>
      </c>
      <c r="O24" s="284">
        <v>120000000</v>
      </c>
      <c r="P24" s="284">
        <f t="shared" si="0"/>
        <v>120000000</v>
      </c>
    </row>
    <row r="25" spans="1:16" ht="24" customHeight="1">
      <c r="A25" s="284" t="s">
        <v>1170</v>
      </c>
      <c r="B25" s="284" t="s">
        <v>730</v>
      </c>
      <c r="C25" s="284">
        <v>0</v>
      </c>
      <c r="D25" s="284">
        <v>0</v>
      </c>
      <c r="E25" s="284">
        <v>0</v>
      </c>
      <c r="F25" s="284">
        <v>0</v>
      </c>
      <c r="G25" s="284">
        <v>16000000</v>
      </c>
      <c r="H25" s="284">
        <v>360113000</v>
      </c>
      <c r="I25" s="284">
        <v>208212162</v>
      </c>
      <c r="J25" s="284">
        <v>330000000</v>
      </c>
      <c r="K25" s="284"/>
      <c r="L25" s="284">
        <v>0</v>
      </c>
      <c r="M25" s="284">
        <v>0</v>
      </c>
      <c r="N25" s="284">
        <v>941844000</v>
      </c>
      <c r="O25" s="284">
        <v>941844000</v>
      </c>
      <c r="P25" s="284">
        <f t="shared" si="0"/>
        <v>0</v>
      </c>
    </row>
    <row r="26" spans="1:16" s="427" customFormat="1" ht="24" customHeight="1">
      <c r="A26" s="284"/>
      <c r="B26" s="292" t="s">
        <v>119</v>
      </c>
      <c r="C26" s="284"/>
      <c r="D26" s="284"/>
      <c r="E26" s="284"/>
      <c r="F26" s="284"/>
      <c r="G26" s="284"/>
      <c r="H26" s="284"/>
      <c r="I26" s="284">
        <v>0</v>
      </c>
      <c r="J26" s="284">
        <v>35000000</v>
      </c>
      <c r="K26" s="284"/>
      <c r="L26" s="292">
        <f>SUM(L11:L25)</f>
        <v>753449096</v>
      </c>
      <c r="M26" s="292">
        <f>SUM(M11:M25)</f>
        <v>272818320</v>
      </c>
      <c r="N26" s="292">
        <f>SUM(N11:N25)</f>
        <v>1037176200</v>
      </c>
      <c r="O26" s="292">
        <f>SUM(O11:O25)</f>
        <v>1217176200</v>
      </c>
      <c r="P26" s="292">
        <f t="shared" si="0"/>
        <v>180000000</v>
      </c>
    </row>
    <row r="27" spans="1:16" ht="24" customHeight="1">
      <c r="A27" s="292" t="s">
        <v>279</v>
      </c>
      <c r="B27" s="292" t="s">
        <v>278</v>
      </c>
      <c r="C27" s="284"/>
      <c r="D27" s="284">
        <v>2577555</v>
      </c>
      <c r="E27" s="284">
        <v>11431000</v>
      </c>
      <c r="F27" s="284">
        <v>11446285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/>
      <c r="M27" s="284"/>
      <c r="N27" s="284"/>
      <c r="O27" s="284"/>
      <c r="P27" s="284">
        <f t="shared" si="0"/>
        <v>0</v>
      </c>
    </row>
    <row r="28" spans="1:16" ht="24" customHeight="1">
      <c r="A28" s="284" t="s">
        <v>280</v>
      </c>
      <c r="B28" s="284" t="s">
        <v>160</v>
      </c>
      <c r="C28" s="292">
        <f>SUM(C16:C25)</f>
        <v>30000000</v>
      </c>
      <c r="D28" s="292">
        <f t="shared" ref="D28:J28" si="1">SUM(D16:D27)</f>
        <v>15577555</v>
      </c>
      <c r="E28" s="292">
        <f t="shared" si="1"/>
        <v>26431000</v>
      </c>
      <c r="F28" s="292">
        <f t="shared" si="1"/>
        <v>34446285</v>
      </c>
      <c r="G28" s="292">
        <f t="shared" si="1"/>
        <v>51417600</v>
      </c>
      <c r="H28" s="292">
        <f t="shared" si="1"/>
        <v>404385000</v>
      </c>
      <c r="I28" s="292">
        <f t="shared" si="1"/>
        <v>282149948</v>
      </c>
      <c r="J28" s="292">
        <f t="shared" si="1"/>
        <v>530979200</v>
      </c>
      <c r="K28" s="284">
        <v>0</v>
      </c>
      <c r="L28" s="284">
        <v>0</v>
      </c>
      <c r="M28" s="284">
        <v>0</v>
      </c>
      <c r="N28" s="284">
        <v>0</v>
      </c>
      <c r="O28" s="284">
        <v>0</v>
      </c>
      <c r="P28" s="284">
        <f t="shared" si="0"/>
        <v>0</v>
      </c>
    </row>
    <row r="29" spans="1:16" ht="24" customHeight="1">
      <c r="A29" s="284" t="s">
        <v>281</v>
      </c>
      <c r="B29" s="284" t="s">
        <v>161</v>
      </c>
      <c r="C29" s="292" t="e">
        <f>C28+#REF!+#REF!+#REF!+#REF!</f>
        <v>#REF!</v>
      </c>
      <c r="D29" s="292" t="e">
        <f>D28+#REF!+#REF!+#REF!+#REF!</f>
        <v>#REF!</v>
      </c>
      <c r="E29" s="292" t="e">
        <f>E28+#REF!+#REF!+#REF!+#REF!</f>
        <v>#REF!</v>
      </c>
      <c r="F29" s="292" t="e">
        <f>F28+#REF!+#REF!+#REF!+#REF!</f>
        <v>#REF!</v>
      </c>
      <c r="G29" s="292" t="e">
        <f>G28+#REF!+#REF!+#REF!+#REF!</f>
        <v>#REF!</v>
      </c>
      <c r="H29" s="292" t="e">
        <f>H28+#REF!+#REF!+#REF!+#REF!</f>
        <v>#REF!</v>
      </c>
      <c r="I29" s="292" t="e">
        <f>I28+#REF!+#REF!+#REF!+#REF!</f>
        <v>#REF!</v>
      </c>
      <c r="J29" s="292" t="e">
        <f>J28+#REF!+#REF!+#REF!+#REF!</f>
        <v>#REF!</v>
      </c>
      <c r="K29" s="284">
        <v>2979200</v>
      </c>
      <c r="L29" s="284">
        <f>300000000+310000000</f>
        <v>610000000</v>
      </c>
      <c r="M29" s="284">
        <v>210000000</v>
      </c>
      <c r="N29" s="284">
        <v>341600000</v>
      </c>
      <c r="O29" s="284">
        <v>341600000</v>
      </c>
      <c r="P29" s="284">
        <f t="shared" si="0"/>
        <v>0</v>
      </c>
    </row>
    <row r="30" spans="1:16" ht="24" customHeight="1">
      <c r="A30" s="284" t="s">
        <v>282</v>
      </c>
      <c r="B30" s="284" t="s">
        <v>155</v>
      </c>
      <c r="C30" s="335"/>
      <c r="D30" s="335"/>
      <c r="E30" s="335"/>
      <c r="F30" s="336">
        <v>0</v>
      </c>
      <c r="G30" s="336" t="s">
        <v>4</v>
      </c>
      <c r="H30" s="336"/>
      <c r="I30" s="336"/>
      <c r="J30" s="336"/>
      <c r="K30" s="336">
        <v>2234400</v>
      </c>
      <c r="L30" s="336">
        <f>23810144+32771200</f>
        <v>56581344</v>
      </c>
      <c r="M30" s="336">
        <v>17267101</v>
      </c>
      <c r="N30" s="336">
        <f>M30</f>
        <v>17267101</v>
      </c>
      <c r="O30" s="336">
        <f>N30</f>
        <v>17267101</v>
      </c>
      <c r="P30" s="284">
        <f t="shared" si="0"/>
        <v>0</v>
      </c>
    </row>
    <row r="31" spans="1:16" ht="24" customHeight="1">
      <c r="A31" s="284" t="s">
        <v>283</v>
      </c>
      <c r="B31" s="284" t="s">
        <v>156</v>
      </c>
      <c r="C31" s="335"/>
      <c r="D31" s="336">
        <v>0</v>
      </c>
      <c r="E31" s="336"/>
      <c r="F31" s="336"/>
      <c r="G31" s="336"/>
      <c r="H31" s="336"/>
      <c r="I31" s="336"/>
      <c r="J31" s="336"/>
      <c r="K31" s="361">
        <f>SUM(K27:K30)</f>
        <v>5213600</v>
      </c>
      <c r="L31" s="336">
        <f>22344000+7448000</f>
        <v>29792000</v>
      </c>
      <c r="M31" s="336">
        <v>15640800</v>
      </c>
      <c r="N31" s="336">
        <f>M31</f>
        <v>15640800</v>
      </c>
      <c r="O31" s="336">
        <f>N31</f>
        <v>15640800</v>
      </c>
      <c r="P31" s="284">
        <f t="shared" si="0"/>
        <v>0</v>
      </c>
    </row>
    <row r="32" spans="1:16" ht="24" customHeight="1">
      <c r="A32" s="284" t="s">
        <v>430</v>
      </c>
      <c r="B32" s="284" t="s">
        <v>629</v>
      </c>
      <c r="C32" s="335"/>
      <c r="D32" s="336"/>
      <c r="E32" s="336"/>
      <c r="F32" s="336"/>
      <c r="G32" s="336"/>
      <c r="H32" s="336"/>
      <c r="I32" s="336"/>
      <c r="J32" s="336"/>
      <c r="K32" s="361"/>
      <c r="L32" s="336">
        <v>0</v>
      </c>
      <c r="M32" s="336">
        <v>200000000</v>
      </c>
      <c r="N32" s="336">
        <v>200000000</v>
      </c>
      <c r="O32" s="336">
        <v>300000000</v>
      </c>
      <c r="P32" s="284">
        <f t="shared" si="0"/>
        <v>100000000</v>
      </c>
    </row>
    <row r="33" spans="1:16" ht="24" customHeight="1">
      <c r="A33" s="284"/>
      <c r="B33" s="292" t="s">
        <v>119</v>
      </c>
      <c r="C33" s="335"/>
      <c r="D33" s="335"/>
      <c r="E33" s="335"/>
      <c r="F33" s="335"/>
      <c r="G33" s="335"/>
      <c r="H33" s="335"/>
      <c r="I33" s="335"/>
      <c r="J33" s="335"/>
      <c r="K33" s="284">
        <v>0</v>
      </c>
      <c r="L33" s="292">
        <f>SUM(L28:L31)</f>
        <v>696373344</v>
      </c>
      <c r="M33" s="292">
        <f>SUM(M28:M32)</f>
        <v>442907901</v>
      </c>
      <c r="N33" s="292">
        <f>SUM(N28:N32)</f>
        <v>574507901</v>
      </c>
      <c r="O33" s="292">
        <f>SUM(O28:O32)</f>
        <v>674507901</v>
      </c>
      <c r="P33" s="284">
        <f t="shared" si="0"/>
        <v>100000000</v>
      </c>
    </row>
    <row r="34" spans="1:16" ht="24" customHeight="1">
      <c r="A34" s="292" t="s">
        <v>285</v>
      </c>
      <c r="B34" s="292" t="s">
        <v>158</v>
      </c>
      <c r="C34" s="335"/>
      <c r="D34" s="335"/>
      <c r="E34" s="335"/>
      <c r="F34" s="335"/>
      <c r="G34" s="335"/>
      <c r="H34" s="335"/>
      <c r="I34" s="335"/>
      <c r="J34" s="335"/>
      <c r="K34" s="284">
        <v>4468800</v>
      </c>
      <c r="L34" s="284"/>
      <c r="M34" s="284"/>
      <c r="N34" s="284"/>
      <c r="O34" s="284"/>
      <c r="P34" s="284">
        <f t="shared" si="0"/>
        <v>0</v>
      </c>
    </row>
    <row r="35" spans="1:16" ht="24" customHeight="1">
      <c r="A35" s="284" t="s">
        <v>286</v>
      </c>
      <c r="B35" s="284" t="s">
        <v>55</v>
      </c>
      <c r="C35" s="335"/>
      <c r="D35" s="335"/>
      <c r="E35" s="335"/>
      <c r="F35" s="335"/>
      <c r="G35" s="335"/>
      <c r="H35" s="335"/>
      <c r="I35" s="335"/>
      <c r="J35" s="335"/>
      <c r="K35" s="383">
        <f>SUM(K33:K34)</f>
        <v>4468800</v>
      </c>
      <c r="L35" s="300">
        <f>79792000+79584000</f>
        <v>159376000</v>
      </c>
      <c r="M35" s="300">
        <v>55854400</v>
      </c>
      <c r="N35" s="300">
        <f>M35</f>
        <v>55854400</v>
      </c>
      <c r="O35" s="300">
        <f>N35</f>
        <v>55854400</v>
      </c>
      <c r="P35" s="284">
        <f t="shared" si="0"/>
        <v>0</v>
      </c>
    </row>
    <row r="36" spans="1:16" ht="24" customHeight="1">
      <c r="A36" s="284" t="s">
        <v>288</v>
      </c>
      <c r="B36" s="284" t="s">
        <v>287</v>
      </c>
      <c r="C36" s="335"/>
      <c r="D36" s="335"/>
      <c r="E36" s="335"/>
      <c r="F36" s="335"/>
      <c r="G36" s="335"/>
      <c r="H36" s="335"/>
      <c r="I36" s="335"/>
      <c r="J36" s="335"/>
      <c r="K36" s="383" t="e">
        <f>K35+K31+K23+K16+#REF!</f>
        <v>#REF!</v>
      </c>
      <c r="L36" s="300">
        <v>2979200</v>
      </c>
      <c r="M36" s="300" t="s">
        <v>4</v>
      </c>
      <c r="N36" s="300">
        <v>0</v>
      </c>
      <c r="O36" s="300">
        <v>0</v>
      </c>
      <c r="P36" s="284">
        <f t="shared" si="0"/>
        <v>0</v>
      </c>
    </row>
    <row r="37" spans="1:16" ht="24" customHeight="1">
      <c r="A37" s="284" t="s">
        <v>323</v>
      </c>
      <c r="B37" s="284" t="s">
        <v>324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00">
        <v>0</v>
      </c>
      <c r="M37" s="300">
        <v>0</v>
      </c>
      <c r="N37" s="300">
        <v>0</v>
      </c>
      <c r="O37" s="300">
        <v>0</v>
      </c>
      <c r="P37" s="284">
        <f t="shared" si="0"/>
        <v>0</v>
      </c>
    </row>
    <row r="38" spans="1:16" ht="24" customHeight="1">
      <c r="A38" s="284" t="s">
        <v>289</v>
      </c>
      <c r="B38" s="284" t="s">
        <v>290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00">
        <v>2979200</v>
      </c>
      <c r="M38" s="300" t="s">
        <v>4</v>
      </c>
      <c r="N38" s="300">
        <v>0</v>
      </c>
      <c r="O38" s="300">
        <v>0</v>
      </c>
      <c r="P38" s="284">
        <f t="shared" si="0"/>
        <v>0</v>
      </c>
    </row>
    <row r="39" spans="1:16" ht="24" customHeight="1">
      <c r="A39" s="284"/>
      <c r="B39" s="292" t="s">
        <v>119</v>
      </c>
      <c r="C39" s="335"/>
      <c r="D39" s="335"/>
      <c r="E39" s="335"/>
      <c r="F39" s="335"/>
      <c r="G39" s="335"/>
      <c r="H39" s="335"/>
      <c r="I39" s="335"/>
      <c r="J39" s="335"/>
      <c r="K39" s="335"/>
      <c r="L39" s="627">
        <f>SUM(L35:L38)</f>
        <v>165334400</v>
      </c>
      <c r="M39" s="627">
        <f>SUM(M35:M38)</f>
        <v>55854400</v>
      </c>
      <c r="N39" s="627">
        <f>SUM(N35:N38)</f>
        <v>55854400</v>
      </c>
      <c r="O39" s="627">
        <f>SUM(O35:O38)</f>
        <v>55854400</v>
      </c>
      <c r="P39" s="292">
        <f t="shared" si="0"/>
        <v>0</v>
      </c>
    </row>
    <row r="40" spans="1:16" s="427" customFormat="1" ht="24" customHeight="1">
      <c r="A40" s="292" t="s">
        <v>293</v>
      </c>
      <c r="B40" s="292" t="s">
        <v>292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00"/>
      <c r="M40" s="300"/>
      <c r="N40" s="300"/>
      <c r="O40" s="300"/>
      <c r="P40" s="284">
        <f t="shared" si="0"/>
        <v>0</v>
      </c>
    </row>
    <row r="41" spans="1:16" s="427" customFormat="1" ht="24" customHeight="1">
      <c r="A41" s="292" t="s">
        <v>294</v>
      </c>
      <c r="B41" s="292" t="s">
        <v>291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00"/>
      <c r="M41" s="300"/>
      <c r="N41" s="300"/>
      <c r="O41" s="300"/>
      <c r="P41" s="284">
        <f t="shared" si="0"/>
        <v>0</v>
      </c>
    </row>
    <row r="42" spans="1:16" ht="24" customHeight="1">
      <c r="A42" s="284" t="s">
        <v>389</v>
      </c>
      <c r="B42" s="284" t="s">
        <v>307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00">
        <f>7448000+16896000</f>
        <v>24344000</v>
      </c>
      <c r="M42" s="300">
        <v>5213600</v>
      </c>
      <c r="N42" s="300">
        <v>0</v>
      </c>
      <c r="O42" s="300">
        <v>0</v>
      </c>
      <c r="P42" s="284">
        <f t="shared" si="0"/>
        <v>0</v>
      </c>
    </row>
    <row r="43" spans="1:16" ht="24" customHeight="1">
      <c r="A43" s="284" t="s">
        <v>646</v>
      </c>
      <c r="B43" s="284" t="s">
        <v>309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00">
        <v>0</v>
      </c>
      <c r="M43" s="300">
        <v>0</v>
      </c>
      <c r="N43" s="300">
        <v>0</v>
      </c>
      <c r="O43" s="300">
        <v>120000000</v>
      </c>
      <c r="P43" s="284">
        <f t="shared" si="0"/>
        <v>120000000</v>
      </c>
    </row>
    <row r="44" spans="1:16" ht="24" customHeight="1">
      <c r="A44" s="284" t="s">
        <v>295</v>
      </c>
      <c r="B44" s="284" t="s">
        <v>176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00">
        <f>3724000+2234400</f>
        <v>5958400</v>
      </c>
      <c r="M44" s="300">
        <v>2606800</v>
      </c>
      <c r="N44" s="300">
        <v>0</v>
      </c>
      <c r="O44" s="300">
        <v>0</v>
      </c>
      <c r="P44" s="284">
        <f t="shared" si="0"/>
        <v>0</v>
      </c>
    </row>
    <row r="45" spans="1:16" ht="24" customHeight="1">
      <c r="A45" s="284" t="s">
        <v>296</v>
      </c>
      <c r="B45" s="284" t="s">
        <v>177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00">
        <v>4468800</v>
      </c>
      <c r="M45" s="300" t="s">
        <v>4</v>
      </c>
      <c r="N45" s="300">
        <v>0</v>
      </c>
      <c r="O45" s="300">
        <v>0</v>
      </c>
      <c r="P45" s="284">
        <f t="shared" si="0"/>
        <v>0</v>
      </c>
    </row>
    <row r="46" spans="1:16" ht="24" customHeight="1">
      <c r="A46" s="284"/>
      <c r="B46" s="292" t="s">
        <v>119</v>
      </c>
      <c r="C46" s="335"/>
      <c r="D46" s="335"/>
      <c r="E46" s="335"/>
      <c r="F46" s="335"/>
      <c r="G46" s="335"/>
      <c r="H46" s="335"/>
      <c r="I46" s="335"/>
      <c r="J46" s="335"/>
      <c r="K46" s="335"/>
      <c r="L46" s="627">
        <f>SUM(L42:L45)</f>
        <v>34771200</v>
      </c>
      <c r="M46" s="627">
        <f>SUM(M42:M45)</f>
        <v>7820400</v>
      </c>
      <c r="N46" s="627">
        <f>SUM(N42:N45)</f>
        <v>0</v>
      </c>
      <c r="O46" s="627">
        <f>SUM(O42:O45)</f>
        <v>120000000</v>
      </c>
      <c r="P46" s="284">
        <f t="shared" si="0"/>
        <v>120000000</v>
      </c>
    </row>
    <row r="47" spans="1:16" ht="24" customHeight="1">
      <c r="A47" s="292" t="s">
        <v>338</v>
      </c>
      <c r="B47" s="292" t="s">
        <v>731</v>
      </c>
      <c r="C47" s="335"/>
      <c r="D47" s="335"/>
      <c r="E47" s="335"/>
      <c r="F47" s="335"/>
      <c r="G47" s="335"/>
      <c r="H47" s="335"/>
      <c r="I47" s="335"/>
      <c r="J47" s="335"/>
      <c r="K47" s="335"/>
      <c r="L47" s="627"/>
      <c r="M47" s="627"/>
      <c r="N47" s="627"/>
      <c r="O47" s="627"/>
      <c r="P47" s="284">
        <f t="shared" si="0"/>
        <v>0</v>
      </c>
    </row>
    <row r="48" spans="1:16" ht="24" customHeight="1">
      <c r="A48" s="284" t="s">
        <v>446</v>
      </c>
      <c r="B48" s="284" t="s">
        <v>732</v>
      </c>
      <c r="C48" s="335"/>
      <c r="D48" s="335"/>
      <c r="E48" s="335"/>
      <c r="F48" s="335"/>
      <c r="G48" s="335"/>
      <c r="H48" s="335"/>
      <c r="I48" s="335"/>
      <c r="J48" s="335"/>
      <c r="K48" s="335"/>
      <c r="L48" s="627"/>
      <c r="M48" s="627">
        <v>0</v>
      </c>
      <c r="N48" s="300">
        <v>855056000</v>
      </c>
      <c r="O48" s="300">
        <v>1200000000</v>
      </c>
      <c r="P48" s="284">
        <f t="shared" si="0"/>
        <v>344944000</v>
      </c>
    </row>
    <row r="49" spans="1:16" ht="24" customHeight="1">
      <c r="A49" s="284"/>
      <c r="B49" s="292" t="s">
        <v>119</v>
      </c>
      <c r="C49" s="335"/>
      <c r="D49" s="335"/>
      <c r="E49" s="335"/>
      <c r="F49" s="335"/>
      <c r="G49" s="335"/>
      <c r="H49" s="335"/>
      <c r="I49" s="335"/>
      <c r="J49" s="335"/>
      <c r="K49" s="335"/>
      <c r="L49" s="627"/>
      <c r="M49" s="627"/>
      <c r="N49" s="627">
        <f>SUM(N48)</f>
        <v>855056000</v>
      </c>
      <c r="O49" s="627">
        <f>SUM(O48)</f>
        <v>1200000000</v>
      </c>
      <c r="P49" s="292">
        <f t="shared" si="0"/>
        <v>344944000</v>
      </c>
    </row>
    <row r="50" spans="1:16" ht="24" customHeight="1">
      <c r="A50" s="292" t="s">
        <v>611</v>
      </c>
      <c r="B50" s="292" t="s">
        <v>886</v>
      </c>
      <c r="C50" s="335"/>
      <c r="D50" s="335"/>
      <c r="E50" s="335"/>
      <c r="F50" s="335"/>
      <c r="G50" s="335"/>
      <c r="H50" s="335"/>
      <c r="I50" s="335"/>
      <c r="J50" s="335"/>
      <c r="K50" s="335"/>
      <c r="L50" s="627"/>
      <c r="M50" s="627"/>
      <c r="N50" s="627"/>
      <c r="O50" s="627"/>
      <c r="P50" s="284">
        <f t="shared" si="0"/>
        <v>0</v>
      </c>
    </row>
    <row r="51" spans="1:16" ht="24" customHeight="1">
      <c r="A51" s="284" t="s">
        <v>887</v>
      </c>
      <c r="B51" s="284" t="s">
        <v>888</v>
      </c>
      <c r="C51" s="335"/>
      <c r="D51" s="335"/>
      <c r="E51" s="335"/>
      <c r="F51" s="335"/>
      <c r="G51" s="335"/>
      <c r="H51" s="335"/>
      <c r="I51" s="335"/>
      <c r="J51" s="335"/>
      <c r="K51" s="335"/>
      <c r="L51" s="627"/>
      <c r="M51" s="627"/>
      <c r="N51" s="300">
        <v>60000000</v>
      </c>
      <c r="O51" s="300">
        <v>60000000</v>
      </c>
      <c r="P51" s="284">
        <f t="shared" si="0"/>
        <v>0</v>
      </c>
    </row>
    <row r="52" spans="1:16" ht="24" customHeight="1">
      <c r="A52" s="284"/>
      <c r="B52" s="292" t="s">
        <v>119</v>
      </c>
      <c r="C52" s="335"/>
      <c r="D52" s="335"/>
      <c r="E52" s="335"/>
      <c r="F52" s="335"/>
      <c r="G52" s="335"/>
      <c r="H52" s="335"/>
      <c r="I52" s="335"/>
      <c r="J52" s="335"/>
      <c r="K52" s="335"/>
      <c r="L52" s="627"/>
      <c r="M52" s="627"/>
      <c r="N52" s="627">
        <f>SUM(N51)</f>
        <v>60000000</v>
      </c>
      <c r="O52" s="627">
        <f>SUM(O51)</f>
        <v>60000000</v>
      </c>
      <c r="P52" s="284">
        <f t="shared" si="0"/>
        <v>0</v>
      </c>
    </row>
    <row r="53" spans="1:16" ht="24" customHeight="1">
      <c r="A53" s="284"/>
      <c r="B53" s="292" t="s">
        <v>42</v>
      </c>
      <c r="C53" s="335"/>
      <c r="D53" s="335"/>
      <c r="E53" s="335"/>
      <c r="F53" s="335"/>
      <c r="G53" s="335"/>
      <c r="H53" s="335"/>
      <c r="I53" s="335"/>
      <c r="J53" s="335"/>
      <c r="K53" s="335"/>
      <c r="L53" s="627">
        <f>L46+L39+L33+L26+L8</f>
        <v>3184748840</v>
      </c>
      <c r="M53" s="627">
        <f>M46+M39+M33+M26+M8</f>
        <v>2386681021</v>
      </c>
      <c r="N53" s="627">
        <f>N49+N39+N33+N26+N8+N52</f>
        <v>4605232901</v>
      </c>
      <c r="O53" s="627">
        <f>O49+O39+O33+O26+O8+O52+O46</f>
        <v>5764496101</v>
      </c>
      <c r="P53" s="292">
        <f t="shared" si="0"/>
        <v>1159263200</v>
      </c>
    </row>
  </sheetData>
  <phoneticPr fontId="0" type="noConversion"/>
  <printOptions gridLines="1"/>
  <pageMargins left="0.59" right="0.25" top="0.89" bottom="0.73" header="0.44" footer="0.44"/>
  <pageSetup scale="53" orientation="portrait" r:id="rId1"/>
  <headerFooter alignWithMargins="0">
    <oddHeader>&amp;C&amp;"Algerian,Bold"&amp;28W.XANAANADDA XOOLAHA.</oddHeader>
    <oddFooter>&amp;R&amp;"Times New Roman,Bold"&amp;14 33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37"/>
  </sheetPr>
  <dimension ref="A1:P54"/>
  <sheetViews>
    <sheetView view="pageBreakPreview" zoomScale="60" zoomScaleNormal="75" workbookViewId="0">
      <selection activeCell="S18" sqref="S18"/>
    </sheetView>
  </sheetViews>
  <sheetFormatPr defaultRowHeight="12.75"/>
  <cols>
    <col min="1" max="1" width="19.83203125" bestFit="1" customWidth="1"/>
    <col min="2" max="2" width="43.5" customWidth="1"/>
    <col min="3" max="3" width="17" hidden="1" customWidth="1"/>
    <col min="4" max="4" width="18.5" hidden="1" customWidth="1"/>
    <col min="5" max="6" width="20.33203125" hidden="1" customWidth="1"/>
    <col min="7" max="7" width="0.1640625" hidden="1" customWidth="1"/>
    <col min="8" max="8" width="0.6640625" hidden="1" customWidth="1"/>
    <col min="9" max="9" width="24.5" hidden="1" customWidth="1"/>
    <col min="10" max="11" width="24.5" customWidth="1"/>
    <col min="12" max="12" width="28.83203125" bestFit="1" customWidth="1"/>
    <col min="13" max="13" width="1.6640625" hidden="1" customWidth="1"/>
    <col min="14" max="14" width="9.6640625" hidden="1" customWidth="1"/>
    <col min="15" max="15" width="11.6640625" hidden="1" customWidth="1"/>
    <col min="16" max="16" width="9.33203125" hidden="1" customWidth="1"/>
  </cols>
  <sheetData>
    <row r="1" spans="1:16" ht="20.25" customHeight="1">
      <c r="A1" s="741" t="s">
        <v>1266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2"/>
      <c r="N1" s="742"/>
      <c r="O1" s="742"/>
      <c r="P1" s="9"/>
    </row>
    <row r="2" spans="1:16" s="3" customFormat="1" ht="20.25" customHeight="1">
      <c r="A2" s="72" t="s">
        <v>45</v>
      </c>
      <c r="B2" s="73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4"/>
      <c r="N2" s="74"/>
      <c r="O2" s="74"/>
    </row>
    <row r="3" spans="1:16" s="7" customFormat="1" ht="20.25" customHeight="1">
      <c r="A3" s="72" t="s">
        <v>0</v>
      </c>
      <c r="B3" s="72" t="s">
        <v>1</v>
      </c>
      <c r="C3" s="72" t="s">
        <v>52</v>
      </c>
      <c r="D3" s="72" t="s">
        <v>62</v>
      </c>
      <c r="E3" s="72" t="s">
        <v>69</v>
      </c>
      <c r="F3" s="72" t="s">
        <v>130</v>
      </c>
      <c r="G3" s="72" t="s">
        <v>135</v>
      </c>
      <c r="H3" s="72" t="s">
        <v>166</v>
      </c>
      <c r="I3" s="72" t="s">
        <v>299</v>
      </c>
      <c r="J3" s="72" t="s">
        <v>643</v>
      </c>
      <c r="K3" s="72" t="s">
        <v>1102</v>
      </c>
      <c r="L3" s="72" t="s">
        <v>68</v>
      </c>
      <c r="M3" s="74" t="s">
        <v>46</v>
      </c>
      <c r="N3" s="74" t="s">
        <v>4</v>
      </c>
      <c r="O3" s="74"/>
    </row>
    <row r="4" spans="1:16" s="1" customFormat="1" ht="20.25" customHeight="1">
      <c r="A4" s="73" t="s">
        <v>514</v>
      </c>
      <c r="B4" s="75" t="s">
        <v>512</v>
      </c>
      <c r="C4" s="76">
        <f>3756364000-93840000-412000000</f>
        <v>3250524000</v>
      </c>
      <c r="D4" s="76">
        <v>2600419200</v>
      </c>
      <c r="E4" s="76">
        <v>2600419200</v>
      </c>
      <c r="F4" s="76">
        <v>2600419200</v>
      </c>
      <c r="G4" s="76">
        <v>2600419200</v>
      </c>
      <c r="H4" s="76">
        <v>0</v>
      </c>
      <c r="I4" s="76">
        <v>0</v>
      </c>
      <c r="J4" s="76">
        <v>0</v>
      </c>
      <c r="K4" s="76">
        <v>0</v>
      </c>
      <c r="L4" s="77">
        <f>J4-I4</f>
        <v>0</v>
      </c>
      <c r="M4" s="58"/>
      <c r="N4" s="58"/>
      <c r="O4" s="58"/>
    </row>
    <row r="5" spans="1:16" s="1" customFormat="1" ht="20.25" customHeight="1">
      <c r="A5" s="73" t="s">
        <v>513</v>
      </c>
      <c r="B5" s="75" t="s">
        <v>399</v>
      </c>
      <c r="C5" s="76"/>
      <c r="D5" s="76"/>
      <c r="E5" s="76"/>
      <c r="F5" s="76"/>
      <c r="G5" s="76"/>
      <c r="H5" s="76">
        <v>2600419200</v>
      </c>
      <c r="I5" s="76">
        <v>546000000</v>
      </c>
      <c r="J5" s="76">
        <v>546000000</v>
      </c>
      <c r="K5" s="76">
        <v>546000000</v>
      </c>
      <c r="L5" s="77">
        <f>J5-I5</f>
        <v>0</v>
      </c>
      <c r="M5" s="58"/>
      <c r="N5" s="58"/>
      <c r="O5" s="58"/>
    </row>
    <row r="6" spans="1:16" s="1" customFormat="1" ht="20.25" customHeight="1">
      <c r="A6" s="78" t="s">
        <v>252</v>
      </c>
      <c r="B6" s="75" t="s">
        <v>133</v>
      </c>
      <c r="C6" s="76"/>
      <c r="D6" s="76"/>
      <c r="E6" s="76"/>
      <c r="F6" s="76"/>
      <c r="G6" s="76"/>
      <c r="H6" s="76">
        <v>0</v>
      </c>
      <c r="I6" s="76">
        <v>273000000</v>
      </c>
      <c r="J6" s="76">
        <v>273000000</v>
      </c>
      <c r="K6" s="76">
        <v>273000000</v>
      </c>
      <c r="L6" s="77">
        <v>0</v>
      </c>
      <c r="M6" s="58"/>
      <c r="N6" s="58"/>
      <c r="O6" s="58"/>
    </row>
    <row r="7" spans="1:16" s="5" customFormat="1" ht="20.25" customHeight="1">
      <c r="A7" s="79"/>
      <c r="B7" s="79" t="s">
        <v>123</v>
      </c>
      <c r="C7" s="80"/>
      <c r="D7" s="80"/>
      <c r="E7" s="80"/>
      <c r="F7" s="76"/>
      <c r="G7" s="76"/>
      <c r="H7" s="76">
        <f>SUM(H4:H6)</f>
        <v>2600419200</v>
      </c>
      <c r="I7" s="76">
        <f>SUM(I4:I6)</f>
        <v>819000000</v>
      </c>
      <c r="J7" s="76">
        <f>SUM(J4:J6)</f>
        <v>819000000</v>
      </c>
      <c r="K7" s="76">
        <f>SUM(K4:K6)</f>
        <v>819000000</v>
      </c>
      <c r="L7" s="77">
        <f>J7-I7</f>
        <v>0</v>
      </c>
      <c r="M7" s="81"/>
      <c r="N7" s="81"/>
      <c r="O7" s="81"/>
    </row>
    <row r="8" spans="1:16" s="2" customFormat="1" ht="20.25" customHeight="1">
      <c r="A8" s="741" t="s">
        <v>46</v>
      </c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82">
        <v>10800000</v>
      </c>
      <c r="N8" s="82"/>
      <c r="O8" s="82"/>
    </row>
    <row r="9" spans="1:16" s="2" customFormat="1" ht="20.25" customHeight="1">
      <c r="A9" s="741"/>
      <c r="B9" s="741"/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82"/>
      <c r="N9" s="82"/>
      <c r="O9" s="82"/>
    </row>
    <row r="10" spans="1:16" s="2" customFormat="1" ht="20.25" customHeight="1">
      <c r="A10" s="741"/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82"/>
      <c r="N10" s="82"/>
      <c r="O10" s="82"/>
    </row>
    <row r="11" spans="1:16" s="8" customFormat="1" ht="20.25" customHeight="1">
      <c r="A11" s="741"/>
      <c r="B11" s="741"/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" t="s">
        <v>4</v>
      </c>
      <c r="N11" s="74" t="s">
        <v>4</v>
      </c>
      <c r="O11" s="74" t="s">
        <v>4</v>
      </c>
    </row>
    <row r="12" spans="1:16" s="2" customFormat="1" ht="20.25" customHeight="1">
      <c r="A12" s="741"/>
      <c r="B12" s="741"/>
      <c r="C12" s="741"/>
      <c r="D12" s="741"/>
      <c r="E12" s="741"/>
      <c r="F12" s="741"/>
      <c r="G12" s="741"/>
      <c r="H12" s="741"/>
      <c r="I12" s="741"/>
      <c r="J12" s="741"/>
      <c r="K12" s="741"/>
      <c r="L12" s="741"/>
      <c r="M12" s="82"/>
      <c r="N12" s="82"/>
      <c r="O12" s="82"/>
    </row>
    <row r="13" spans="1:16" s="5" customFormat="1" ht="20.25" customHeight="1">
      <c r="A13" s="741"/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81">
        <v>74752350</v>
      </c>
      <c r="N13" s="81"/>
      <c r="O13" s="81"/>
    </row>
    <row r="14" spans="1:16" s="2" customFormat="1" ht="20.25" customHeight="1">
      <c r="A14" s="741"/>
      <c r="B14" s="741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82"/>
      <c r="N14" s="82"/>
      <c r="O14" s="82"/>
    </row>
    <row r="15" spans="1:16" s="2" customFormat="1" ht="20.25" customHeight="1">
      <c r="A15" s="366" t="s">
        <v>1267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</row>
    <row r="16" spans="1:16" s="2" customFormat="1" ht="20.25" customHeight="1">
      <c r="A16" s="77" t="s">
        <v>45</v>
      </c>
      <c r="B16" s="77" t="s">
        <v>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3" s="2" customFormat="1" ht="20.25" customHeight="1">
      <c r="A17" s="72" t="s">
        <v>0</v>
      </c>
      <c r="B17" s="72" t="s">
        <v>1</v>
      </c>
      <c r="C17" s="72" t="s">
        <v>52</v>
      </c>
      <c r="D17" s="72" t="s">
        <v>65</v>
      </c>
      <c r="E17" s="72" t="s">
        <v>70</v>
      </c>
      <c r="F17" s="72" t="s">
        <v>130</v>
      </c>
      <c r="G17" s="72" t="s">
        <v>135</v>
      </c>
      <c r="H17" s="72" t="s">
        <v>166</v>
      </c>
      <c r="I17" s="72" t="s">
        <v>299</v>
      </c>
      <c r="J17" s="72" t="s">
        <v>643</v>
      </c>
      <c r="K17" s="72" t="s">
        <v>1102</v>
      </c>
      <c r="L17" s="83" t="s">
        <v>68</v>
      </c>
    </row>
    <row r="18" spans="1:13" s="2" customFormat="1" ht="20.25" customHeight="1">
      <c r="A18" s="77" t="s">
        <v>515</v>
      </c>
      <c r="B18" s="77" t="s">
        <v>47</v>
      </c>
      <c r="C18" s="77">
        <v>1189000000</v>
      </c>
      <c r="D18" s="77">
        <f>951200000+200000000</f>
        <v>1151200000</v>
      </c>
      <c r="E18" s="77">
        <v>1151200000</v>
      </c>
      <c r="F18" s="77">
        <v>1151200000</v>
      </c>
      <c r="G18" s="77">
        <v>1151200000</v>
      </c>
      <c r="H18" s="76">
        <v>0</v>
      </c>
      <c r="I18" s="77">
        <v>0</v>
      </c>
      <c r="J18" s="77">
        <v>0</v>
      </c>
      <c r="K18" s="77"/>
      <c r="L18" s="77">
        <f>J18-I18</f>
        <v>0</v>
      </c>
    </row>
    <row r="19" spans="1:13" s="2" customFormat="1" ht="20.25" customHeight="1">
      <c r="A19" s="84" t="s">
        <v>247</v>
      </c>
      <c r="B19" s="75" t="s">
        <v>399</v>
      </c>
      <c r="C19" s="76"/>
      <c r="D19" s="76"/>
      <c r="E19" s="76"/>
      <c r="F19" s="76"/>
      <c r="G19" s="76"/>
      <c r="H19" s="76">
        <v>1151200000</v>
      </c>
      <c r="I19" s="76">
        <v>390000000</v>
      </c>
      <c r="J19" s="76">
        <v>390000000</v>
      </c>
      <c r="K19" s="76">
        <v>390000000</v>
      </c>
      <c r="L19" s="77">
        <f>J19-I19</f>
        <v>0</v>
      </c>
    </row>
    <row r="20" spans="1:13" s="2" customFormat="1" ht="20.25" customHeight="1">
      <c r="A20" s="80" t="s">
        <v>516</v>
      </c>
      <c r="B20" s="75" t="s">
        <v>133</v>
      </c>
      <c r="C20" s="76"/>
      <c r="D20" s="76"/>
      <c r="E20" s="76"/>
      <c r="F20" s="76"/>
      <c r="G20" s="76"/>
      <c r="H20" s="76">
        <v>0</v>
      </c>
      <c r="I20" s="76">
        <v>195000000</v>
      </c>
      <c r="J20" s="76">
        <v>195000000</v>
      </c>
      <c r="K20" s="76">
        <v>195000000</v>
      </c>
      <c r="L20" s="77">
        <f>J20-I20</f>
        <v>0</v>
      </c>
    </row>
    <row r="21" spans="1:13" s="12" customFormat="1" ht="20.25" customHeight="1">
      <c r="A21" s="79"/>
      <c r="B21" s="79" t="s">
        <v>5</v>
      </c>
      <c r="C21" s="79">
        <f>SUM(C18)</f>
        <v>1189000000</v>
      </c>
      <c r="D21" s="77">
        <f>SUM(D18)</f>
        <v>1151200000</v>
      </c>
      <c r="E21" s="77">
        <v>1151200000</v>
      </c>
      <c r="F21" s="77">
        <v>1151200000</v>
      </c>
      <c r="G21" s="77">
        <v>1151200000</v>
      </c>
      <c r="H21" s="77">
        <f>SUM(H18:H20)</f>
        <v>1151200000</v>
      </c>
      <c r="I21" s="77">
        <f>SUM(I18:I20)</f>
        <v>585000000</v>
      </c>
      <c r="J21" s="77">
        <f>SUM(J18:J20)</f>
        <v>585000000</v>
      </c>
      <c r="K21" s="77">
        <f>SUM(K18:K20)</f>
        <v>585000000</v>
      </c>
      <c r="L21" s="77">
        <f>J21-I21</f>
        <v>0</v>
      </c>
    </row>
    <row r="22" spans="1:13" s="2" customFormat="1" ht="12">
      <c r="A22" s="10"/>
      <c r="B22" s="10"/>
      <c r="C22" s="10"/>
      <c r="D22" s="10"/>
      <c r="E22" s="10"/>
      <c r="F22" s="15"/>
      <c r="G22" s="15"/>
      <c r="H22" s="15"/>
      <c r="I22" s="15"/>
      <c r="J22" s="15"/>
      <c r="K22" s="15"/>
      <c r="L22" s="10"/>
    </row>
    <row r="23" spans="1:13" s="2" customFormat="1" ht="12">
      <c r="D23" s="2">
        <f>D22/C18</f>
        <v>0</v>
      </c>
    </row>
    <row r="24" spans="1:13" s="2" customFormat="1" ht="12"/>
    <row r="25" spans="1:13" s="2" customFormat="1" ht="12"/>
    <row r="26" spans="1:13" s="2" customFormat="1" ht="12"/>
    <row r="27" spans="1:13" s="2" customFormat="1" ht="12">
      <c r="M27" s="2">
        <f>SUM(M22:M26)</f>
        <v>0</v>
      </c>
    </row>
    <row r="28" spans="1:13" s="2" customFormat="1" ht="12"/>
    <row r="29" spans="1:13" s="2" customFormat="1" ht="12"/>
    <row r="30" spans="1:13" s="2" customFormat="1" ht="12"/>
    <row r="31" spans="1:13" s="2" customFormat="1" ht="12"/>
    <row r="32" spans="1:13">
      <c r="M32" s="6">
        <f>SUM(M29:M31)</f>
        <v>0</v>
      </c>
    </row>
    <row r="50" spans="13:13">
      <c r="M50">
        <v>0</v>
      </c>
    </row>
    <row r="52" spans="13:13">
      <c r="M52">
        <f>SUM(M34:M51)</f>
        <v>0</v>
      </c>
    </row>
    <row r="54" spans="13:13">
      <c r="M54">
        <f>1386274192-71600000-798000-176160000-12600000</f>
        <v>1125116192</v>
      </c>
    </row>
  </sheetData>
  <mergeCells count="3">
    <mergeCell ref="A8:L14"/>
    <mergeCell ref="A1:L1"/>
    <mergeCell ref="M1:O1"/>
  </mergeCells>
  <phoneticPr fontId="0" type="noConversion"/>
  <printOptions gridLines="1"/>
  <pageMargins left="0.66" right="0.25" top="2.59" bottom="0.21" header="1.98" footer="0.35"/>
  <pageSetup scale="75" orientation="portrait" r:id="rId1"/>
  <headerFooter alignWithMargins="0">
    <oddFooter>&amp;R1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61" zoomScaleSheetLayoutView="61" workbookViewId="0">
      <selection sqref="A1:XFD1048576"/>
    </sheetView>
  </sheetViews>
  <sheetFormatPr defaultRowHeight="12.75"/>
  <cols>
    <col min="1" max="1" width="18.1640625" style="386" bestFit="1" customWidth="1"/>
    <col min="2" max="2" width="79.33203125" style="386" bestFit="1" customWidth="1"/>
    <col min="3" max="3" width="0.1640625" style="386" hidden="1" customWidth="1"/>
    <col min="4" max="10" width="9.33203125" style="386" hidden="1" customWidth="1"/>
    <col min="11" max="11" width="2.1640625" style="386" hidden="1" customWidth="1"/>
    <col min="12" max="12" width="17.1640625" style="386" hidden="1" customWidth="1"/>
    <col min="13" max="13" width="24" style="386" hidden="1" customWidth="1"/>
    <col min="14" max="15" width="27.6640625" style="386" bestFit="1" customWidth="1"/>
    <col min="16" max="16" width="28.83203125" style="386" bestFit="1" customWidth="1"/>
    <col min="17" max="16384" width="9.33203125" style="386"/>
  </cols>
  <sheetData>
    <row r="1" spans="1:16" ht="27.6" customHeight="1">
      <c r="A1" s="373" t="s">
        <v>44</v>
      </c>
      <c r="B1" s="443" t="s">
        <v>1153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27.6" customHeight="1">
      <c r="A2" s="373" t="s">
        <v>28</v>
      </c>
      <c r="B2" s="373" t="s">
        <v>29</v>
      </c>
      <c r="C2" s="335" t="s">
        <v>43</v>
      </c>
      <c r="D2" s="446" t="s">
        <v>2</v>
      </c>
      <c r="E2" s="446" t="s">
        <v>48</v>
      </c>
      <c r="F2" s="446" t="s">
        <v>52</v>
      </c>
      <c r="G2" s="446" t="s">
        <v>62</v>
      </c>
      <c r="H2" s="430" t="s">
        <v>69</v>
      </c>
      <c r="I2" s="378" t="s">
        <v>128</v>
      </c>
      <c r="J2" s="378" t="s">
        <v>135</v>
      </c>
      <c r="K2" s="378" t="s">
        <v>146</v>
      </c>
      <c r="L2" s="378" t="s">
        <v>180</v>
      </c>
      <c r="M2" s="378" t="s">
        <v>297</v>
      </c>
      <c r="N2" s="378" t="s">
        <v>642</v>
      </c>
      <c r="O2" s="378" t="s">
        <v>1111</v>
      </c>
      <c r="P2" s="271" t="s">
        <v>63</v>
      </c>
    </row>
    <row r="3" spans="1:16" ht="27.6" customHeight="1">
      <c r="A3" s="292" t="s">
        <v>248</v>
      </c>
      <c r="B3" s="292" t="s">
        <v>165</v>
      </c>
      <c r="C3" s="335"/>
      <c r="D3" s="335"/>
      <c r="E3" s="335"/>
      <c r="F3" s="335"/>
      <c r="G3" s="335"/>
      <c r="H3" s="335"/>
      <c r="I3" s="335"/>
      <c r="J3" s="335"/>
      <c r="K3" s="335"/>
      <c r="L3" s="300"/>
      <c r="M3" s="300"/>
      <c r="N3" s="300"/>
      <c r="O3" s="300"/>
      <c r="P3" s="300"/>
    </row>
    <row r="4" spans="1:16" ht="27.6" customHeight="1">
      <c r="A4" s="292" t="s">
        <v>249</v>
      </c>
      <c r="B4" s="292" t="s">
        <v>250</v>
      </c>
      <c r="C4" s="284"/>
      <c r="D4" s="284"/>
      <c r="E4" s="284"/>
      <c r="F4" s="284"/>
      <c r="G4" s="284"/>
      <c r="H4" s="284"/>
      <c r="I4" s="284"/>
      <c r="J4" s="284"/>
      <c r="K4" s="284"/>
      <c r="L4" s="629"/>
      <c r="M4" s="300"/>
      <c r="N4" s="300"/>
      <c r="O4" s="300"/>
      <c r="P4" s="300"/>
    </row>
    <row r="5" spans="1:16" ht="27.6" customHeight="1">
      <c r="A5" s="284" t="s">
        <v>247</v>
      </c>
      <c r="B5" s="284" t="s">
        <v>32</v>
      </c>
      <c r="C5" s="284"/>
      <c r="D5" s="284"/>
      <c r="E5" s="284"/>
      <c r="F5" s="284"/>
      <c r="G5" s="284"/>
      <c r="H5" s="284"/>
      <c r="I5" s="284"/>
      <c r="J5" s="284"/>
      <c r="K5" s="284"/>
      <c r="L5" s="629">
        <v>458521200</v>
      </c>
      <c r="M5" s="629">
        <f>'shaq,3'!H35+36000000+262785600</f>
        <v>734400000</v>
      </c>
      <c r="N5" s="629">
        <v>705868800</v>
      </c>
      <c r="O5" s="629">
        <v>696508800</v>
      </c>
      <c r="P5" s="300">
        <f>O5-N5</f>
        <v>-9360000</v>
      </c>
    </row>
    <row r="6" spans="1:16" ht="27.6" customHeight="1">
      <c r="A6" s="284" t="s">
        <v>251</v>
      </c>
      <c r="B6" s="284" t="s">
        <v>812</v>
      </c>
      <c r="C6" s="284"/>
      <c r="D6" s="284"/>
      <c r="E6" s="284"/>
      <c r="F6" s="284"/>
      <c r="G6" s="284"/>
      <c r="H6" s="284"/>
      <c r="I6" s="284"/>
      <c r="J6" s="284"/>
      <c r="K6" s="284"/>
      <c r="L6" s="629">
        <v>0</v>
      </c>
      <c r="M6" s="629">
        <v>0</v>
      </c>
      <c r="N6" s="629">
        <v>97200000</v>
      </c>
      <c r="O6" s="629">
        <v>97200000</v>
      </c>
      <c r="P6" s="300">
        <f t="shared" ref="P6:P45" si="0">O6-N6</f>
        <v>0</v>
      </c>
    </row>
    <row r="7" spans="1:16" ht="27.6" customHeight="1">
      <c r="A7" s="284" t="s">
        <v>252</v>
      </c>
      <c r="B7" s="284" t="s">
        <v>34</v>
      </c>
      <c r="C7" s="284"/>
      <c r="D7" s="284"/>
      <c r="E7" s="284"/>
      <c r="F7" s="284"/>
      <c r="G7" s="284"/>
      <c r="H7" s="284"/>
      <c r="I7" s="284"/>
      <c r="J7" s="284"/>
      <c r="K7" s="284"/>
      <c r="L7" s="629">
        <v>79200000</v>
      </c>
      <c r="M7" s="629">
        <f>57600000</f>
        <v>57600000</v>
      </c>
      <c r="N7" s="629">
        <v>86400000</v>
      </c>
      <c r="O7" s="629">
        <v>158400000</v>
      </c>
      <c r="P7" s="300">
        <f t="shared" si="0"/>
        <v>72000000</v>
      </c>
    </row>
    <row r="8" spans="1:16" ht="27.6" customHeight="1">
      <c r="A8" s="284" t="s">
        <v>676</v>
      </c>
      <c r="B8" s="284" t="s">
        <v>820</v>
      </c>
      <c r="C8" s="284"/>
      <c r="D8" s="284"/>
      <c r="E8" s="284"/>
      <c r="F8" s="284"/>
      <c r="G8" s="284"/>
      <c r="H8" s="284"/>
      <c r="I8" s="284"/>
      <c r="J8" s="284"/>
      <c r="K8" s="284"/>
      <c r="L8" s="629"/>
      <c r="M8" s="629">
        <v>27600000</v>
      </c>
      <c r="N8" s="629">
        <v>24000000</v>
      </c>
      <c r="O8" s="629">
        <v>24000000</v>
      </c>
      <c r="P8" s="300">
        <f t="shared" si="0"/>
        <v>0</v>
      </c>
    </row>
    <row r="9" spans="1:16" ht="27.6" customHeight="1">
      <c r="A9" s="284"/>
      <c r="B9" s="292" t="s">
        <v>119</v>
      </c>
      <c r="C9" s="284"/>
      <c r="D9" s="284"/>
      <c r="E9" s="284"/>
      <c r="F9" s="284"/>
      <c r="G9" s="284"/>
      <c r="H9" s="284"/>
      <c r="I9" s="284"/>
      <c r="J9" s="284"/>
      <c r="K9" s="284"/>
      <c r="L9" s="630">
        <f>SUM(L5:L7)</f>
        <v>537721200</v>
      </c>
      <c r="M9" s="630">
        <f>M8+M7+M5+M6</f>
        <v>819600000</v>
      </c>
      <c r="N9" s="630">
        <f>N8+N7+N5+N6</f>
        <v>913468800</v>
      </c>
      <c r="O9" s="630">
        <f>SUM(O5:O8)</f>
        <v>976108800</v>
      </c>
      <c r="P9" s="627">
        <f t="shared" si="0"/>
        <v>62640000</v>
      </c>
    </row>
    <row r="10" spans="1:16" ht="27.6" customHeight="1">
      <c r="A10" s="292" t="s">
        <v>262</v>
      </c>
      <c r="B10" s="292" t="s">
        <v>263</v>
      </c>
      <c r="C10" s="284"/>
      <c r="D10" s="284"/>
      <c r="E10" s="284"/>
      <c r="F10" s="284"/>
      <c r="G10" s="284"/>
      <c r="H10" s="284"/>
      <c r="I10" s="284"/>
      <c r="J10" s="284"/>
      <c r="K10" s="284"/>
      <c r="L10" s="629"/>
      <c r="M10" s="629"/>
      <c r="N10" s="629"/>
      <c r="O10" s="629"/>
      <c r="P10" s="300">
        <f t="shared" si="0"/>
        <v>0</v>
      </c>
    </row>
    <row r="11" spans="1:16" ht="27.6" customHeight="1">
      <c r="A11" s="292" t="s">
        <v>265</v>
      </c>
      <c r="B11" s="292" t="s">
        <v>264</v>
      </c>
      <c r="C11" s="284"/>
      <c r="D11" s="284"/>
      <c r="E11" s="284"/>
      <c r="F11" s="284"/>
      <c r="G11" s="284"/>
      <c r="H11" s="292"/>
      <c r="I11" s="292"/>
      <c r="J11" s="292"/>
      <c r="K11" s="284"/>
      <c r="L11" s="629"/>
      <c r="M11" s="629"/>
      <c r="N11" s="629"/>
      <c r="O11" s="629"/>
      <c r="P11" s="300">
        <f t="shared" si="0"/>
        <v>0</v>
      </c>
    </row>
    <row r="12" spans="1:16" ht="27.6" customHeight="1">
      <c r="A12" s="284" t="s">
        <v>266</v>
      </c>
      <c r="B12" s="284" t="s">
        <v>38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629">
        <v>60000000</v>
      </c>
      <c r="M12" s="629">
        <f>60000000*70%</f>
        <v>42000000</v>
      </c>
      <c r="N12" s="629">
        <f>60000000*70%</f>
        <v>42000000</v>
      </c>
      <c r="O12" s="629">
        <f>60000000*70%</f>
        <v>42000000</v>
      </c>
      <c r="P12" s="300">
        <f t="shared" si="0"/>
        <v>0</v>
      </c>
    </row>
    <row r="13" spans="1:16" ht="27.6" customHeight="1">
      <c r="A13" s="284" t="s">
        <v>267</v>
      </c>
      <c r="B13" s="284" t="s">
        <v>152</v>
      </c>
      <c r="C13" s="284"/>
      <c r="D13" s="284"/>
      <c r="E13" s="284"/>
      <c r="F13" s="284"/>
      <c r="G13" s="284"/>
      <c r="H13" s="284"/>
      <c r="I13" s="284"/>
      <c r="J13" s="284"/>
      <c r="K13" s="284"/>
      <c r="L13" s="629">
        <v>0</v>
      </c>
      <c r="M13" s="629">
        <v>0</v>
      </c>
      <c r="N13" s="629">
        <v>90000000</v>
      </c>
      <c r="O13" s="629">
        <f>N13</f>
        <v>90000000</v>
      </c>
      <c r="P13" s="300">
        <f t="shared" si="0"/>
        <v>0</v>
      </c>
    </row>
    <row r="14" spans="1:16" ht="27.6" customHeight="1">
      <c r="A14" s="284" t="s">
        <v>268</v>
      </c>
      <c r="B14" s="284" t="s">
        <v>153</v>
      </c>
      <c r="C14" s="284"/>
      <c r="D14" s="284"/>
      <c r="E14" s="284"/>
      <c r="F14" s="284"/>
      <c r="G14" s="284"/>
      <c r="H14" s="284"/>
      <c r="I14" s="284"/>
      <c r="J14" s="284"/>
      <c r="K14" s="284"/>
      <c r="L14" s="629">
        <v>0</v>
      </c>
      <c r="M14" s="629">
        <v>0</v>
      </c>
      <c r="N14" s="629">
        <v>0</v>
      </c>
      <c r="O14" s="629">
        <v>0</v>
      </c>
      <c r="P14" s="300">
        <f t="shared" si="0"/>
        <v>0</v>
      </c>
    </row>
    <row r="15" spans="1:16" ht="27.6" customHeight="1">
      <c r="A15" s="284" t="s">
        <v>269</v>
      </c>
      <c r="B15" s="284" t="s">
        <v>186</v>
      </c>
      <c r="C15" s="284"/>
      <c r="D15" s="284"/>
      <c r="E15" s="284"/>
      <c r="F15" s="284"/>
      <c r="G15" s="284"/>
      <c r="H15" s="284"/>
      <c r="I15" s="284"/>
      <c r="J15" s="284"/>
      <c r="K15" s="284"/>
      <c r="L15" s="629">
        <v>50000000</v>
      </c>
      <c r="M15" s="629">
        <v>35000000</v>
      </c>
      <c r="N15" s="629">
        <v>50000000</v>
      </c>
      <c r="O15" s="629">
        <v>50000000</v>
      </c>
      <c r="P15" s="300">
        <f t="shared" si="0"/>
        <v>0</v>
      </c>
    </row>
    <row r="16" spans="1:16" ht="27.6" customHeight="1">
      <c r="A16" s="284" t="s">
        <v>270</v>
      </c>
      <c r="B16" s="284" t="s">
        <v>163</v>
      </c>
      <c r="C16" s="284"/>
      <c r="D16" s="284"/>
      <c r="E16" s="284"/>
      <c r="F16" s="284"/>
      <c r="G16" s="284"/>
      <c r="H16" s="284"/>
      <c r="I16" s="284"/>
      <c r="J16" s="284"/>
      <c r="K16" s="284"/>
      <c r="L16" s="629">
        <v>0</v>
      </c>
      <c r="M16" s="629">
        <v>43200000</v>
      </c>
      <c r="N16" s="629">
        <v>43200000</v>
      </c>
      <c r="O16" s="629">
        <v>43200000</v>
      </c>
      <c r="P16" s="300">
        <f t="shared" si="0"/>
        <v>0</v>
      </c>
    </row>
    <row r="17" spans="1:16" ht="27.6" customHeight="1">
      <c r="A17" s="284" t="s">
        <v>271</v>
      </c>
      <c r="B17" s="284" t="s">
        <v>154</v>
      </c>
      <c r="C17" s="284"/>
      <c r="D17" s="284"/>
      <c r="E17" s="284"/>
      <c r="F17" s="284"/>
      <c r="G17" s="284"/>
      <c r="H17" s="284"/>
      <c r="I17" s="284"/>
      <c r="J17" s="284"/>
      <c r="K17" s="284"/>
      <c r="L17" s="629">
        <v>8937600</v>
      </c>
      <c r="M17" s="629">
        <f>8937600*70%</f>
        <v>6256320</v>
      </c>
      <c r="N17" s="629">
        <v>0</v>
      </c>
      <c r="O17" s="629">
        <v>0</v>
      </c>
      <c r="P17" s="300">
        <f t="shared" si="0"/>
        <v>0</v>
      </c>
    </row>
    <row r="18" spans="1:16" ht="27.6" customHeight="1">
      <c r="A18" s="284" t="s">
        <v>272</v>
      </c>
      <c r="B18" s="284" t="s">
        <v>54</v>
      </c>
      <c r="C18" s="284"/>
      <c r="D18" s="284"/>
      <c r="E18" s="284"/>
      <c r="F18" s="284"/>
      <c r="G18" s="284"/>
      <c r="H18" s="284"/>
      <c r="I18" s="284"/>
      <c r="J18" s="284"/>
      <c r="K18" s="284"/>
      <c r="L18" s="629">
        <v>45000000</v>
      </c>
      <c r="M18" s="629">
        <f>45000000*70%</f>
        <v>31499999.999999996</v>
      </c>
      <c r="N18" s="629">
        <v>40000000</v>
      </c>
      <c r="O18" s="629">
        <v>50000000</v>
      </c>
      <c r="P18" s="300">
        <f t="shared" si="0"/>
        <v>10000000</v>
      </c>
    </row>
    <row r="19" spans="1:16" ht="27.6" customHeight="1">
      <c r="A19" s="284" t="s">
        <v>273</v>
      </c>
      <c r="B19" s="284" t="s">
        <v>120</v>
      </c>
      <c r="C19" s="284"/>
      <c r="D19" s="284"/>
      <c r="E19" s="284"/>
      <c r="F19" s="284"/>
      <c r="G19" s="284"/>
      <c r="H19" s="284"/>
      <c r="I19" s="284"/>
      <c r="J19" s="284"/>
      <c r="K19" s="284"/>
      <c r="L19" s="629">
        <v>0</v>
      </c>
      <c r="M19" s="629">
        <v>0</v>
      </c>
      <c r="N19" s="629">
        <v>0</v>
      </c>
      <c r="O19" s="629">
        <v>0</v>
      </c>
      <c r="P19" s="300">
        <f t="shared" si="0"/>
        <v>0</v>
      </c>
    </row>
    <row r="20" spans="1:16" ht="27.6" customHeight="1">
      <c r="A20" s="284" t="s">
        <v>274</v>
      </c>
      <c r="B20" s="284" t="s">
        <v>164</v>
      </c>
      <c r="C20" s="284"/>
      <c r="D20" s="284"/>
      <c r="E20" s="284"/>
      <c r="F20" s="284"/>
      <c r="G20" s="284"/>
      <c r="H20" s="284"/>
      <c r="I20" s="284"/>
      <c r="J20" s="284"/>
      <c r="K20" s="292"/>
      <c r="L20" s="629">
        <v>10427200</v>
      </c>
      <c r="M20" s="629">
        <f>10427200*70%</f>
        <v>7299040</v>
      </c>
      <c r="N20" s="629">
        <f>10427200*70%</f>
        <v>7299040</v>
      </c>
      <c r="O20" s="629">
        <v>12299040</v>
      </c>
      <c r="P20" s="300">
        <f t="shared" si="0"/>
        <v>5000000</v>
      </c>
    </row>
    <row r="21" spans="1:16" ht="27.6" customHeight="1">
      <c r="A21" s="284" t="s">
        <v>275</v>
      </c>
      <c r="B21" s="284" t="s">
        <v>40</v>
      </c>
      <c r="C21" s="284"/>
      <c r="D21" s="284"/>
      <c r="E21" s="284"/>
      <c r="F21" s="284"/>
      <c r="G21" s="284"/>
      <c r="H21" s="292"/>
      <c r="I21" s="292"/>
      <c r="J21" s="292"/>
      <c r="K21" s="292"/>
      <c r="L21" s="629">
        <v>45000000</v>
      </c>
      <c r="M21" s="629">
        <f>45000000*70%</f>
        <v>31499999.999999996</v>
      </c>
      <c r="N21" s="629">
        <v>40000000</v>
      </c>
      <c r="O21" s="629">
        <v>50000000</v>
      </c>
      <c r="P21" s="300">
        <f t="shared" si="0"/>
        <v>10000000</v>
      </c>
    </row>
    <row r="22" spans="1:16" ht="27.6" customHeight="1">
      <c r="A22" s="284" t="s">
        <v>277</v>
      </c>
      <c r="B22" s="284" t="s">
        <v>218</v>
      </c>
      <c r="C22" s="284"/>
      <c r="D22" s="284"/>
      <c r="E22" s="284"/>
      <c r="F22" s="284"/>
      <c r="G22" s="284"/>
      <c r="H22" s="284"/>
      <c r="I22" s="284"/>
      <c r="J22" s="284"/>
      <c r="K22" s="284"/>
      <c r="L22" s="629">
        <v>135000000</v>
      </c>
      <c r="M22" s="629">
        <f>135000000*70%</f>
        <v>94500000</v>
      </c>
      <c r="N22" s="629">
        <v>0</v>
      </c>
      <c r="O22" s="629">
        <v>0</v>
      </c>
      <c r="P22" s="300">
        <f t="shared" si="0"/>
        <v>0</v>
      </c>
    </row>
    <row r="23" spans="1:16" ht="27.6" customHeight="1">
      <c r="A23" s="284"/>
      <c r="B23" s="292" t="s">
        <v>119</v>
      </c>
      <c r="C23" s="284"/>
      <c r="D23" s="284"/>
      <c r="E23" s="284"/>
      <c r="F23" s="284"/>
      <c r="G23" s="284"/>
      <c r="H23" s="284"/>
      <c r="I23" s="284"/>
      <c r="J23" s="284"/>
      <c r="K23" s="284"/>
      <c r="L23" s="630">
        <f>SUM(L12:L22)</f>
        <v>354364800</v>
      </c>
      <c r="M23" s="630">
        <f>SUM(M12:M22)</f>
        <v>291255360</v>
      </c>
      <c r="N23" s="630">
        <f>SUM(N12:N22)</f>
        <v>312499040</v>
      </c>
      <c r="O23" s="630">
        <f>SUM(O12:O22)</f>
        <v>337499040</v>
      </c>
      <c r="P23" s="627">
        <f t="shared" si="0"/>
        <v>25000000</v>
      </c>
    </row>
    <row r="24" spans="1:16" ht="27.6" customHeight="1">
      <c r="A24" s="292" t="s">
        <v>279</v>
      </c>
      <c r="B24" s="292" t="s">
        <v>278</v>
      </c>
      <c r="C24" s="284"/>
      <c r="D24" s="284"/>
      <c r="E24" s="284"/>
      <c r="F24" s="284"/>
      <c r="G24" s="284"/>
      <c r="H24" s="284"/>
      <c r="I24" s="284"/>
      <c r="J24" s="284"/>
      <c r="K24" s="284"/>
      <c r="L24" s="629"/>
      <c r="M24" s="629"/>
      <c r="N24" s="629"/>
      <c r="O24" s="629"/>
      <c r="P24" s="300">
        <f t="shared" si="0"/>
        <v>0</v>
      </c>
    </row>
    <row r="25" spans="1:16" ht="27.6" customHeight="1">
      <c r="A25" s="284" t="s">
        <v>280</v>
      </c>
      <c r="B25" s="284" t="s">
        <v>160</v>
      </c>
      <c r="C25" s="284"/>
      <c r="D25" s="284"/>
      <c r="E25" s="284"/>
      <c r="F25" s="284"/>
      <c r="G25" s="284"/>
      <c r="H25" s="284"/>
      <c r="I25" s="284"/>
      <c r="J25" s="284"/>
      <c r="K25" s="292"/>
      <c r="L25" s="630">
        <v>0</v>
      </c>
      <c r="M25" s="630">
        <v>0</v>
      </c>
      <c r="N25" s="630">
        <v>0</v>
      </c>
      <c r="O25" s="630">
        <v>0</v>
      </c>
      <c r="P25" s="300">
        <f t="shared" si="0"/>
        <v>0</v>
      </c>
    </row>
    <row r="26" spans="1:16" ht="27.6" customHeight="1">
      <c r="A26" s="284" t="s">
        <v>281</v>
      </c>
      <c r="B26" s="284" t="s">
        <v>161</v>
      </c>
      <c r="C26" s="284"/>
      <c r="D26" s="284"/>
      <c r="E26" s="284"/>
      <c r="F26" s="284"/>
      <c r="G26" s="284"/>
      <c r="H26" s="284"/>
      <c r="I26" s="284"/>
      <c r="J26" s="284"/>
      <c r="K26" s="284"/>
      <c r="L26" s="629">
        <v>360000000</v>
      </c>
      <c r="M26" s="629">
        <f>L26*70%</f>
        <v>251999999.99999997</v>
      </c>
      <c r="N26" s="629">
        <v>201600000</v>
      </c>
      <c r="O26" s="629">
        <v>201600000</v>
      </c>
      <c r="P26" s="300">
        <f t="shared" si="0"/>
        <v>0</v>
      </c>
    </row>
    <row r="27" spans="1:16" ht="27.6" customHeight="1">
      <c r="A27" s="284" t="s">
        <v>282</v>
      </c>
      <c r="B27" s="284" t="s">
        <v>155</v>
      </c>
      <c r="C27" s="284"/>
      <c r="D27" s="284"/>
      <c r="E27" s="284"/>
      <c r="F27" s="284"/>
      <c r="G27" s="284"/>
      <c r="H27" s="284"/>
      <c r="I27" s="284"/>
      <c r="J27" s="284"/>
      <c r="K27" s="284"/>
      <c r="L27" s="629">
        <v>30000000</v>
      </c>
      <c r="M27" s="629">
        <v>21000000</v>
      </c>
      <c r="N27" s="629">
        <v>30000000</v>
      </c>
      <c r="O27" s="629">
        <v>30000000</v>
      </c>
      <c r="P27" s="300">
        <f t="shared" si="0"/>
        <v>0</v>
      </c>
    </row>
    <row r="28" spans="1:16" ht="27.6" customHeight="1">
      <c r="A28" s="284" t="s">
        <v>283</v>
      </c>
      <c r="B28" s="284" t="s">
        <v>156</v>
      </c>
      <c r="C28" s="284"/>
      <c r="D28" s="284"/>
      <c r="E28" s="284"/>
      <c r="F28" s="284"/>
      <c r="G28" s="284"/>
      <c r="H28" s="284"/>
      <c r="I28" s="284"/>
      <c r="J28" s="284"/>
      <c r="K28" s="284"/>
      <c r="L28" s="629">
        <v>6703200</v>
      </c>
      <c r="M28" s="629">
        <f>6703200*70%</f>
        <v>4692240</v>
      </c>
      <c r="N28" s="629">
        <f>6703200*70%</f>
        <v>4692240</v>
      </c>
      <c r="O28" s="629">
        <f>6703200*70%</f>
        <v>4692240</v>
      </c>
      <c r="P28" s="300">
        <f t="shared" si="0"/>
        <v>0</v>
      </c>
    </row>
    <row r="29" spans="1:16" ht="27.6" customHeight="1">
      <c r="A29" s="284" t="s">
        <v>284</v>
      </c>
      <c r="B29" s="284" t="s">
        <v>162</v>
      </c>
      <c r="C29" s="284"/>
      <c r="D29" s="284"/>
      <c r="E29" s="284"/>
      <c r="F29" s="284"/>
      <c r="G29" s="284"/>
      <c r="H29" s="284"/>
      <c r="I29" s="284"/>
      <c r="J29" s="284"/>
      <c r="K29" s="284"/>
      <c r="L29" s="629">
        <v>0</v>
      </c>
      <c r="M29" s="629">
        <v>0</v>
      </c>
      <c r="N29" s="629">
        <v>0</v>
      </c>
      <c r="O29" s="629">
        <v>0</v>
      </c>
      <c r="P29" s="300">
        <f t="shared" si="0"/>
        <v>0</v>
      </c>
    </row>
    <row r="30" spans="1:16" ht="27.6" customHeight="1">
      <c r="A30" s="284" t="s">
        <v>298</v>
      </c>
      <c r="B30" s="284" t="s">
        <v>219</v>
      </c>
      <c r="C30" s="284"/>
      <c r="D30" s="284"/>
      <c r="E30" s="284"/>
      <c r="F30" s="284"/>
      <c r="G30" s="284"/>
      <c r="H30" s="284"/>
      <c r="I30" s="284"/>
      <c r="J30" s="284"/>
      <c r="K30" s="284"/>
      <c r="L30" s="629">
        <v>12000000</v>
      </c>
      <c r="M30" s="629">
        <f>12000000*70%</f>
        <v>8400000</v>
      </c>
      <c r="N30" s="629">
        <v>0</v>
      </c>
      <c r="O30" s="629">
        <v>0</v>
      </c>
      <c r="P30" s="300">
        <f t="shared" si="0"/>
        <v>0</v>
      </c>
    </row>
    <row r="31" spans="1:16" ht="27.6" customHeight="1">
      <c r="A31" s="284"/>
      <c r="B31" s="292" t="s">
        <v>119</v>
      </c>
      <c r="C31" s="284"/>
      <c r="D31" s="284"/>
      <c r="E31" s="284"/>
      <c r="F31" s="284"/>
      <c r="G31" s="284"/>
      <c r="H31" s="284"/>
      <c r="I31" s="284"/>
      <c r="J31" s="284"/>
      <c r="K31" s="292"/>
      <c r="L31" s="630">
        <f>SUM(L25:L30)</f>
        <v>408703200</v>
      </c>
      <c r="M31" s="630">
        <f>SUM(M25:M30)</f>
        <v>286092240</v>
      </c>
      <c r="N31" s="630">
        <f>SUM(N25:N30)</f>
        <v>236292240</v>
      </c>
      <c r="O31" s="630">
        <f>SUM(O25:O30)</f>
        <v>236292240</v>
      </c>
      <c r="P31" s="627">
        <f t="shared" si="0"/>
        <v>0</v>
      </c>
    </row>
    <row r="32" spans="1:16" ht="27.6" customHeight="1">
      <c r="A32" s="292" t="s">
        <v>285</v>
      </c>
      <c r="B32" s="292" t="s">
        <v>158</v>
      </c>
      <c r="C32" s="284"/>
      <c r="D32" s="284"/>
      <c r="E32" s="284"/>
      <c r="F32" s="284"/>
      <c r="G32" s="284"/>
      <c r="H32" s="284"/>
      <c r="I32" s="284"/>
      <c r="J32" s="284"/>
      <c r="K32" s="284"/>
      <c r="L32" s="629"/>
      <c r="M32" s="629"/>
      <c r="N32" s="629"/>
      <c r="O32" s="629"/>
      <c r="P32" s="300">
        <f t="shared" si="0"/>
        <v>0</v>
      </c>
    </row>
    <row r="33" spans="1:16" ht="27.6" customHeight="1">
      <c r="A33" s="284" t="s">
        <v>286</v>
      </c>
      <c r="B33" s="284" t="s">
        <v>55</v>
      </c>
      <c r="C33" s="284"/>
      <c r="D33" s="284"/>
      <c r="E33" s="284"/>
      <c r="F33" s="284"/>
      <c r="G33" s="284"/>
      <c r="H33" s="284"/>
      <c r="I33" s="284"/>
      <c r="J33" s="284"/>
      <c r="K33" s="284"/>
      <c r="L33" s="629">
        <v>45000000</v>
      </c>
      <c r="M33" s="629">
        <v>31500000</v>
      </c>
      <c r="N33" s="629">
        <v>40000000</v>
      </c>
      <c r="O33" s="629">
        <v>40000000</v>
      </c>
      <c r="P33" s="300">
        <f t="shared" si="0"/>
        <v>0</v>
      </c>
    </row>
    <row r="34" spans="1:16" ht="27.6" customHeight="1">
      <c r="A34" s="284" t="s">
        <v>288</v>
      </c>
      <c r="B34" s="284" t="s">
        <v>287</v>
      </c>
      <c r="C34" s="284"/>
      <c r="D34" s="284"/>
      <c r="E34" s="284"/>
      <c r="F34" s="284"/>
      <c r="G34" s="284"/>
      <c r="H34" s="284"/>
      <c r="I34" s="284"/>
      <c r="J34" s="284"/>
      <c r="K34" s="284"/>
      <c r="L34" s="629">
        <v>3724000</v>
      </c>
      <c r="M34" s="629">
        <f>3724000*70%</f>
        <v>2606800</v>
      </c>
      <c r="N34" s="629">
        <f>3724000*70%</f>
        <v>2606800</v>
      </c>
      <c r="O34" s="629">
        <v>120000000</v>
      </c>
      <c r="P34" s="300">
        <f t="shared" si="0"/>
        <v>117393200</v>
      </c>
    </row>
    <row r="35" spans="1:16" ht="27.6" customHeight="1">
      <c r="A35" s="284" t="s">
        <v>323</v>
      </c>
      <c r="B35" s="284" t="s">
        <v>324</v>
      </c>
      <c r="C35" s="284"/>
      <c r="D35" s="284"/>
      <c r="E35" s="284"/>
      <c r="F35" s="284"/>
      <c r="G35" s="284"/>
      <c r="H35" s="284"/>
      <c r="I35" s="284"/>
      <c r="J35" s="284"/>
      <c r="K35" s="292"/>
      <c r="L35" s="630">
        <v>0</v>
      </c>
      <c r="M35" s="630">
        <v>0</v>
      </c>
      <c r="N35" s="630">
        <v>0</v>
      </c>
      <c r="O35" s="630">
        <v>0</v>
      </c>
      <c r="P35" s="300">
        <f t="shared" si="0"/>
        <v>0</v>
      </c>
    </row>
    <row r="36" spans="1:16" ht="27.6" customHeight="1">
      <c r="A36" s="284" t="s">
        <v>289</v>
      </c>
      <c r="B36" s="284" t="s">
        <v>290</v>
      </c>
      <c r="C36" s="292"/>
      <c r="D36" s="292"/>
      <c r="E36" s="292"/>
      <c r="F36" s="292"/>
      <c r="G36" s="292"/>
      <c r="H36" s="292"/>
      <c r="I36" s="292"/>
      <c r="J36" s="292"/>
      <c r="K36" s="292"/>
      <c r="L36" s="630">
        <v>0</v>
      </c>
      <c r="M36" s="630">
        <v>0</v>
      </c>
      <c r="N36" s="630">
        <v>0</v>
      </c>
      <c r="O36" s="630">
        <v>0</v>
      </c>
      <c r="P36" s="300">
        <f t="shared" si="0"/>
        <v>0</v>
      </c>
    </row>
    <row r="37" spans="1:16" ht="27.6" customHeight="1">
      <c r="A37" s="284"/>
      <c r="B37" s="292" t="s">
        <v>119</v>
      </c>
      <c r="C37" s="292"/>
      <c r="D37" s="292"/>
      <c r="E37" s="292"/>
      <c r="F37" s="292"/>
      <c r="G37" s="292"/>
      <c r="H37" s="292"/>
      <c r="I37" s="292"/>
      <c r="J37" s="292"/>
      <c r="K37" s="292"/>
      <c r="L37" s="630">
        <f>SUM(L33:L36)</f>
        <v>48724000</v>
      </c>
      <c r="M37" s="630">
        <f>SUM(M33:M36)</f>
        <v>34106800</v>
      </c>
      <c r="N37" s="630">
        <f>SUM(N33:N36)</f>
        <v>42606800</v>
      </c>
      <c r="O37" s="630">
        <f>SUM(O33:O36)</f>
        <v>160000000</v>
      </c>
      <c r="P37" s="627">
        <f t="shared" si="0"/>
        <v>117393200</v>
      </c>
    </row>
    <row r="38" spans="1:16" ht="27.6" customHeight="1">
      <c r="A38" s="292" t="s">
        <v>293</v>
      </c>
      <c r="B38" s="292" t="s">
        <v>292</v>
      </c>
      <c r="C38" s="292"/>
      <c r="D38" s="292"/>
      <c r="E38" s="292"/>
      <c r="F38" s="292"/>
      <c r="G38" s="292"/>
      <c r="H38" s="292"/>
      <c r="I38" s="292"/>
      <c r="J38" s="292"/>
      <c r="K38" s="292"/>
      <c r="L38" s="630"/>
      <c r="M38" s="630"/>
      <c r="N38" s="630"/>
      <c r="O38" s="630"/>
      <c r="P38" s="300">
        <f t="shared" si="0"/>
        <v>0</v>
      </c>
    </row>
    <row r="39" spans="1:16" ht="27.6" customHeight="1">
      <c r="A39" s="292" t="s">
        <v>294</v>
      </c>
      <c r="B39" s="292" t="s">
        <v>291</v>
      </c>
      <c r="C39" s="292"/>
      <c r="D39" s="292"/>
      <c r="E39" s="292"/>
      <c r="F39" s="292"/>
      <c r="G39" s="292"/>
      <c r="H39" s="292"/>
      <c r="I39" s="292"/>
      <c r="J39" s="292"/>
      <c r="K39" s="292"/>
      <c r="L39" s="630"/>
      <c r="M39" s="630"/>
      <c r="N39" s="630"/>
      <c r="O39" s="630"/>
      <c r="P39" s="300">
        <f t="shared" si="0"/>
        <v>0</v>
      </c>
    </row>
    <row r="40" spans="1:16" ht="27.6" customHeight="1">
      <c r="A40" s="284" t="s">
        <v>306</v>
      </c>
      <c r="B40" s="284" t="s">
        <v>307</v>
      </c>
      <c r="C40" s="284"/>
      <c r="D40" s="284"/>
      <c r="E40" s="284"/>
      <c r="F40" s="284"/>
      <c r="G40" s="284"/>
      <c r="H40" s="284"/>
      <c r="I40" s="284"/>
      <c r="J40" s="284"/>
      <c r="K40" s="284"/>
      <c r="L40" s="629">
        <v>0</v>
      </c>
      <c r="M40" s="629">
        <v>0</v>
      </c>
      <c r="N40" s="629">
        <v>0</v>
      </c>
      <c r="O40" s="629">
        <v>0</v>
      </c>
      <c r="P40" s="300">
        <f t="shared" si="0"/>
        <v>0</v>
      </c>
    </row>
    <row r="41" spans="1:16" ht="27.6" customHeight="1">
      <c r="A41" s="284" t="s">
        <v>308</v>
      </c>
      <c r="B41" s="284" t="s">
        <v>309</v>
      </c>
      <c r="C41" s="335"/>
      <c r="D41" s="336">
        <v>0</v>
      </c>
      <c r="E41" s="336"/>
      <c r="F41" s="336" t="s">
        <v>4</v>
      </c>
      <c r="G41" s="336"/>
      <c r="H41" s="336"/>
      <c r="I41" s="336"/>
      <c r="J41" s="336"/>
      <c r="K41" s="336"/>
      <c r="L41" s="300">
        <v>0</v>
      </c>
      <c r="M41" s="300">
        <v>108000000</v>
      </c>
      <c r="N41" s="300">
        <f>M41</f>
        <v>108000000</v>
      </c>
      <c r="O41" s="300">
        <v>0</v>
      </c>
      <c r="P41" s="300">
        <f t="shared" si="0"/>
        <v>-108000000</v>
      </c>
    </row>
    <row r="42" spans="1:16" ht="27.6" customHeight="1">
      <c r="A42" s="284" t="s">
        <v>295</v>
      </c>
      <c r="B42" s="284" t="s">
        <v>176</v>
      </c>
      <c r="C42" s="335"/>
      <c r="D42" s="336" t="s">
        <v>4</v>
      </c>
      <c r="E42" s="336"/>
      <c r="F42" s="336" t="s">
        <v>4</v>
      </c>
      <c r="G42" s="336"/>
      <c r="H42" s="336"/>
      <c r="I42" s="336"/>
      <c r="J42" s="336"/>
      <c r="K42" s="336"/>
      <c r="L42" s="300">
        <v>5586000</v>
      </c>
      <c r="M42" s="300">
        <f>5586000*70%</f>
        <v>3910199.9999999995</v>
      </c>
      <c r="N42" s="300">
        <f>M42</f>
        <v>3910199.9999999995</v>
      </c>
      <c r="O42" s="300">
        <f>N42</f>
        <v>3910199.9999999995</v>
      </c>
      <c r="P42" s="300">
        <f t="shared" si="0"/>
        <v>0</v>
      </c>
    </row>
    <row r="43" spans="1:16" ht="27.6" customHeight="1">
      <c r="A43" s="284" t="s">
        <v>296</v>
      </c>
      <c r="B43" s="284" t="s">
        <v>177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00">
        <v>1981000000</v>
      </c>
      <c r="M43" s="300">
        <f>3840000000*70%</f>
        <v>2688000000</v>
      </c>
      <c r="N43" s="300">
        <f>M43</f>
        <v>2688000000</v>
      </c>
      <c r="O43" s="300">
        <f>N43</f>
        <v>2688000000</v>
      </c>
      <c r="P43" s="300">
        <f t="shared" si="0"/>
        <v>0</v>
      </c>
    </row>
    <row r="44" spans="1:16" ht="27.6" customHeight="1">
      <c r="A44" s="284"/>
      <c r="B44" s="292" t="s">
        <v>119</v>
      </c>
      <c r="C44" s="335"/>
      <c r="D44" s="335"/>
      <c r="E44" s="335"/>
      <c r="F44" s="335">
        <f>1386274192-71600000-798000-176160000-12600000</f>
        <v>1125116192</v>
      </c>
      <c r="G44" s="335"/>
      <c r="H44" s="335"/>
      <c r="I44" s="335"/>
      <c r="J44" s="335"/>
      <c r="K44" s="335"/>
      <c r="L44" s="627">
        <f>SUM(L40:L43)</f>
        <v>1986586000</v>
      </c>
      <c r="M44" s="627">
        <f>SUM(M40:M43)</f>
        <v>2799910200</v>
      </c>
      <c r="N44" s="627">
        <f>SUM(N40:N43)</f>
        <v>2799910200</v>
      </c>
      <c r="O44" s="627">
        <f>SUM(O40:O43)</f>
        <v>2691910200</v>
      </c>
      <c r="P44" s="627">
        <f t="shared" si="0"/>
        <v>-108000000</v>
      </c>
    </row>
    <row r="45" spans="1:16" ht="27.6" customHeight="1">
      <c r="A45" s="284"/>
      <c r="B45" s="292" t="s">
        <v>42</v>
      </c>
      <c r="C45" s="335"/>
      <c r="D45" s="335"/>
      <c r="E45" s="335"/>
      <c r="F45" s="335"/>
      <c r="G45" s="335"/>
      <c r="H45" s="335"/>
      <c r="I45" s="335"/>
      <c r="J45" s="335"/>
      <c r="K45" s="335"/>
      <c r="L45" s="627" t="e">
        <f>L44+L37+L31+L23+L9+#REF!</f>
        <v>#REF!</v>
      </c>
      <c r="M45" s="627">
        <f>M44+M37+M31+M23+M9</f>
        <v>4230964600</v>
      </c>
      <c r="N45" s="627">
        <f>N44+N37+N31+N23+N9</f>
        <v>4304777080</v>
      </c>
      <c r="O45" s="627">
        <f>O44+O37+O31+O23+O9</f>
        <v>4401810280</v>
      </c>
      <c r="P45" s="627">
        <f t="shared" si="0"/>
        <v>97033200</v>
      </c>
    </row>
  </sheetData>
  <pageMargins left="0.7" right="0.48" top="0.87" bottom="0.54" header="0.3" footer="0.3"/>
  <pageSetup scale="55" orientation="portrait" r:id="rId1"/>
  <headerFooter>
    <oddHeader>&amp;C&amp;"Times New Roman,Bold"&amp;22Wasaaradda Boosta &amp; Isgaadhsiinta.</oddHeader>
    <oddFooter>&amp;R
&amp;"Times New Roman,Bold"&amp;14 34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61" zoomScaleSheetLayoutView="61" workbookViewId="0">
      <selection sqref="A1:XFD1048576"/>
    </sheetView>
  </sheetViews>
  <sheetFormatPr defaultRowHeight="21.95" customHeight="1"/>
  <cols>
    <col min="1" max="1" width="18.1640625" style="386" bestFit="1" customWidth="1"/>
    <col min="2" max="2" width="77.83203125" style="386" bestFit="1" customWidth="1"/>
    <col min="3" max="10" width="9.33203125" style="386" hidden="1" customWidth="1"/>
    <col min="11" max="11" width="22.33203125" style="386" hidden="1" customWidth="1"/>
    <col min="12" max="12" width="26" style="386" hidden="1" customWidth="1"/>
    <col min="13" max="14" width="29.83203125" style="386" bestFit="1" customWidth="1"/>
    <col min="15" max="15" width="27.6640625" style="386" bestFit="1" customWidth="1"/>
    <col min="16" max="16384" width="9.33203125" style="386"/>
  </cols>
  <sheetData>
    <row r="1" spans="1:16" ht="21.95" customHeight="1">
      <c r="A1" s="373" t="s">
        <v>44</v>
      </c>
      <c r="B1" s="443" t="s">
        <v>844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6" ht="21.95" customHeight="1">
      <c r="A2" s="378" t="s">
        <v>28</v>
      </c>
      <c r="B2" s="443" t="s">
        <v>29</v>
      </c>
      <c r="C2" s="373" t="s">
        <v>43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130</v>
      </c>
      <c r="J2" s="378" t="s">
        <v>137</v>
      </c>
      <c r="K2" s="378" t="s">
        <v>180</v>
      </c>
      <c r="L2" s="378" t="s">
        <v>297</v>
      </c>
      <c r="M2" s="378" t="s">
        <v>643</v>
      </c>
      <c r="N2" s="378" t="s">
        <v>1111</v>
      </c>
      <c r="O2" s="378" t="s">
        <v>63</v>
      </c>
      <c r="P2" s="631"/>
    </row>
    <row r="3" spans="1:16" ht="21.95" customHeight="1">
      <c r="A3" s="373" t="s">
        <v>30</v>
      </c>
      <c r="B3" s="373" t="s">
        <v>31</v>
      </c>
      <c r="C3" s="335"/>
      <c r="D3" s="335"/>
      <c r="E3" s="335"/>
      <c r="F3" s="335"/>
      <c r="G3" s="335"/>
      <c r="H3" s="335"/>
      <c r="I3" s="335"/>
      <c r="J3" s="335"/>
      <c r="K3" s="300"/>
      <c r="L3" s="632"/>
      <c r="M3" s="632"/>
      <c r="N3" s="632"/>
      <c r="O3" s="632"/>
    </row>
    <row r="4" spans="1:16" ht="21.95" customHeight="1">
      <c r="A4" s="292" t="s">
        <v>248</v>
      </c>
      <c r="B4" s="292" t="s">
        <v>165</v>
      </c>
      <c r="C4" s="284"/>
      <c r="D4" s="284"/>
      <c r="E4" s="284"/>
      <c r="F4" s="284"/>
      <c r="G4" s="284"/>
      <c r="H4" s="284"/>
      <c r="I4" s="284"/>
      <c r="J4" s="284"/>
      <c r="K4" s="629"/>
      <c r="L4" s="629"/>
      <c r="M4" s="300"/>
      <c r="N4" s="300"/>
      <c r="O4" s="300"/>
    </row>
    <row r="5" spans="1:16" ht="21.95" customHeight="1">
      <c r="A5" s="292" t="s">
        <v>249</v>
      </c>
      <c r="B5" s="292" t="s">
        <v>250</v>
      </c>
      <c r="C5" s="284"/>
      <c r="D5" s="284"/>
      <c r="E5" s="284"/>
      <c r="F5" s="284"/>
      <c r="G5" s="284"/>
      <c r="H5" s="284"/>
      <c r="I5" s="284"/>
      <c r="J5" s="284"/>
      <c r="K5" s="629"/>
      <c r="L5" s="629"/>
      <c r="M5" s="629"/>
      <c r="N5" s="629"/>
      <c r="O5" s="629"/>
    </row>
    <row r="6" spans="1:16" ht="21.95" customHeight="1">
      <c r="A6" s="284" t="s">
        <v>247</v>
      </c>
      <c r="B6" s="284" t="s">
        <v>32</v>
      </c>
      <c r="C6" s="284"/>
      <c r="D6" s="284"/>
      <c r="E6" s="284"/>
      <c r="F6" s="284"/>
      <c r="G6" s="284"/>
      <c r="H6" s="284"/>
      <c r="I6" s="284"/>
      <c r="J6" s="284"/>
      <c r="K6" s="629">
        <v>11746908400</v>
      </c>
      <c r="L6" s="629">
        <f>'shaq,3'!H36+72000000</f>
        <v>31824552000</v>
      </c>
      <c r="M6" s="629">
        <v>40687419400</v>
      </c>
      <c r="N6" s="629">
        <v>47317857600</v>
      </c>
      <c r="O6" s="629">
        <f t="shared" ref="O6:O53" si="0">N6-M6</f>
        <v>6630438200</v>
      </c>
    </row>
    <row r="7" spans="1:16" ht="21.95" customHeight="1">
      <c r="A7" s="284" t="s">
        <v>251</v>
      </c>
      <c r="B7" s="284" t="s">
        <v>859</v>
      </c>
      <c r="C7" s="284"/>
      <c r="D7" s="284"/>
      <c r="E7" s="284"/>
      <c r="F7" s="284"/>
      <c r="G7" s="284"/>
      <c r="H7" s="284"/>
      <c r="I7" s="284"/>
      <c r="J7" s="284"/>
      <c r="K7" s="629">
        <v>0</v>
      </c>
      <c r="L7" s="629">
        <v>0</v>
      </c>
      <c r="M7" s="629">
        <v>591022000</v>
      </c>
      <c r="N7" s="629">
        <v>591022000</v>
      </c>
      <c r="O7" s="629">
        <f t="shared" si="0"/>
        <v>0</v>
      </c>
    </row>
    <row r="8" spans="1:16" ht="21.95" customHeight="1">
      <c r="A8" s="284" t="s">
        <v>252</v>
      </c>
      <c r="B8" s="284" t="s">
        <v>34</v>
      </c>
      <c r="C8" s="292"/>
      <c r="D8" s="292"/>
      <c r="E8" s="292"/>
      <c r="F8" s="292"/>
      <c r="G8" s="292"/>
      <c r="H8" s="292"/>
      <c r="I8" s="292"/>
      <c r="J8" s="292"/>
      <c r="K8" s="629">
        <v>105600000</v>
      </c>
      <c r="L8" s="629">
        <f>K8+10800000</f>
        <v>116400000</v>
      </c>
      <c r="M8" s="629">
        <v>174000000</v>
      </c>
      <c r="N8" s="629">
        <v>298800000</v>
      </c>
      <c r="O8" s="629">
        <f t="shared" si="0"/>
        <v>124800000</v>
      </c>
    </row>
    <row r="9" spans="1:16" ht="21.95" customHeight="1">
      <c r="A9" s="284" t="s">
        <v>676</v>
      </c>
      <c r="B9" s="284" t="s">
        <v>675</v>
      </c>
      <c r="C9" s="292"/>
      <c r="D9" s="292"/>
      <c r="E9" s="292"/>
      <c r="F9" s="292"/>
      <c r="G9" s="292"/>
      <c r="H9" s="292"/>
      <c r="I9" s="292"/>
      <c r="J9" s="292"/>
      <c r="K9" s="629"/>
      <c r="L9" s="629">
        <v>18000000</v>
      </c>
      <c r="M9" s="629">
        <f>L9</f>
        <v>18000000</v>
      </c>
      <c r="N9" s="629">
        <f>M9</f>
        <v>18000000</v>
      </c>
      <c r="O9" s="629">
        <f t="shared" si="0"/>
        <v>0</v>
      </c>
    </row>
    <row r="10" spans="1:16" ht="21.95" customHeight="1">
      <c r="A10" s="284"/>
      <c r="B10" s="292" t="s">
        <v>119</v>
      </c>
      <c r="C10" s="284"/>
      <c r="D10" s="284"/>
      <c r="E10" s="284"/>
      <c r="F10" s="284"/>
      <c r="G10" s="284"/>
      <c r="H10" s="284"/>
      <c r="I10" s="284"/>
      <c r="J10" s="284"/>
      <c r="K10" s="630">
        <f>SUM(K6:K8)</f>
        <v>11852508400</v>
      </c>
      <c r="L10" s="630">
        <f>L9+L8+L6+L7</f>
        <v>31958952000</v>
      </c>
      <c r="M10" s="630">
        <f>M9+M8+M6+M7</f>
        <v>41470441400</v>
      </c>
      <c r="N10" s="630">
        <f>SUM(N6:N9)</f>
        <v>48225679600</v>
      </c>
      <c r="O10" s="630">
        <f t="shared" si="0"/>
        <v>6755238200</v>
      </c>
    </row>
    <row r="11" spans="1:16" ht="21.95" customHeight="1">
      <c r="A11" s="292" t="s">
        <v>262</v>
      </c>
      <c r="B11" s="292" t="s">
        <v>263</v>
      </c>
      <c r="C11" s="292"/>
      <c r="D11" s="292"/>
      <c r="E11" s="292"/>
      <c r="F11" s="292"/>
      <c r="G11" s="292"/>
      <c r="H11" s="292"/>
      <c r="I11" s="292"/>
      <c r="J11" s="292"/>
      <c r="K11" s="629"/>
      <c r="L11" s="629"/>
      <c r="M11" s="629"/>
      <c r="N11" s="629"/>
      <c r="O11" s="629">
        <f t="shared" si="0"/>
        <v>0</v>
      </c>
    </row>
    <row r="12" spans="1:16" ht="21.95" customHeight="1">
      <c r="A12" s="292" t="s">
        <v>265</v>
      </c>
      <c r="B12" s="292" t="s">
        <v>264</v>
      </c>
      <c r="C12" s="284"/>
      <c r="D12" s="284"/>
      <c r="E12" s="284"/>
      <c r="F12" s="284"/>
      <c r="G12" s="284"/>
      <c r="H12" s="284"/>
      <c r="I12" s="284"/>
      <c r="J12" s="284"/>
      <c r="K12" s="629"/>
      <c r="L12" s="629"/>
      <c r="M12" s="629"/>
      <c r="N12" s="629"/>
      <c r="O12" s="629">
        <f t="shared" si="0"/>
        <v>0</v>
      </c>
    </row>
    <row r="13" spans="1:16" ht="21.95" customHeight="1">
      <c r="A13" s="284" t="s">
        <v>266</v>
      </c>
      <c r="B13" s="284" t="s">
        <v>38</v>
      </c>
      <c r="C13" s="284"/>
      <c r="D13" s="284"/>
      <c r="E13" s="284"/>
      <c r="F13" s="284"/>
      <c r="G13" s="284"/>
      <c r="H13" s="284"/>
      <c r="I13" s="284"/>
      <c r="J13" s="284"/>
      <c r="K13" s="629">
        <v>33516000</v>
      </c>
      <c r="L13" s="629">
        <f>33516000*70%</f>
        <v>23461200</v>
      </c>
      <c r="M13" s="629">
        <f>33516000*70%</f>
        <v>23461200</v>
      </c>
      <c r="N13" s="629">
        <f>33516000*70%</f>
        <v>23461200</v>
      </c>
      <c r="O13" s="629">
        <f t="shared" si="0"/>
        <v>0</v>
      </c>
    </row>
    <row r="14" spans="1:16" ht="21.95" customHeight="1">
      <c r="A14" s="284" t="s">
        <v>269</v>
      </c>
      <c r="B14" s="284" t="s">
        <v>186</v>
      </c>
      <c r="C14" s="284"/>
      <c r="D14" s="284"/>
      <c r="E14" s="284"/>
      <c r="F14" s="284"/>
      <c r="G14" s="284"/>
      <c r="H14" s="284"/>
      <c r="I14" s="284"/>
      <c r="J14" s="284"/>
      <c r="K14" s="629">
        <v>71894940</v>
      </c>
      <c r="L14" s="629">
        <f>K14*70%</f>
        <v>50326458</v>
      </c>
      <c r="M14" s="629">
        <v>70326458</v>
      </c>
      <c r="N14" s="629">
        <v>70326458</v>
      </c>
      <c r="O14" s="629">
        <f t="shared" si="0"/>
        <v>0</v>
      </c>
    </row>
    <row r="15" spans="1:16" ht="21.95" customHeight="1">
      <c r="A15" s="284" t="s">
        <v>488</v>
      </c>
      <c r="B15" s="284" t="s">
        <v>666</v>
      </c>
      <c r="C15" s="284"/>
      <c r="D15" s="284"/>
      <c r="E15" s="284"/>
      <c r="F15" s="284"/>
      <c r="G15" s="284"/>
      <c r="H15" s="284"/>
      <c r="I15" s="284"/>
      <c r="J15" s="284"/>
      <c r="K15" s="629"/>
      <c r="L15" s="629">
        <v>0</v>
      </c>
      <c r="M15" s="629">
        <v>32400000</v>
      </c>
      <c r="N15" s="629">
        <v>32400000</v>
      </c>
      <c r="O15" s="629">
        <f t="shared" si="0"/>
        <v>0</v>
      </c>
    </row>
    <row r="16" spans="1:16" ht="21.95" customHeight="1">
      <c r="A16" s="284" t="s">
        <v>271</v>
      </c>
      <c r="B16" s="284" t="s">
        <v>841</v>
      </c>
      <c r="C16" s="284"/>
      <c r="D16" s="284"/>
      <c r="E16" s="284"/>
      <c r="F16" s="284"/>
      <c r="G16" s="284"/>
      <c r="H16" s="284"/>
      <c r="I16" s="284"/>
      <c r="J16" s="284"/>
      <c r="K16" s="629">
        <v>111720000</v>
      </c>
      <c r="L16" s="629">
        <f>111720000*70%</f>
        <v>78204000</v>
      </c>
      <c r="M16" s="629">
        <v>113000000</v>
      </c>
      <c r="N16" s="629">
        <v>113000000</v>
      </c>
      <c r="O16" s="629">
        <f t="shared" si="0"/>
        <v>0</v>
      </c>
    </row>
    <row r="17" spans="1:15" ht="21.95" customHeight="1">
      <c r="A17" s="284" t="s">
        <v>272</v>
      </c>
      <c r="B17" s="284" t="s">
        <v>54</v>
      </c>
      <c r="C17" s="284"/>
      <c r="D17" s="284"/>
      <c r="E17" s="284"/>
      <c r="F17" s="284"/>
      <c r="G17" s="284"/>
      <c r="H17" s="284"/>
      <c r="I17" s="284"/>
      <c r="J17" s="284"/>
      <c r="K17" s="629">
        <v>50000000</v>
      </c>
      <c r="L17" s="629">
        <v>35000000</v>
      </c>
      <c r="M17" s="629">
        <f>L17*70%</f>
        <v>24500000</v>
      </c>
      <c r="N17" s="629">
        <f>M17</f>
        <v>24500000</v>
      </c>
      <c r="O17" s="629">
        <f t="shared" si="0"/>
        <v>0</v>
      </c>
    </row>
    <row r="18" spans="1:15" ht="21.95" customHeight="1">
      <c r="A18" s="284" t="s">
        <v>274</v>
      </c>
      <c r="B18" s="284" t="s">
        <v>164</v>
      </c>
      <c r="C18" s="284"/>
      <c r="D18" s="284"/>
      <c r="E18" s="284"/>
      <c r="F18" s="284"/>
      <c r="G18" s="284"/>
      <c r="H18" s="284"/>
      <c r="I18" s="284"/>
      <c r="J18" s="284"/>
      <c r="K18" s="629">
        <v>10000000</v>
      </c>
      <c r="L18" s="629">
        <f>10000000*70%</f>
        <v>7000000</v>
      </c>
      <c r="M18" s="629">
        <v>17000000</v>
      </c>
      <c r="N18" s="629">
        <v>17000000</v>
      </c>
      <c r="O18" s="629">
        <f t="shared" si="0"/>
        <v>0</v>
      </c>
    </row>
    <row r="19" spans="1:15" ht="21.95" customHeight="1">
      <c r="A19" s="284" t="s">
        <v>275</v>
      </c>
      <c r="B19" s="284" t="s">
        <v>40</v>
      </c>
      <c r="C19" s="292"/>
      <c r="D19" s="292"/>
      <c r="E19" s="292"/>
      <c r="F19" s="292"/>
      <c r="G19" s="292"/>
      <c r="H19" s="292"/>
      <c r="I19" s="292"/>
      <c r="J19" s="292"/>
      <c r="K19" s="629">
        <v>75000000</v>
      </c>
      <c r="L19" s="629">
        <v>52500000</v>
      </c>
      <c r="M19" s="629">
        <v>200000000</v>
      </c>
      <c r="N19" s="629">
        <v>300000000</v>
      </c>
      <c r="O19" s="629">
        <f t="shared" si="0"/>
        <v>100000000</v>
      </c>
    </row>
    <row r="20" spans="1:15" ht="21.95" customHeight="1">
      <c r="A20" s="284" t="s">
        <v>350</v>
      </c>
      <c r="B20" s="284" t="s">
        <v>470</v>
      </c>
      <c r="C20" s="284"/>
      <c r="D20" s="284"/>
      <c r="E20" s="284"/>
      <c r="F20" s="284"/>
      <c r="G20" s="284"/>
      <c r="H20" s="284"/>
      <c r="I20" s="284"/>
      <c r="J20" s="284"/>
      <c r="K20" s="629">
        <v>10000000</v>
      </c>
      <c r="L20" s="629">
        <f>10000000*70%</f>
        <v>7000000</v>
      </c>
      <c r="M20" s="629">
        <f>L20</f>
        <v>7000000</v>
      </c>
      <c r="N20" s="629">
        <f>M20</f>
        <v>7000000</v>
      </c>
      <c r="O20" s="629">
        <f t="shared" si="0"/>
        <v>0</v>
      </c>
    </row>
    <row r="21" spans="1:15" ht="21.95" customHeight="1">
      <c r="A21" s="284" t="s">
        <v>277</v>
      </c>
      <c r="B21" s="284" t="s">
        <v>218</v>
      </c>
      <c r="C21" s="284"/>
      <c r="D21" s="284"/>
      <c r="E21" s="284"/>
      <c r="F21" s="284"/>
      <c r="G21" s="284"/>
      <c r="H21" s="284"/>
      <c r="I21" s="284"/>
      <c r="J21" s="284"/>
      <c r="K21" s="629">
        <v>37240000</v>
      </c>
      <c r="L21" s="629">
        <f>37240000*70%</f>
        <v>26068000</v>
      </c>
      <c r="M21" s="629">
        <v>0</v>
      </c>
      <c r="N21" s="629">
        <v>0</v>
      </c>
      <c r="O21" s="629">
        <f t="shared" si="0"/>
        <v>0</v>
      </c>
    </row>
    <row r="22" spans="1:15" ht="21.95" customHeight="1">
      <c r="A22" s="284" t="s">
        <v>321</v>
      </c>
      <c r="B22" s="284" t="s">
        <v>322</v>
      </c>
      <c r="C22" s="284"/>
      <c r="D22" s="284"/>
      <c r="E22" s="284"/>
      <c r="F22" s="284"/>
      <c r="G22" s="284"/>
      <c r="H22" s="284"/>
      <c r="I22" s="284"/>
      <c r="J22" s="284"/>
      <c r="K22" s="629">
        <v>10000000</v>
      </c>
      <c r="L22" s="629">
        <f>10000000*70%</f>
        <v>7000000</v>
      </c>
      <c r="M22" s="629">
        <f>10000000*70%</f>
        <v>7000000</v>
      </c>
      <c r="N22" s="629">
        <f>10000000*70%</f>
        <v>7000000</v>
      </c>
      <c r="O22" s="629">
        <f t="shared" si="0"/>
        <v>0</v>
      </c>
    </row>
    <row r="23" spans="1:15" ht="21.95" customHeight="1">
      <c r="A23" s="284" t="s">
        <v>733</v>
      </c>
      <c r="B23" s="284" t="s">
        <v>772</v>
      </c>
      <c r="C23" s="284"/>
      <c r="D23" s="284"/>
      <c r="E23" s="284"/>
      <c r="F23" s="284"/>
      <c r="G23" s="284"/>
      <c r="H23" s="284"/>
      <c r="I23" s="284"/>
      <c r="J23" s="284"/>
      <c r="K23" s="629"/>
      <c r="L23" s="629">
        <v>0</v>
      </c>
      <c r="M23" s="629">
        <v>689301000</v>
      </c>
      <c r="N23" s="629"/>
      <c r="O23" s="629">
        <f t="shared" si="0"/>
        <v>-689301000</v>
      </c>
    </row>
    <row r="24" spans="1:15" ht="21.95" customHeight="1">
      <c r="A24" s="284" t="s">
        <v>1118</v>
      </c>
      <c r="B24" s="284" t="s">
        <v>1248</v>
      </c>
      <c r="C24" s="284"/>
      <c r="D24" s="284"/>
      <c r="E24" s="284"/>
      <c r="F24" s="284"/>
      <c r="G24" s="284"/>
      <c r="H24" s="284"/>
      <c r="I24" s="284"/>
      <c r="J24" s="284"/>
      <c r="K24" s="629"/>
      <c r="L24" s="629"/>
      <c r="M24" s="629">
        <v>0</v>
      </c>
      <c r="N24" s="629">
        <v>60000000</v>
      </c>
      <c r="O24" s="629">
        <f t="shared" si="0"/>
        <v>60000000</v>
      </c>
    </row>
    <row r="25" spans="1:15" ht="21.95" customHeight="1">
      <c r="A25" s="284"/>
      <c r="B25" s="292" t="s">
        <v>119</v>
      </c>
      <c r="C25" s="284"/>
      <c r="D25" s="284"/>
      <c r="E25" s="284"/>
      <c r="F25" s="284"/>
      <c r="G25" s="284"/>
      <c r="H25" s="284"/>
      <c r="I25" s="284"/>
      <c r="J25" s="284"/>
      <c r="K25" s="630">
        <f>SUM(K13:K22)</f>
        <v>409370940</v>
      </c>
      <c r="L25" s="630">
        <f>SUM(L13:L22)</f>
        <v>286559658</v>
      </c>
      <c r="M25" s="630">
        <f>SUM(M13:M24)</f>
        <v>1183988658</v>
      </c>
      <c r="N25" s="630">
        <f>SUM(N13:N24)</f>
        <v>654687658</v>
      </c>
      <c r="O25" s="630">
        <f t="shared" si="0"/>
        <v>-529301000</v>
      </c>
    </row>
    <row r="26" spans="1:15" ht="21.95" customHeight="1">
      <c r="A26" s="292" t="s">
        <v>279</v>
      </c>
      <c r="B26" s="292" t="s">
        <v>278</v>
      </c>
      <c r="C26" s="284"/>
      <c r="D26" s="284"/>
      <c r="E26" s="284"/>
      <c r="F26" s="284"/>
      <c r="G26" s="284"/>
      <c r="H26" s="284"/>
      <c r="I26" s="284"/>
      <c r="J26" s="284"/>
      <c r="K26" s="629"/>
      <c r="L26" s="629"/>
      <c r="M26" s="629"/>
      <c r="N26" s="629"/>
      <c r="O26" s="629">
        <f t="shared" si="0"/>
        <v>0</v>
      </c>
    </row>
    <row r="27" spans="1:15" ht="21.95" customHeight="1">
      <c r="A27" s="284" t="s">
        <v>281</v>
      </c>
      <c r="B27" s="284" t="s">
        <v>161</v>
      </c>
      <c r="C27" s="284"/>
      <c r="D27" s="284"/>
      <c r="E27" s="284"/>
      <c r="F27" s="284"/>
      <c r="G27" s="284"/>
      <c r="H27" s="284"/>
      <c r="I27" s="284"/>
      <c r="J27" s="284"/>
      <c r="K27" s="629">
        <v>720000000</v>
      </c>
      <c r="L27" s="629">
        <v>504000000</v>
      </c>
      <c r="M27" s="629">
        <f>L27</f>
        <v>504000000</v>
      </c>
      <c r="N27" s="629">
        <f>M27</f>
        <v>504000000</v>
      </c>
      <c r="O27" s="629">
        <f t="shared" si="0"/>
        <v>0</v>
      </c>
    </row>
    <row r="28" spans="1:15" ht="21.95" customHeight="1">
      <c r="A28" s="284" t="s">
        <v>282</v>
      </c>
      <c r="B28" s="284" t="s">
        <v>155</v>
      </c>
      <c r="C28" s="284"/>
      <c r="D28" s="284"/>
      <c r="E28" s="284"/>
      <c r="F28" s="284"/>
      <c r="G28" s="284"/>
      <c r="H28" s="284"/>
      <c r="I28" s="284"/>
      <c r="J28" s="284"/>
      <c r="K28" s="629">
        <v>40000000</v>
      </c>
      <c r="L28" s="629">
        <v>28000000</v>
      </c>
      <c r="M28" s="629">
        <v>28000000</v>
      </c>
      <c r="N28" s="629">
        <v>28000000</v>
      </c>
      <c r="O28" s="629">
        <f t="shared" si="0"/>
        <v>0</v>
      </c>
    </row>
    <row r="29" spans="1:15" ht="21.95" customHeight="1">
      <c r="A29" s="284" t="s">
        <v>283</v>
      </c>
      <c r="B29" s="284" t="s">
        <v>156</v>
      </c>
      <c r="C29" s="284"/>
      <c r="D29" s="284"/>
      <c r="E29" s="284"/>
      <c r="F29" s="284"/>
      <c r="G29" s="284"/>
      <c r="H29" s="284"/>
      <c r="I29" s="284"/>
      <c r="J29" s="284"/>
      <c r="K29" s="629">
        <v>14896000</v>
      </c>
      <c r="L29" s="629">
        <f>14896000*70%</f>
        <v>10427200</v>
      </c>
      <c r="M29" s="629">
        <f>14896000*70%</f>
        <v>10427200</v>
      </c>
      <c r="N29" s="629">
        <f>14896000*70%</f>
        <v>10427200</v>
      </c>
      <c r="O29" s="629">
        <f t="shared" si="0"/>
        <v>0</v>
      </c>
    </row>
    <row r="30" spans="1:15" ht="21.95" customHeight="1">
      <c r="A30" s="284" t="s">
        <v>603</v>
      </c>
      <c r="B30" s="284" t="s">
        <v>705</v>
      </c>
      <c r="C30" s="284"/>
      <c r="D30" s="284"/>
      <c r="E30" s="284"/>
      <c r="F30" s="284"/>
      <c r="G30" s="284"/>
      <c r="H30" s="284"/>
      <c r="I30" s="284"/>
      <c r="J30" s="284"/>
      <c r="K30" s="629"/>
      <c r="L30" s="629"/>
      <c r="M30" s="629">
        <f>260000000/3500*6000</f>
        <v>445714285.71428573</v>
      </c>
      <c r="N30" s="629">
        <v>0</v>
      </c>
      <c r="O30" s="629">
        <f t="shared" si="0"/>
        <v>-445714285.71428573</v>
      </c>
    </row>
    <row r="31" spans="1:15" ht="21.95" customHeight="1">
      <c r="A31" s="284" t="s">
        <v>653</v>
      </c>
      <c r="B31" s="284" t="s">
        <v>842</v>
      </c>
      <c r="C31" s="284"/>
      <c r="D31" s="284"/>
      <c r="E31" s="284"/>
      <c r="F31" s="284"/>
      <c r="G31" s="284"/>
      <c r="H31" s="284"/>
      <c r="I31" s="284"/>
      <c r="J31" s="284"/>
      <c r="K31" s="629"/>
      <c r="L31" s="629">
        <v>0</v>
      </c>
      <c r="M31" s="629">
        <v>60000000</v>
      </c>
      <c r="N31" s="629">
        <v>60000000</v>
      </c>
      <c r="O31" s="629">
        <f t="shared" si="0"/>
        <v>0</v>
      </c>
    </row>
    <row r="32" spans="1:15" ht="21.95" customHeight="1">
      <c r="A32" s="284" t="s">
        <v>298</v>
      </c>
      <c r="B32" s="284" t="s">
        <v>219</v>
      </c>
      <c r="C32" s="284"/>
      <c r="D32" s="284"/>
      <c r="E32" s="284"/>
      <c r="F32" s="284"/>
      <c r="G32" s="284"/>
      <c r="H32" s="284"/>
      <c r="I32" s="284"/>
      <c r="J32" s="284"/>
      <c r="K32" s="629">
        <v>50000000</v>
      </c>
      <c r="L32" s="629">
        <f>50000000*70%</f>
        <v>35000000</v>
      </c>
      <c r="M32" s="629">
        <v>0</v>
      </c>
      <c r="N32" s="629">
        <v>0</v>
      </c>
      <c r="O32" s="629">
        <f t="shared" si="0"/>
        <v>0</v>
      </c>
    </row>
    <row r="33" spans="1:15" ht="21.95" customHeight="1">
      <c r="A33" s="284"/>
      <c r="B33" s="292" t="s">
        <v>119</v>
      </c>
      <c r="C33" s="284"/>
      <c r="D33" s="284"/>
      <c r="E33" s="284"/>
      <c r="F33" s="284"/>
      <c r="G33" s="284"/>
      <c r="H33" s="284"/>
      <c r="I33" s="284"/>
      <c r="J33" s="284"/>
      <c r="K33" s="630">
        <f>SUM(K27:K32)</f>
        <v>824896000</v>
      </c>
      <c r="L33" s="630">
        <f>SUM(L27:L32)</f>
        <v>577427200</v>
      </c>
      <c r="M33" s="630">
        <f>SUM(M27:M32)</f>
        <v>1048141485.7142857</v>
      </c>
      <c r="N33" s="630">
        <f>SUM(N27:N32)</f>
        <v>602427200</v>
      </c>
      <c r="O33" s="630">
        <f t="shared" si="0"/>
        <v>-445714285.71428573</v>
      </c>
    </row>
    <row r="34" spans="1:15" ht="21.95" customHeight="1">
      <c r="A34" s="292" t="s">
        <v>285</v>
      </c>
      <c r="B34" s="292" t="s">
        <v>158</v>
      </c>
      <c r="C34" s="284"/>
      <c r="D34" s="284"/>
      <c r="E34" s="284"/>
      <c r="F34" s="284"/>
      <c r="G34" s="284"/>
      <c r="H34" s="284"/>
      <c r="I34" s="284"/>
      <c r="J34" s="284"/>
      <c r="K34" s="629"/>
      <c r="L34" s="629"/>
      <c r="M34" s="629"/>
      <c r="N34" s="629"/>
      <c r="O34" s="629">
        <f t="shared" si="0"/>
        <v>0</v>
      </c>
    </row>
    <row r="35" spans="1:15" ht="21.95" customHeight="1">
      <c r="A35" s="284" t="s">
        <v>286</v>
      </c>
      <c r="B35" s="284" t="s">
        <v>55</v>
      </c>
      <c r="C35" s="284"/>
      <c r="D35" s="284"/>
      <c r="E35" s="284"/>
      <c r="F35" s="284"/>
      <c r="G35" s="284"/>
      <c r="H35" s="284"/>
      <c r="I35" s="284"/>
      <c r="J35" s="284"/>
      <c r="K35" s="629">
        <v>126000000</v>
      </c>
      <c r="L35" s="629">
        <v>88200000</v>
      </c>
      <c r="M35" s="629">
        <v>120000000</v>
      </c>
      <c r="N35" s="629">
        <v>120000000</v>
      </c>
      <c r="O35" s="629">
        <f t="shared" si="0"/>
        <v>0</v>
      </c>
    </row>
    <row r="36" spans="1:15" ht="21.95" customHeight="1">
      <c r="A36" s="284" t="s">
        <v>288</v>
      </c>
      <c r="B36" s="284" t="s">
        <v>287</v>
      </c>
      <c r="C36" s="284"/>
      <c r="D36" s="284"/>
      <c r="E36" s="284"/>
      <c r="F36" s="284"/>
      <c r="G36" s="284"/>
      <c r="H36" s="284"/>
      <c r="I36" s="284"/>
      <c r="J36" s="284"/>
      <c r="K36" s="629">
        <v>3724000</v>
      </c>
      <c r="L36" s="629">
        <f>3724000*70%</f>
        <v>2606800</v>
      </c>
      <c r="M36" s="629">
        <v>22606800</v>
      </c>
      <c r="N36" s="629">
        <v>22606800</v>
      </c>
      <c r="O36" s="629">
        <f t="shared" si="0"/>
        <v>0</v>
      </c>
    </row>
    <row r="37" spans="1:15" ht="21.95" customHeight="1">
      <c r="A37" s="284" t="s">
        <v>387</v>
      </c>
      <c r="B37" s="284" t="s">
        <v>469</v>
      </c>
      <c r="C37" s="284"/>
      <c r="D37" s="284"/>
      <c r="E37" s="284"/>
      <c r="F37" s="284"/>
      <c r="G37" s="284"/>
      <c r="H37" s="284"/>
      <c r="I37" s="284"/>
      <c r="J37" s="284"/>
      <c r="K37" s="629">
        <v>37240000</v>
      </c>
      <c r="L37" s="629">
        <f>115000000*70%</f>
        <v>80500000</v>
      </c>
      <c r="M37" s="629">
        <f>115000000*70%</f>
        <v>80500000</v>
      </c>
      <c r="N37" s="629">
        <f>115000000*70%</f>
        <v>80500000</v>
      </c>
      <c r="O37" s="629">
        <f t="shared" si="0"/>
        <v>0</v>
      </c>
    </row>
    <row r="38" spans="1:15" ht="21.95" customHeight="1">
      <c r="A38" s="284" t="s">
        <v>289</v>
      </c>
      <c r="B38" s="284" t="s">
        <v>290</v>
      </c>
      <c r="C38" s="284"/>
      <c r="D38" s="284"/>
      <c r="E38" s="284"/>
      <c r="F38" s="284"/>
      <c r="G38" s="284"/>
      <c r="H38" s="284"/>
      <c r="I38" s="284"/>
      <c r="J38" s="284"/>
      <c r="K38" s="629">
        <v>37240000</v>
      </c>
      <c r="L38" s="629">
        <f>37240000*70%</f>
        <v>26068000</v>
      </c>
      <c r="M38" s="629">
        <f>37240000*70%</f>
        <v>26068000</v>
      </c>
      <c r="N38" s="629">
        <f>37240000*70%</f>
        <v>26068000</v>
      </c>
      <c r="O38" s="629">
        <f t="shared" si="0"/>
        <v>0</v>
      </c>
    </row>
    <row r="39" spans="1:15" ht="21.95" customHeight="1">
      <c r="A39" s="284"/>
      <c r="B39" s="292" t="s">
        <v>119</v>
      </c>
      <c r="C39" s="284"/>
      <c r="D39" s="284"/>
      <c r="E39" s="284"/>
      <c r="F39" s="284"/>
      <c r="G39" s="284"/>
      <c r="H39" s="284"/>
      <c r="I39" s="284"/>
      <c r="J39" s="284"/>
      <c r="K39" s="630">
        <f>SUM(K35:K38)</f>
        <v>204204000</v>
      </c>
      <c r="L39" s="630">
        <f>SUM(L35:L38)</f>
        <v>197374800</v>
      </c>
      <c r="M39" s="630">
        <f>SUM(M35:M38)</f>
        <v>249174800</v>
      </c>
      <c r="N39" s="630">
        <f>SUM(N35:N38)</f>
        <v>249174800</v>
      </c>
      <c r="O39" s="630">
        <f t="shared" si="0"/>
        <v>0</v>
      </c>
    </row>
    <row r="40" spans="1:15" ht="21.95" customHeight="1">
      <c r="A40" s="292" t="s">
        <v>293</v>
      </c>
      <c r="B40" s="292" t="s">
        <v>292</v>
      </c>
      <c r="C40" s="284"/>
      <c r="D40" s="284"/>
      <c r="E40" s="284"/>
      <c r="F40" s="284"/>
      <c r="G40" s="284"/>
      <c r="H40" s="284"/>
      <c r="I40" s="284"/>
      <c r="J40" s="284"/>
      <c r="K40" s="629"/>
      <c r="L40" s="629"/>
      <c r="M40" s="629"/>
      <c r="N40" s="629"/>
      <c r="O40" s="629">
        <f t="shared" si="0"/>
        <v>0</v>
      </c>
    </row>
    <row r="41" spans="1:15" ht="21.95" customHeight="1">
      <c r="A41" s="292" t="s">
        <v>294</v>
      </c>
      <c r="B41" s="292" t="s">
        <v>291</v>
      </c>
      <c r="C41" s="284"/>
      <c r="D41" s="284"/>
      <c r="E41" s="284"/>
      <c r="F41" s="284"/>
      <c r="G41" s="284"/>
      <c r="H41" s="284"/>
      <c r="I41" s="284"/>
      <c r="J41" s="284"/>
      <c r="K41" s="629"/>
      <c r="L41" s="629"/>
      <c r="M41" s="629"/>
      <c r="N41" s="629"/>
      <c r="O41" s="629">
        <f t="shared" si="0"/>
        <v>0</v>
      </c>
    </row>
    <row r="42" spans="1:15" ht="21.95" customHeight="1">
      <c r="A42" s="284" t="s">
        <v>295</v>
      </c>
      <c r="B42" s="284" t="s">
        <v>176</v>
      </c>
      <c r="C42" s="633"/>
      <c r="D42" s="634">
        <v>5020564000</v>
      </c>
      <c r="E42" s="633"/>
      <c r="F42" s="635">
        <v>0</v>
      </c>
      <c r="G42" s="635"/>
      <c r="H42" s="635"/>
      <c r="I42" s="635"/>
      <c r="J42" s="635"/>
      <c r="K42" s="300">
        <v>2234400</v>
      </c>
      <c r="L42" s="300">
        <f>2234400*70%</f>
        <v>1564080</v>
      </c>
      <c r="M42" s="300">
        <v>21564080</v>
      </c>
      <c r="N42" s="300">
        <v>21564080</v>
      </c>
      <c r="O42" s="300">
        <f t="shared" si="0"/>
        <v>0</v>
      </c>
    </row>
    <row r="43" spans="1:15" ht="21.95" customHeight="1">
      <c r="A43" s="284" t="s">
        <v>296</v>
      </c>
      <c r="B43" s="284" t="s">
        <v>177</v>
      </c>
      <c r="C43" s="379"/>
      <c r="D43" s="467" t="e">
        <f>#REF!-D42</f>
        <v>#REF!</v>
      </c>
      <c r="E43" s="379"/>
      <c r="F43" s="379"/>
      <c r="G43" s="359">
        <v>8831235000</v>
      </c>
      <c r="H43" s="379"/>
      <c r="I43" s="379"/>
      <c r="J43" s="379"/>
      <c r="K43" s="300">
        <v>3000000</v>
      </c>
      <c r="L43" s="300">
        <f>3000000*70%</f>
        <v>2100000</v>
      </c>
      <c r="M43" s="300">
        <v>0</v>
      </c>
      <c r="N43" s="300">
        <v>0</v>
      </c>
      <c r="O43" s="300">
        <f t="shared" si="0"/>
        <v>0</v>
      </c>
    </row>
    <row r="44" spans="1:15" ht="21.95" customHeight="1">
      <c r="A44" s="284"/>
      <c r="B44" s="292" t="s">
        <v>119</v>
      </c>
      <c r="C44" s="379"/>
      <c r="D44" s="379"/>
      <c r="E44" s="379"/>
      <c r="F44" s="379">
        <f>1386274192-71600000-798000-176160000-12600000</f>
        <v>1125116192</v>
      </c>
      <c r="G44" s="379"/>
      <c r="H44" s="379"/>
      <c r="I44" s="379"/>
      <c r="J44" s="379"/>
      <c r="K44" s="627">
        <f>SUM(K42:K43)</f>
        <v>5234400</v>
      </c>
      <c r="L44" s="627">
        <f>SUM(L42:L43)</f>
        <v>3664080</v>
      </c>
      <c r="M44" s="627">
        <f>SUM(M42:M43)</f>
        <v>21564080</v>
      </c>
      <c r="N44" s="627">
        <f>SUM(N42:N43)</f>
        <v>21564080</v>
      </c>
      <c r="O44" s="627">
        <f t="shared" si="0"/>
        <v>0</v>
      </c>
    </row>
    <row r="45" spans="1:15" ht="21.95" customHeight="1">
      <c r="A45" s="292" t="s">
        <v>338</v>
      </c>
      <c r="B45" s="292" t="s">
        <v>683</v>
      </c>
      <c r="C45" s="379"/>
      <c r="D45" s="379"/>
      <c r="E45" s="379"/>
      <c r="F45" s="379"/>
      <c r="G45" s="379"/>
      <c r="H45" s="379"/>
      <c r="I45" s="379"/>
      <c r="J45" s="379"/>
      <c r="K45" s="627"/>
      <c r="L45" s="627"/>
      <c r="M45" s="627"/>
      <c r="N45" s="627"/>
      <c r="O45" s="627">
        <f t="shared" si="0"/>
        <v>0</v>
      </c>
    </row>
    <row r="46" spans="1:15" ht="21.95" customHeight="1">
      <c r="A46" s="284" t="s">
        <v>446</v>
      </c>
      <c r="B46" s="284" t="s">
        <v>846</v>
      </c>
      <c r="C46" s="379"/>
      <c r="D46" s="379"/>
      <c r="E46" s="379"/>
      <c r="F46" s="379"/>
      <c r="G46" s="379"/>
      <c r="H46" s="379"/>
      <c r="I46" s="379"/>
      <c r="J46" s="379"/>
      <c r="K46" s="627"/>
      <c r="L46" s="627">
        <v>0</v>
      </c>
      <c r="M46" s="300">
        <v>250000000</v>
      </c>
      <c r="N46" s="300">
        <v>0</v>
      </c>
      <c r="O46" s="300">
        <f t="shared" si="0"/>
        <v>-250000000</v>
      </c>
    </row>
    <row r="47" spans="1:15" ht="21.95" customHeight="1">
      <c r="A47" s="284" t="s">
        <v>825</v>
      </c>
      <c r="B47" s="284" t="s">
        <v>845</v>
      </c>
      <c r="C47" s="379"/>
      <c r="D47" s="379"/>
      <c r="E47" s="379"/>
      <c r="F47" s="379"/>
      <c r="G47" s="379"/>
      <c r="H47" s="379"/>
      <c r="I47" s="379"/>
      <c r="J47" s="379"/>
      <c r="K47" s="627"/>
      <c r="L47" s="627">
        <v>0</v>
      </c>
      <c r="M47" s="300">
        <v>300000000</v>
      </c>
      <c r="N47" s="300">
        <v>0</v>
      </c>
      <c r="O47" s="300">
        <f t="shared" si="0"/>
        <v>-300000000</v>
      </c>
    </row>
    <row r="48" spans="1:15" ht="21.95" customHeight="1">
      <c r="A48" s="284" t="s">
        <v>1234</v>
      </c>
      <c r="B48" s="284" t="s">
        <v>1235</v>
      </c>
      <c r="C48" s="379"/>
      <c r="D48" s="379"/>
      <c r="E48" s="379"/>
      <c r="F48" s="379"/>
      <c r="G48" s="379"/>
      <c r="H48" s="379"/>
      <c r="I48" s="379"/>
      <c r="J48" s="379"/>
      <c r="K48" s="627"/>
      <c r="L48" s="627"/>
      <c r="M48" s="300">
        <v>0</v>
      </c>
      <c r="N48" s="300">
        <v>600000000</v>
      </c>
      <c r="O48" s="300">
        <f t="shared" si="0"/>
        <v>600000000</v>
      </c>
    </row>
    <row r="49" spans="1:16" ht="21.95" customHeight="1">
      <c r="A49" s="284"/>
      <c r="B49" s="284" t="s">
        <v>119</v>
      </c>
      <c r="C49" s="379"/>
      <c r="D49" s="379"/>
      <c r="E49" s="379"/>
      <c r="F49" s="379"/>
      <c r="G49" s="379"/>
      <c r="H49" s="379"/>
      <c r="I49" s="379"/>
      <c r="J49" s="379"/>
      <c r="K49" s="627"/>
      <c r="L49" s="627"/>
      <c r="M49" s="627">
        <f>SUM(M46:M48)</f>
        <v>550000000</v>
      </c>
      <c r="N49" s="627">
        <f>SUM(N46:N48)</f>
        <v>600000000</v>
      </c>
      <c r="O49" s="627">
        <f t="shared" si="0"/>
        <v>50000000</v>
      </c>
    </row>
    <row r="50" spans="1:16" ht="21.95" customHeight="1">
      <c r="A50" s="421" t="s">
        <v>611</v>
      </c>
      <c r="B50" s="636" t="s">
        <v>612</v>
      </c>
      <c r="C50" s="284"/>
      <c r="D50" s="284"/>
      <c r="E50" s="284"/>
      <c r="F50" s="284"/>
      <c r="G50" s="284"/>
      <c r="H50" s="284"/>
      <c r="I50" s="284"/>
      <c r="J50" s="284"/>
      <c r="K50" s="284"/>
      <c r="L50" s="284">
        <v>0</v>
      </c>
      <c r="M50" s="284"/>
      <c r="N50" s="284"/>
      <c r="O50" s="284">
        <f t="shared" si="0"/>
        <v>0</v>
      </c>
      <c r="P50" s="637"/>
    </row>
    <row r="51" spans="1:16" ht="21.95" customHeight="1">
      <c r="A51" s="283" t="s">
        <v>433</v>
      </c>
      <c r="B51" s="284" t="s">
        <v>1134</v>
      </c>
      <c r="C51" s="292"/>
      <c r="D51" s="292"/>
      <c r="E51" s="292"/>
      <c r="F51" s="292"/>
      <c r="G51" s="292"/>
      <c r="H51" s="292"/>
      <c r="I51" s="292"/>
      <c r="J51" s="292"/>
      <c r="K51" s="629">
        <v>1050000000</v>
      </c>
      <c r="L51" s="629">
        <v>0</v>
      </c>
      <c r="M51" s="629">
        <v>0</v>
      </c>
      <c r="N51" s="629">
        <v>60000000</v>
      </c>
      <c r="O51" s="629">
        <f t="shared" si="0"/>
        <v>60000000</v>
      </c>
      <c r="P51" s="637"/>
    </row>
    <row r="52" spans="1:16" ht="21.95" customHeight="1">
      <c r="A52" s="283"/>
      <c r="B52" s="292" t="s">
        <v>119</v>
      </c>
      <c r="C52" s="284"/>
      <c r="D52" s="284"/>
      <c r="E52" s="284"/>
      <c r="F52" s="284"/>
      <c r="G52" s="284"/>
      <c r="H52" s="284"/>
      <c r="I52" s="284"/>
      <c r="J52" s="292">
        <f>SUM(J51)</f>
        <v>0</v>
      </c>
      <c r="K52" s="292">
        <f>SUM(K51)</f>
        <v>1050000000</v>
      </c>
      <c r="L52" s="292">
        <f>SUM(L51)</f>
        <v>0</v>
      </c>
      <c r="M52" s="627">
        <f>SUM(M51:M51)</f>
        <v>0</v>
      </c>
      <c r="N52" s="292">
        <f>SUM(N51:N51)</f>
        <v>60000000</v>
      </c>
      <c r="O52" s="292">
        <f t="shared" si="0"/>
        <v>60000000</v>
      </c>
      <c r="P52" s="637"/>
    </row>
    <row r="53" spans="1:16" ht="21.95" customHeight="1">
      <c r="A53" s="284"/>
      <c r="B53" s="292" t="s">
        <v>42</v>
      </c>
      <c r="C53" s="379"/>
      <c r="D53" s="379"/>
      <c r="E53" s="379"/>
      <c r="F53" s="379"/>
      <c r="G53" s="379"/>
      <c r="H53" s="379"/>
      <c r="I53" s="379"/>
      <c r="J53" s="379"/>
      <c r="K53" s="627">
        <f>K44+K39+K33+K25+K10</f>
        <v>13296213740</v>
      </c>
      <c r="L53" s="627">
        <f>L52+L44+L39+L33+L25+L10</f>
        <v>33023977738</v>
      </c>
      <c r="M53" s="627">
        <f>M49+M44+M39+M33+M25+M10+M52</f>
        <v>44523310423.714287</v>
      </c>
      <c r="N53" s="627">
        <f>N49+N44+N39+N33+N25+N10+N52</f>
        <v>50413533338</v>
      </c>
      <c r="O53" s="627">
        <f t="shared" si="0"/>
        <v>5890222914.2857132</v>
      </c>
    </row>
  </sheetData>
  <pageMargins left="0.45" right="0.26" top="1.07" bottom="0.52" header="0.53" footer="0.17"/>
  <pageSetup scale="58" orientation="portrait" r:id="rId1"/>
  <headerFooter>
    <oddHeader>&amp;C&amp;"Algerian,Bold"&amp;20Wasaaradda Waxbarashadda &amp; Tacliinta Sare.</oddHeader>
    <oddFooter>&amp;CN.B 2.1.1.1 waxaaku jira 250101800 oo ah Advance M/hawlgab ah &amp;R
&amp;"Times New Roman,Bold"&amp;14 35</oddFooter>
  </headerFooter>
  <colBreaks count="1" manualBreakCount="1">
    <brk id="15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workbookViewId="0">
      <selection activeCell="D7" sqref="D7"/>
    </sheetView>
  </sheetViews>
  <sheetFormatPr defaultRowHeight="24.95" customHeight="1"/>
  <cols>
    <col min="1" max="1" width="18.1640625" style="386" bestFit="1" customWidth="1"/>
    <col min="2" max="2" width="79" style="386" bestFit="1" customWidth="1"/>
    <col min="3" max="3" width="23.5" style="386" hidden="1" customWidth="1"/>
    <col min="4" max="5" width="27.6640625" style="386" bestFit="1" customWidth="1"/>
    <col min="6" max="6" width="24.5" style="386" bestFit="1" customWidth="1"/>
    <col min="7" max="16384" width="9.33203125" style="386"/>
  </cols>
  <sheetData>
    <row r="1" spans="1:6" ht="27" customHeight="1">
      <c r="A1" s="373" t="s">
        <v>44</v>
      </c>
      <c r="B1" s="443" t="s">
        <v>685</v>
      </c>
      <c r="C1" s="373"/>
      <c r="D1" s="476"/>
      <c r="E1" s="476"/>
      <c r="F1" s="373"/>
    </row>
    <row r="2" spans="1:6" ht="27" customHeight="1">
      <c r="A2" s="378" t="s">
        <v>28</v>
      </c>
      <c r="B2" s="443" t="s">
        <v>29</v>
      </c>
      <c r="C2" s="378" t="s">
        <v>297</v>
      </c>
      <c r="D2" s="474" t="s">
        <v>641</v>
      </c>
      <c r="E2" s="474" t="s">
        <v>1111</v>
      </c>
      <c r="F2" s="378" t="s">
        <v>63</v>
      </c>
    </row>
    <row r="3" spans="1:6" ht="27" customHeight="1">
      <c r="A3" s="373" t="s">
        <v>30</v>
      </c>
      <c r="B3" s="373" t="s">
        <v>31</v>
      </c>
      <c r="C3" s="300"/>
      <c r="D3" s="638"/>
      <c r="E3" s="638"/>
      <c r="F3" s="300"/>
    </row>
    <row r="4" spans="1:6" ht="27" customHeight="1">
      <c r="A4" s="292" t="s">
        <v>248</v>
      </c>
      <c r="B4" s="292" t="s">
        <v>165</v>
      </c>
      <c r="C4" s="629"/>
      <c r="D4" s="639"/>
      <c r="E4" s="639"/>
      <c r="F4" s="629"/>
    </row>
    <row r="5" spans="1:6" ht="27" customHeight="1">
      <c r="A5" s="292" t="s">
        <v>249</v>
      </c>
      <c r="B5" s="292" t="s">
        <v>250</v>
      </c>
      <c r="C5" s="629"/>
      <c r="D5" s="639"/>
      <c r="E5" s="639"/>
      <c r="F5" s="629"/>
    </row>
    <row r="6" spans="1:6" ht="27" customHeight="1">
      <c r="A6" s="284" t="s">
        <v>247</v>
      </c>
      <c r="B6" s="284" t="s">
        <v>32</v>
      </c>
      <c r="C6" s="629">
        <v>0</v>
      </c>
      <c r="D6" s="639">
        <v>30513600</v>
      </c>
      <c r="E6" s="639">
        <v>30513600</v>
      </c>
      <c r="F6" s="629">
        <f>E6-D6</f>
        <v>0</v>
      </c>
    </row>
    <row r="7" spans="1:6" ht="27" customHeight="1">
      <c r="A7" s="284" t="s">
        <v>251</v>
      </c>
      <c r="B7" s="284" t="s">
        <v>33</v>
      </c>
      <c r="C7" s="629">
        <v>0</v>
      </c>
      <c r="D7" s="639"/>
      <c r="E7" s="639"/>
      <c r="F7" s="629">
        <f t="shared" ref="F7:F47" si="0">E7-D7</f>
        <v>0</v>
      </c>
    </row>
    <row r="8" spans="1:6" ht="27" customHeight="1">
      <c r="A8" s="284" t="s">
        <v>252</v>
      </c>
      <c r="B8" s="284" t="s">
        <v>848</v>
      </c>
      <c r="C8" s="629"/>
      <c r="D8" s="639">
        <v>36000000</v>
      </c>
      <c r="E8" s="639">
        <v>36000000</v>
      </c>
      <c r="F8" s="629">
        <f t="shared" si="0"/>
        <v>0</v>
      </c>
    </row>
    <row r="9" spans="1:6" ht="27" customHeight="1">
      <c r="A9" s="284"/>
      <c r="B9" s="292" t="s">
        <v>119</v>
      </c>
      <c r="C9" s="630">
        <f>SUM(C6:C8)</f>
        <v>0</v>
      </c>
      <c r="D9" s="640">
        <f>SUM(D6:D8)</f>
        <v>66513600</v>
      </c>
      <c r="E9" s="640">
        <f>SUM(E6:E8)</f>
        <v>66513600</v>
      </c>
      <c r="F9" s="630">
        <f t="shared" si="0"/>
        <v>0</v>
      </c>
    </row>
    <row r="10" spans="1:6" ht="27" customHeight="1">
      <c r="A10" s="292" t="s">
        <v>262</v>
      </c>
      <c r="B10" s="292" t="s">
        <v>263</v>
      </c>
      <c r="C10" s="629"/>
      <c r="D10" s="639"/>
      <c r="E10" s="639"/>
      <c r="F10" s="629">
        <f t="shared" si="0"/>
        <v>0</v>
      </c>
    </row>
    <row r="11" spans="1:6" ht="27" customHeight="1">
      <c r="A11" s="292" t="s">
        <v>265</v>
      </c>
      <c r="B11" s="292" t="s">
        <v>264</v>
      </c>
      <c r="C11" s="629"/>
      <c r="D11" s="639"/>
      <c r="E11" s="639"/>
      <c r="F11" s="629">
        <f t="shared" si="0"/>
        <v>0</v>
      </c>
    </row>
    <row r="12" spans="1:6" ht="27" customHeight="1">
      <c r="A12" s="284" t="s">
        <v>266</v>
      </c>
      <c r="B12" s="284" t="s">
        <v>38</v>
      </c>
      <c r="C12" s="629">
        <v>121024000</v>
      </c>
      <c r="D12" s="639">
        <v>21000000</v>
      </c>
      <c r="E12" s="639">
        <v>26000000</v>
      </c>
      <c r="F12" s="629">
        <f t="shared" si="0"/>
        <v>5000000</v>
      </c>
    </row>
    <row r="13" spans="1:6" ht="27" customHeight="1">
      <c r="A13" s="284" t="s">
        <v>308</v>
      </c>
      <c r="B13" s="284" t="s">
        <v>426</v>
      </c>
      <c r="C13" s="629"/>
      <c r="D13" s="639">
        <v>50000000</v>
      </c>
      <c r="E13" s="639">
        <v>50000000</v>
      </c>
      <c r="F13" s="629">
        <f t="shared" si="0"/>
        <v>0</v>
      </c>
    </row>
    <row r="14" spans="1:6" ht="27" customHeight="1">
      <c r="A14" s="284" t="s">
        <v>269</v>
      </c>
      <c r="B14" s="284" t="s">
        <v>186</v>
      </c>
      <c r="C14" s="629">
        <v>20300000</v>
      </c>
      <c r="D14" s="639">
        <v>1800000</v>
      </c>
      <c r="E14" s="639">
        <v>6800000</v>
      </c>
      <c r="F14" s="629">
        <f t="shared" si="0"/>
        <v>5000000</v>
      </c>
    </row>
    <row r="15" spans="1:6" ht="27" customHeight="1">
      <c r="A15" s="284" t="s">
        <v>271</v>
      </c>
      <c r="B15" s="284" t="s">
        <v>154</v>
      </c>
      <c r="C15" s="629">
        <v>140000000</v>
      </c>
      <c r="D15" s="639"/>
      <c r="E15" s="639"/>
      <c r="F15" s="629">
        <f t="shared" si="0"/>
        <v>0</v>
      </c>
    </row>
    <row r="16" spans="1:6" ht="27" customHeight="1">
      <c r="A16" s="284" t="s">
        <v>272</v>
      </c>
      <c r="B16" s="284" t="s">
        <v>54</v>
      </c>
      <c r="C16" s="629">
        <v>50000000</v>
      </c>
      <c r="D16" s="639">
        <v>5000000</v>
      </c>
      <c r="E16" s="639">
        <v>10000000</v>
      </c>
      <c r="F16" s="629">
        <f t="shared" si="0"/>
        <v>5000000</v>
      </c>
    </row>
    <row r="17" spans="1:6" ht="27" customHeight="1">
      <c r="A17" s="284" t="s">
        <v>274</v>
      </c>
      <c r="B17" s="284" t="s">
        <v>164</v>
      </c>
      <c r="C17" s="629">
        <v>3976000</v>
      </c>
      <c r="D17" s="639">
        <v>6500000</v>
      </c>
      <c r="E17" s="639">
        <v>6500000</v>
      </c>
      <c r="F17" s="629">
        <f t="shared" si="0"/>
        <v>0</v>
      </c>
    </row>
    <row r="18" spans="1:6" ht="27" customHeight="1">
      <c r="A18" s="284" t="s">
        <v>275</v>
      </c>
      <c r="B18" s="284" t="s">
        <v>40</v>
      </c>
      <c r="C18" s="629">
        <v>0</v>
      </c>
      <c r="D18" s="639"/>
      <c r="E18" s="639"/>
      <c r="F18" s="629">
        <f t="shared" si="0"/>
        <v>0</v>
      </c>
    </row>
    <row r="19" spans="1:6" ht="27" customHeight="1">
      <c r="A19" s="284" t="s">
        <v>350</v>
      </c>
      <c r="B19" s="284" t="s">
        <v>470</v>
      </c>
      <c r="C19" s="629">
        <v>10000000</v>
      </c>
      <c r="D19" s="639"/>
      <c r="E19" s="639"/>
      <c r="F19" s="629">
        <f t="shared" si="0"/>
        <v>0</v>
      </c>
    </row>
    <row r="20" spans="1:6" ht="27" customHeight="1">
      <c r="A20" s="284" t="s">
        <v>277</v>
      </c>
      <c r="B20" s="284" t="s">
        <v>218</v>
      </c>
      <c r="C20" s="629">
        <v>9500000</v>
      </c>
      <c r="D20" s="639"/>
      <c r="E20" s="639"/>
      <c r="F20" s="629">
        <f t="shared" si="0"/>
        <v>0</v>
      </c>
    </row>
    <row r="21" spans="1:6" ht="27" customHeight="1">
      <c r="A21" s="284" t="s">
        <v>321</v>
      </c>
      <c r="B21" s="284" t="s">
        <v>322</v>
      </c>
      <c r="C21" s="629">
        <v>0</v>
      </c>
      <c r="D21" s="639"/>
      <c r="E21" s="639"/>
      <c r="F21" s="629">
        <f t="shared" si="0"/>
        <v>0</v>
      </c>
    </row>
    <row r="22" spans="1:6" ht="27" customHeight="1">
      <c r="A22" s="284"/>
      <c r="B22" s="292" t="s">
        <v>119</v>
      </c>
      <c r="C22" s="630">
        <f>SUM(C12:C21)</f>
        <v>354800000</v>
      </c>
      <c r="D22" s="640">
        <f>SUM(D12:D21)</f>
        <v>84300000</v>
      </c>
      <c r="E22" s="640">
        <f>SUM(E12:E21)</f>
        <v>99300000</v>
      </c>
      <c r="F22" s="630">
        <f t="shared" si="0"/>
        <v>15000000</v>
      </c>
    </row>
    <row r="23" spans="1:6" ht="27" customHeight="1">
      <c r="A23" s="292" t="s">
        <v>279</v>
      </c>
      <c r="B23" s="292" t="s">
        <v>278</v>
      </c>
      <c r="C23" s="629"/>
      <c r="D23" s="639"/>
      <c r="E23" s="639"/>
      <c r="F23" s="629">
        <f t="shared" si="0"/>
        <v>0</v>
      </c>
    </row>
    <row r="24" spans="1:6" ht="27" customHeight="1">
      <c r="A24" s="284" t="s">
        <v>281</v>
      </c>
      <c r="B24" s="284" t="s">
        <v>161</v>
      </c>
      <c r="C24" s="629">
        <v>90000000</v>
      </c>
      <c r="D24" s="639">
        <v>70000000</v>
      </c>
      <c r="E24" s="639">
        <v>80000000</v>
      </c>
      <c r="F24" s="629">
        <f t="shared" si="0"/>
        <v>10000000</v>
      </c>
    </row>
    <row r="25" spans="1:6" ht="27" customHeight="1">
      <c r="A25" s="284" t="s">
        <v>282</v>
      </c>
      <c r="B25" s="284" t="s">
        <v>155</v>
      </c>
      <c r="C25" s="629">
        <v>57000000</v>
      </c>
      <c r="D25" s="639">
        <v>50000000</v>
      </c>
      <c r="E25" s="639">
        <v>50000000</v>
      </c>
      <c r="F25" s="629">
        <f t="shared" si="0"/>
        <v>0</v>
      </c>
    </row>
    <row r="26" spans="1:6" ht="27" customHeight="1">
      <c r="A26" s="284" t="s">
        <v>283</v>
      </c>
      <c r="B26" s="284" t="s">
        <v>156</v>
      </c>
      <c r="C26" s="629">
        <v>10000000</v>
      </c>
      <c r="D26" s="639">
        <v>1000000</v>
      </c>
      <c r="E26" s="639">
        <v>1000000</v>
      </c>
      <c r="F26" s="629">
        <f t="shared" si="0"/>
        <v>0</v>
      </c>
    </row>
    <row r="27" spans="1:6" ht="27" customHeight="1">
      <c r="A27" s="284" t="s">
        <v>336</v>
      </c>
      <c r="B27" s="284" t="s">
        <v>849</v>
      </c>
      <c r="C27" s="629">
        <v>0</v>
      </c>
      <c r="D27" s="639"/>
      <c r="E27" s="639"/>
      <c r="F27" s="629">
        <f t="shared" si="0"/>
        <v>0</v>
      </c>
    </row>
    <row r="28" spans="1:6" ht="27" customHeight="1">
      <c r="A28" s="284" t="s">
        <v>298</v>
      </c>
      <c r="B28" s="284" t="s">
        <v>219</v>
      </c>
      <c r="C28" s="629">
        <v>0</v>
      </c>
      <c r="D28" s="639"/>
      <c r="E28" s="639"/>
      <c r="F28" s="629">
        <f t="shared" si="0"/>
        <v>0</v>
      </c>
    </row>
    <row r="29" spans="1:6" ht="27" customHeight="1">
      <c r="A29" s="284"/>
      <c r="B29" s="292" t="s">
        <v>119</v>
      </c>
      <c r="C29" s="630">
        <f>SUM(C24:C28)</f>
        <v>157000000</v>
      </c>
      <c r="D29" s="640">
        <f>SUM(D24:D28)</f>
        <v>121000000</v>
      </c>
      <c r="E29" s="640">
        <f>SUM(E24:E28)</f>
        <v>131000000</v>
      </c>
      <c r="F29" s="630">
        <f t="shared" si="0"/>
        <v>10000000</v>
      </c>
    </row>
    <row r="30" spans="1:6" ht="27" customHeight="1">
      <c r="A30" s="292" t="s">
        <v>285</v>
      </c>
      <c r="B30" s="292" t="s">
        <v>158</v>
      </c>
      <c r="C30" s="629"/>
      <c r="D30" s="639"/>
      <c r="E30" s="639"/>
      <c r="F30" s="629">
        <f t="shared" si="0"/>
        <v>0</v>
      </c>
    </row>
    <row r="31" spans="1:6" ht="27" customHeight="1">
      <c r="A31" s="284" t="s">
        <v>286</v>
      </c>
      <c r="B31" s="284" t="s">
        <v>55</v>
      </c>
      <c r="C31" s="629">
        <v>60000000</v>
      </c>
      <c r="D31" s="639">
        <f>C31</f>
        <v>60000000</v>
      </c>
      <c r="E31" s="639">
        <f>D31</f>
        <v>60000000</v>
      </c>
      <c r="F31" s="629">
        <f t="shared" si="0"/>
        <v>0</v>
      </c>
    </row>
    <row r="32" spans="1:6" ht="27" customHeight="1">
      <c r="A32" s="284" t="s">
        <v>288</v>
      </c>
      <c r="B32" s="284" t="s">
        <v>287</v>
      </c>
      <c r="C32" s="629">
        <v>5000000</v>
      </c>
      <c r="D32" s="639">
        <f>C32</f>
        <v>5000000</v>
      </c>
      <c r="E32" s="639">
        <f>D32</f>
        <v>5000000</v>
      </c>
      <c r="F32" s="629">
        <f t="shared" si="0"/>
        <v>0</v>
      </c>
    </row>
    <row r="33" spans="1:12" ht="27" customHeight="1">
      <c r="A33" s="284" t="s">
        <v>387</v>
      </c>
      <c r="B33" s="284" t="s">
        <v>469</v>
      </c>
      <c r="C33" s="629">
        <v>0</v>
      </c>
      <c r="D33" s="639"/>
      <c r="E33" s="639"/>
      <c r="F33" s="629">
        <f t="shared" si="0"/>
        <v>0</v>
      </c>
    </row>
    <row r="34" spans="1:12" ht="27" customHeight="1">
      <c r="A34" s="284" t="s">
        <v>289</v>
      </c>
      <c r="B34" s="284" t="s">
        <v>290</v>
      </c>
      <c r="C34" s="629">
        <v>0</v>
      </c>
      <c r="D34" s="639"/>
      <c r="E34" s="639"/>
      <c r="F34" s="629">
        <f t="shared" si="0"/>
        <v>0</v>
      </c>
    </row>
    <row r="35" spans="1:12" ht="27" customHeight="1">
      <c r="A35" s="284"/>
      <c r="B35" s="292" t="s">
        <v>119</v>
      </c>
      <c r="C35" s="630">
        <f>SUM(C31:C34)</f>
        <v>65000000</v>
      </c>
      <c r="D35" s="640">
        <f>SUM(D31:D34)</f>
        <v>65000000</v>
      </c>
      <c r="E35" s="640">
        <f>SUM(E31:E34)</f>
        <v>65000000</v>
      </c>
      <c r="F35" s="630">
        <f t="shared" si="0"/>
        <v>0</v>
      </c>
    </row>
    <row r="36" spans="1:12" ht="27" customHeight="1">
      <c r="A36" s="292" t="s">
        <v>293</v>
      </c>
      <c r="B36" s="292" t="s">
        <v>292</v>
      </c>
      <c r="C36" s="629"/>
      <c r="D36" s="639"/>
      <c r="E36" s="639"/>
      <c r="F36" s="629">
        <f t="shared" si="0"/>
        <v>0</v>
      </c>
    </row>
    <row r="37" spans="1:12" ht="27" customHeight="1">
      <c r="A37" s="292" t="s">
        <v>294</v>
      </c>
      <c r="B37" s="292" t="s">
        <v>291</v>
      </c>
      <c r="C37" s="629"/>
      <c r="D37" s="639"/>
      <c r="E37" s="639"/>
      <c r="F37" s="629">
        <f t="shared" si="0"/>
        <v>0</v>
      </c>
    </row>
    <row r="38" spans="1:12" ht="27" customHeight="1">
      <c r="A38" s="292" t="s">
        <v>499</v>
      </c>
      <c r="B38" s="284" t="s">
        <v>687</v>
      </c>
      <c r="C38" s="629">
        <v>60000000</v>
      </c>
      <c r="D38" s="639"/>
      <c r="E38" s="639">
        <v>0</v>
      </c>
      <c r="F38" s="629">
        <f t="shared" si="0"/>
        <v>0</v>
      </c>
    </row>
    <row r="39" spans="1:12" ht="27" customHeight="1">
      <c r="A39" s="292" t="s">
        <v>388</v>
      </c>
      <c r="B39" s="284" t="s">
        <v>850</v>
      </c>
      <c r="C39" s="629">
        <v>100000000</v>
      </c>
      <c r="D39" s="639"/>
      <c r="E39" s="639">
        <v>0</v>
      </c>
      <c r="F39" s="629">
        <f t="shared" si="0"/>
        <v>0</v>
      </c>
    </row>
    <row r="40" spans="1:12" ht="27" customHeight="1">
      <c r="A40" s="284" t="s">
        <v>295</v>
      </c>
      <c r="B40" s="284" t="s">
        <v>176</v>
      </c>
      <c r="C40" s="300">
        <v>0</v>
      </c>
      <c r="D40" s="638"/>
      <c r="E40" s="638">
        <v>0</v>
      </c>
      <c r="F40" s="300">
        <f t="shared" si="0"/>
        <v>0</v>
      </c>
    </row>
    <row r="41" spans="1:12" ht="27" customHeight="1">
      <c r="A41" s="284" t="s">
        <v>296</v>
      </c>
      <c r="B41" s="284" t="s">
        <v>177</v>
      </c>
      <c r="C41" s="300">
        <v>6000000</v>
      </c>
      <c r="D41" s="638"/>
      <c r="E41" s="638">
        <v>0</v>
      </c>
      <c r="F41" s="300">
        <f t="shared" si="0"/>
        <v>0</v>
      </c>
    </row>
    <row r="42" spans="1:12" ht="27" customHeight="1">
      <c r="A42" s="284"/>
      <c r="B42" s="292" t="s">
        <v>119</v>
      </c>
      <c r="C42" s="627">
        <f>SUM(C38:C41)</f>
        <v>166000000</v>
      </c>
      <c r="D42" s="641"/>
      <c r="E42" s="641">
        <f>SUM(E38:E41)</f>
        <v>0</v>
      </c>
      <c r="F42" s="627">
        <f t="shared" si="0"/>
        <v>0</v>
      </c>
    </row>
    <row r="43" spans="1:12" s="466" customFormat="1" ht="27" customHeight="1">
      <c r="A43" s="421" t="s">
        <v>611</v>
      </c>
      <c r="B43" s="422" t="s">
        <v>612</v>
      </c>
      <c r="C43" s="284"/>
      <c r="D43" s="334"/>
      <c r="E43" s="334"/>
      <c r="F43" s="284">
        <f t="shared" si="0"/>
        <v>0</v>
      </c>
    </row>
    <row r="44" spans="1:12" ht="27" customHeight="1">
      <c r="A44" s="283" t="s">
        <v>433</v>
      </c>
      <c r="B44" s="284" t="s">
        <v>688</v>
      </c>
      <c r="C44" s="629">
        <v>1280000000</v>
      </c>
      <c r="D44" s="639">
        <v>1280000000</v>
      </c>
      <c r="E44" s="639">
        <v>1560000000</v>
      </c>
      <c r="F44" s="629">
        <f t="shared" si="0"/>
        <v>280000000</v>
      </c>
    </row>
    <row r="45" spans="1:12" ht="21.95" customHeight="1">
      <c r="A45" s="284" t="s">
        <v>816</v>
      </c>
      <c r="B45" s="629" t="s">
        <v>705</v>
      </c>
      <c r="C45" s="629"/>
      <c r="D45" s="629">
        <v>0</v>
      </c>
      <c r="E45" s="629">
        <f>260000000/3500*6000</f>
        <v>445714285.71428573</v>
      </c>
      <c r="F45" s="639">
        <f>E45-D45</f>
        <v>445714285.71428573</v>
      </c>
      <c r="G45" s="642"/>
      <c r="H45" s="642"/>
      <c r="I45" s="642"/>
      <c r="J45" s="642"/>
      <c r="K45" s="642"/>
      <c r="L45" s="642"/>
    </row>
    <row r="46" spans="1:12" ht="27" customHeight="1">
      <c r="A46" s="283"/>
      <c r="B46" s="292" t="s">
        <v>119</v>
      </c>
      <c r="C46" s="292">
        <f>SUM(C44)</f>
        <v>1280000000</v>
      </c>
      <c r="D46" s="402">
        <f>SUM(D44:D45)</f>
        <v>1280000000</v>
      </c>
      <c r="E46" s="402">
        <f>SUM(E44:E45)</f>
        <v>2005714285.7142859</v>
      </c>
      <c r="F46" s="292">
        <f t="shared" si="0"/>
        <v>725714285.71428585</v>
      </c>
    </row>
    <row r="47" spans="1:12" ht="27" customHeight="1">
      <c r="A47" s="284"/>
      <c r="B47" s="292" t="s">
        <v>42</v>
      </c>
      <c r="C47" s="627" t="e">
        <f>#REF!+C46+C42+C35+C29+C22</f>
        <v>#REF!</v>
      </c>
      <c r="D47" s="641">
        <f>D46+D35+D29+D22+D9</f>
        <v>1616813600</v>
      </c>
      <c r="E47" s="641">
        <f>E46+E35+E29+E22+E9+E42</f>
        <v>2367527885.7142859</v>
      </c>
      <c r="F47" s="627">
        <f t="shared" si="0"/>
        <v>750714285.71428585</v>
      </c>
    </row>
  </sheetData>
  <pageMargins left="0.7" right="0.7" top="0.75" bottom="0.75" header="0.3" footer="0.3"/>
  <pageSetup scale="54" orientation="portrait" r:id="rId1"/>
  <headerFooter>
    <oddHeader xml:space="preserve">&amp;C&amp;36AGAASINKA TACLIINTA SARE&amp;10 </oddHeader>
    <oddFooter>&amp;R&amp;"Times New Roman,Bold"&amp;12 36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60" zoomScaleNormal="77" workbookViewId="0">
      <selection sqref="A1:XFD1048576"/>
    </sheetView>
  </sheetViews>
  <sheetFormatPr defaultRowHeight="24.95" customHeight="1"/>
  <cols>
    <col min="1" max="1" width="18.1640625" style="386" bestFit="1" customWidth="1"/>
    <col min="2" max="2" width="79" style="386" bestFit="1" customWidth="1"/>
    <col min="3" max="3" width="17.83203125" style="386" hidden="1" customWidth="1"/>
    <col min="4" max="4" width="24.5" style="386" bestFit="1" customWidth="1"/>
    <col min="5" max="6" width="24.5" style="386" customWidth="1"/>
    <col min="7" max="16384" width="9.33203125" style="386"/>
  </cols>
  <sheetData>
    <row r="1" spans="1:6" ht="24.95" customHeight="1">
      <c r="A1" s="593" t="s">
        <v>44</v>
      </c>
      <c r="B1" s="643" t="s">
        <v>879</v>
      </c>
      <c r="C1" s="643"/>
      <c r="D1" s="643"/>
      <c r="E1" s="644"/>
      <c r="F1" s="644"/>
    </row>
    <row r="2" spans="1:6" ht="24.95" customHeight="1">
      <c r="A2" s="595" t="s">
        <v>28</v>
      </c>
      <c r="B2" s="643" t="s">
        <v>29</v>
      </c>
      <c r="C2" s="643" t="s">
        <v>357</v>
      </c>
      <c r="D2" s="643" t="s">
        <v>643</v>
      </c>
      <c r="E2" s="643" t="s">
        <v>1111</v>
      </c>
      <c r="F2" s="594" t="s">
        <v>63</v>
      </c>
    </row>
    <row r="3" spans="1:6" ht="24.95" customHeight="1">
      <c r="A3" s="346" t="s">
        <v>248</v>
      </c>
      <c r="B3" s="645" t="s">
        <v>165</v>
      </c>
      <c r="C3" s="645"/>
      <c r="D3" s="645"/>
      <c r="E3" s="645"/>
      <c r="F3" s="346"/>
    </row>
    <row r="4" spans="1:6" ht="24.95" customHeight="1">
      <c r="A4" s="346" t="s">
        <v>249</v>
      </c>
      <c r="B4" s="645" t="s">
        <v>250</v>
      </c>
      <c r="C4" s="645"/>
      <c r="D4" s="645"/>
      <c r="E4" s="645"/>
      <c r="F4" s="346"/>
    </row>
    <row r="5" spans="1:6" ht="24.95" customHeight="1">
      <c r="A5" s="295" t="s">
        <v>247</v>
      </c>
      <c r="B5" s="646" t="s">
        <v>32</v>
      </c>
      <c r="C5" s="646"/>
      <c r="D5" s="646">
        <v>137810400</v>
      </c>
      <c r="E5" s="646">
        <v>137810400</v>
      </c>
      <c r="F5" s="295">
        <f>E5-D5</f>
        <v>0</v>
      </c>
    </row>
    <row r="6" spans="1:6" ht="24.95" customHeight="1">
      <c r="A6" s="295" t="s">
        <v>251</v>
      </c>
      <c r="B6" s="646" t="s">
        <v>878</v>
      </c>
      <c r="C6" s="646">
        <v>0</v>
      </c>
      <c r="D6" s="646">
        <v>0</v>
      </c>
      <c r="E6" s="646">
        <v>0</v>
      </c>
      <c r="F6" s="295">
        <f t="shared" ref="F6:F44" si="0">E6-D6</f>
        <v>0</v>
      </c>
    </row>
    <row r="7" spans="1:6" ht="24.95" customHeight="1">
      <c r="A7" s="295" t="s">
        <v>252</v>
      </c>
      <c r="B7" s="646" t="s">
        <v>34</v>
      </c>
      <c r="C7" s="646">
        <v>0</v>
      </c>
      <c r="D7" s="646">
        <v>388800000</v>
      </c>
      <c r="E7" s="646">
        <v>288800000</v>
      </c>
      <c r="F7" s="295">
        <f t="shared" si="0"/>
        <v>-100000000</v>
      </c>
    </row>
    <row r="8" spans="1:6" ht="24.95" customHeight="1">
      <c r="A8" s="295"/>
      <c r="B8" s="645" t="s">
        <v>119</v>
      </c>
      <c r="C8" s="646">
        <v>0</v>
      </c>
      <c r="D8" s="645">
        <f>SUM(D5:D7)</f>
        <v>526610400</v>
      </c>
      <c r="E8" s="645">
        <f>SUM(E5:E7)</f>
        <v>426610400</v>
      </c>
      <c r="F8" s="346">
        <f t="shared" si="0"/>
        <v>-100000000</v>
      </c>
    </row>
    <row r="9" spans="1:6" ht="24.95" customHeight="1">
      <c r="A9" s="346" t="s">
        <v>262</v>
      </c>
      <c r="B9" s="645" t="s">
        <v>263</v>
      </c>
      <c r="C9" s="646">
        <v>0</v>
      </c>
      <c r="D9" s="645"/>
      <c r="E9" s="645"/>
      <c r="F9" s="346">
        <f t="shared" si="0"/>
        <v>0</v>
      </c>
    </row>
    <row r="10" spans="1:6" ht="24.95" customHeight="1">
      <c r="A10" s="346" t="s">
        <v>265</v>
      </c>
      <c r="B10" s="645" t="s">
        <v>264</v>
      </c>
      <c r="C10" s="646">
        <v>0</v>
      </c>
      <c r="D10" s="645"/>
      <c r="E10" s="645"/>
      <c r="F10" s="346">
        <f t="shared" si="0"/>
        <v>0</v>
      </c>
    </row>
    <row r="11" spans="1:6" ht="24.95" customHeight="1">
      <c r="A11" s="295" t="s">
        <v>266</v>
      </c>
      <c r="B11" s="646" t="s">
        <v>38</v>
      </c>
      <c r="C11" s="646">
        <v>0</v>
      </c>
      <c r="D11" s="646">
        <v>10000000</v>
      </c>
      <c r="E11" s="646">
        <v>10000000</v>
      </c>
      <c r="F11" s="295">
        <f t="shared" si="0"/>
        <v>0</v>
      </c>
    </row>
    <row r="12" spans="1:6" ht="24.95" customHeight="1">
      <c r="A12" s="295" t="s">
        <v>308</v>
      </c>
      <c r="B12" s="646" t="s">
        <v>426</v>
      </c>
      <c r="C12" s="646">
        <v>0</v>
      </c>
      <c r="D12" s="646">
        <v>28800000</v>
      </c>
      <c r="E12" s="646">
        <v>28800000</v>
      </c>
      <c r="F12" s="295">
        <f t="shared" si="0"/>
        <v>0</v>
      </c>
    </row>
    <row r="13" spans="1:6" ht="24.95" customHeight="1">
      <c r="A13" s="295" t="s">
        <v>269</v>
      </c>
      <c r="B13" s="646" t="s">
        <v>186</v>
      </c>
      <c r="C13" s="646">
        <v>0</v>
      </c>
      <c r="D13" s="646">
        <v>5000000</v>
      </c>
      <c r="E13" s="646">
        <v>5000000</v>
      </c>
      <c r="F13" s="295">
        <f t="shared" si="0"/>
        <v>0</v>
      </c>
    </row>
    <row r="14" spans="1:6" ht="24.95" customHeight="1">
      <c r="A14" s="295" t="s">
        <v>488</v>
      </c>
      <c r="B14" s="646" t="s">
        <v>847</v>
      </c>
      <c r="C14" s="646">
        <v>0</v>
      </c>
      <c r="D14" s="646">
        <v>50400000</v>
      </c>
      <c r="E14" s="646">
        <v>50400000</v>
      </c>
      <c r="F14" s="295">
        <f t="shared" si="0"/>
        <v>0</v>
      </c>
    </row>
    <row r="15" spans="1:6" ht="24.95" customHeight="1">
      <c r="A15" s="295" t="s">
        <v>271</v>
      </c>
      <c r="B15" s="646" t="s">
        <v>154</v>
      </c>
      <c r="C15" s="646">
        <v>0</v>
      </c>
      <c r="D15" s="646"/>
      <c r="E15" s="646"/>
      <c r="F15" s="295">
        <f t="shared" si="0"/>
        <v>0</v>
      </c>
    </row>
    <row r="16" spans="1:6" ht="24.95" customHeight="1">
      <c r="A16" s="295" t="s">
        <v>272</v>
      </c>
      <c r="B16" s="646" t="s">
        <v>54</v>
      </c>
      <c r="C16" s="646">
        <v>0</v>
      </c>
      <c r="D16" s="646"/>
      <c r="E16" s="646"/>
      <c r="F16" s="295">
        <f t="shared" si="0"/>
        <v>0</v>
      </c>
    </row>
    <row r="17" spans="1:6" ht="24.95" customHeight="1">
      <c r="A17" s="295" t="s">
        <v>274</v>
      </c>
      <c r="B17" s="646" t="s">
        <v>164</v>
      </c>
      <c r="C17" s="646">
        <v>0</v>
      </c>
      <c r="D17" s="646">
        <v>10000000</v>
      </c>
      <c r="E17" s="646">
        <v>10000000</v>
      </c>
      <c r="F17" s="295">
        <f t="shared" si="0"/>
        <v>0</v>
      </c>
    </row>
    <row r="18" spans="1:6" ht="24.95" customHeight="1">
      <c r="A18" s="295" t="s">
        <v>275</v>
      </c>
      <c r="B18" s="646" t="s">
        <v>40</v>
      </c>
      <c r="C18" s="646">
        <v>0</v>
      </c>
      <c r="D18" s="646">
        <v>3000000</v>
      </c>
      <c r="E18" s="646">
        <v>3000000</v>
      </c>
      <c r="F18" s="295">
        <f t="shared" si="0"/>
        <v>0</v>
      </c>
    </row>
    <row r="19" spans="1:6" ht="24.95" customHeight="1">
      <c r="A19" s="295" t="s">
        <v>302</v>
      </c>
      <c r="B19" s="646" t="s">
        <v>686</v>
      </c>
      <c r="C19" s="646">
        <v>0</v>
      </c>
      <c r="D19" s="646"/>
      <c r="E19" s="646"/>
      <c r="F19" s="295">
        <f t="shared" si="0"/>
        <v>0</v>
      </c>
    </row>
    <row r="20" spans="1:6" ht="24.95" customHeight="1">
      <c r="A20" s="295" t="s">
        <v>350</v>
      </c>
      <c r="B20" s="646" t="s">
        <v>470</v>
      </c>
      <c r="C20" s="646">
        <v>0</v>
      </c>
      <c r="D20" s="646"/>
      <c r="E20" s="646"/>
      <c r="F20" s="295">
        <f t="shared" si="0"/>
        <v>0</v>
      </c>
    </row>
    <row r="21" spans="1:6" ht="24.95" customHeight="1">
      <c r="A21" s="295" t="s">
        <v>277</v>
      </c>
      <c r="B21" s="646" t="s">
        <v>218</v>
      </c>
      <c r="C21" s="646">
        <v>0</v>
      </c>
      <c r="D21" s="646"/>
      <c r="E21" s="646"/>
      <c r="F21" s="295">
        <f t="shared" si="0"/>
        <v>0</v>
      </c>
    </row>
    <row r="22" spans="1:6" ht="24.95" customHeight="1">
      <c r="A22" s="295" t="s">
        <v>321</v>
      </c>
      <c r="B22" s="646" t="s">
        <v>322</v>
      </c>
      <c r="C22" s="646">
        <v>0</v>
      </c>
      <c r="D22" s="646">
        <v>0</v>
      </c>
      <c r="E22" s="646">
        <v>0</v>
      </c>
      <c r="F22" s="295">
        <f t="shared" si="0"/>
        <v>0</v>
      </c>
    </row>
    <row r="23" spans="1:6" ht="24.95" customHeight="1">
      <c r="A23" s="295"/>
      <c r="B23" s="645" t="s">
        <v>119</v>
      </c>
      <c r="C23" s="646">
        <v>0</v>
      </c>
      <c r="D23" s="645">
        <f>SUM(D11:D22)</f>
        <v>107200000</v>
      </c>
      <c r="E23" s="645">
        <f>SUM(E11:E22)</f>
        <v>107200000</v>
      </c>
      <c r="F23" s="346">
        <f t="shared" si="0"/>
        <v>0</v>
      </c>
    </row>
    <row r="24" spans="1:6" ht="24.95" customHeight="1">
      <c r="A24" s="346" t="s">
        <v>279</v>
      </c>
      <c r="B24" s="645" t="s">
        <v>278</v>
      </c>
      <c r="C24" s="646">
        <v>0</v>
      </c>
      <c r="D24" s="645"/>
      <c r="E24" s="645"/>
      <c r="F24" s="346">
        <f t="shared" si="0"/>
        <v>0</v>
      </c>
    </row>
    <row r="25" spans="1:6" ht="24.95" customHeight="1">
      <c r="A25" s="295" t="s">
        <v>281</v>
      </c>
      <c r="B25" s="646" t="s">
        <v>161</v>
      </c>
      <c r="C25" s="646">
        <v>0</v>
      </c>
      <c r="D25" s="646">
        <v>35000000</v>
      </c>
      <c r="E25" s="646">
        <v>35000000</v>
      </c>
      <c r="F25" s="295">
        <f t="shared" si="0"/>
        <v>0</v>
      </c>
    </row>
    <row r="26" spans="1:6" ht="24.95" customHeight="1">
      <c r="A26" s="295" t="s">
        <v>282</v>
      </c>
      <c r="B26" s="646" t="s">
        <v>155</v>
      </c>
      <c r="C26" s="646">
        <v>0</v>
      </c>
      <c r="D26" s="646">
        <v>10000000</v>
      </c>
      <c r="E26" s="646">
        <v>10000000</v>
      </c>
      <c r="F26" s="295">
        <f t="shared" si="0"/>
        <v>0</v>
      </c>
    </row>
    <row r="27" spans="1:6" ht="24.95" customHeight="1">
      <c r="A27" s="295" t="s">
        <v>283</v>
      </c>
      <c r="B27" s="646" t="s">
        <v>156</v>
      </c>
      <c r="C27" s="646">
        <v>0</v>
      </c>
      <c r="D27" s="646">
        <v>2000000</v>
      </c>
      <c r="E27" s="646">
        <v>2000000</v>
      </c>
      <c r="F27" s="295">
        <f t="shared" si="0"/>
        <v>0</v>
      </c>
    </row>
    <row r="28" spans="1:6" ht="24.95" customHeight="1">
      <c r="A28" s="295" t="s">
        <v>336</v>
      </c>
      <c r="B28" s="646" t="s">
        <v>468</v>
      </c>
      <c r="C28" s="646">
        <v>0</v>
      </c>
      <c r="D28" s="646"/>
      <c r="E28" s="646"/>
      <c r="F28" s="295">
        <f t="shared" si="0"/>
        <v>0</v>
      </c>
    </row>
    <row r="29" spans="1:6" ht="24.95" customHeight="1">
      <c r="A29" s="295" t="s">
        <v>298</v>
      </c>
      <c r="B29" s="646" t="s">
        <v>219</v>
      </c>
      <c r="C29" s="646">
        <v>0</v>
      </c>
      <c r="D29" s="646">
        <v>0</v>
      </c>
      <c r="E29" s="646">
        <v>0</v>
      </c>
      <c r="F29" s="295">
        <f t="shared" si="0"/>
        <v>0</v>
      </c>
    </row>
    <row r="30" spans="1:6" ht="24.95" customHeight="1">
      <c r="A30" s="295"/>
      <c r="B30" s="645" t="s">
        <v>119</v>
      </c>
      <c r="C30" s="646">
        <v>0</v>
      </c>
      <c r="D30" s="645">
        <f>SUM(D25:D29)</f>
        <v>47000000</v>
      </c>
      <c r="E30" s="645">
        <f>SUM(E25:E29)</f>
        <v>47000000</v>
      </c>
      <c r="F30" s="346">
        <f t="shared" si="0"/>
        <v>0</v>
      </c>
    </row>
    <row r="31" spans="1:6" ht="24.95" customHeight="1">
      <c r="A31" s="346" t="s">
        <v>285</v>
      </c>
      <c r="B31" s="645" t="s">
        <v>158</v>
      </c>
      <c r="C31" s="646">
        <v>0</v>
      </c>
      <c r="D31" s="645"/>
      <c r="E31" s="645"/>
      <c r="F31" s="346">
        <f t="shared" si="0"/>
        <v>0</v>
      </c>
    </row>
    <row r="32" spans="1:6" ht="24.95" customHeight="1">
      <c r="A32" s="295" t="s">
        <v>286</v>
      </c>
      <c r="B32" s="646" t="s">
        <v>55</v>
      </c>
      <c r="C32" s="646">
        <v>0</v>
      </c>
      <c r="D32" s="646">
        <v>10000000</v>
      </c>
      <c r="E32" s="646">
        <v>10000000</v>
      </c>
      <c r="F32" s="295">
        <f t="shared" si="0"/>
        <v>0</v>
      </c>
    </row>
    <row r="33" spans="1:6" ht="24.95" customHeight="1">
      <c r="A33" s="295" t="s">
        <v>288</v>
      </c>
      <c r="B33" s="646" t="s">
        <v>287</v>
      </c>
      <c r="C33" s="646">
        <v>0</v>
      </c>
      <c r="D33" s="646"/>
      <c r="E33" s="646"/>
      <c r="F33" s="295">
        <f t="shared" si="0"/>
        <v>0</v>
      </c>
    </row>
    <row r="34" spans="1:6" ht="24.95" customHeight="1">
      <c r="A34" s="295" t="s">
        <v>387</v>
      </c>
      <c r="B34" s="646" t="s">
        <v>469</v>
      </c>
      <c r="C34" s="646">
        <v>0</v>
      </c>
      <c r="D34" s="646"/>
      <c r="E34" s="646"/>
      <c r="F34" s="295">
        <f t="shared" si="0"/>
        <v>0</v>
      </c>
    </row>
    <row r="35" spans="1:6" ht="24.95" customHeight="1">
      <c r="A35" s="295" t="s">
        <v>289</v>
      </c>
      <c r="B35" s="646" t="s">
        <v>290</v>
      </c>
      <c r="C35" s="646">
        <v>0</v>
      </c>
      <c r="D35" s="646"/>
      <c r="E35" s="646"/>
      <c r="F35" s="295">
        <f t="shared" si="0"/>
        <v>0</v>
      </c>
    </row>
    <row r="36" spans="1:6" ht="24.95" customHeight="1">
      <c r="A36" s="295"/>
      <c r="B36" s="645" t="s">
        <v>119</v>
      </c>
      <c r="C36" s="646">
        <v>0</v>
      </c>
      <c r="D36" s="645">
        <f>SUM(D32:D35)</f>
        <v>10000000</v>
      </c>
      <c r="E36" s="645">
        <f>SUM(E32:E35)</f>
        <v>10000000</v>
      </c>
      <c r="F36" s="346">
        <f t="shared" si="0"/>
        <v>0</v>
      </c>
    </row>
    <row r="37" spans="1:6" ht="24.95" customHeight="1">
      <c r="A37" s="346" t="s">
        <v>293</v>
      </c>
      <c r="B37" s="645" t="s">
        <v>292</v>
      </c>
      <c r="C37" s="646">
        <v>0</v>
      </c>
      <c r="D37" s="645"/>
      <c r="E37" s="645"/>
      <c r="F37" s="346">
        <f t="shared" si="0"/>
        <v>0</v>
      </c>
    </row>
    <row r="38" spans="1:6" ht="24.95" customHeight="1">
      <c r="A38" s="346" t="s">
        <v>294</v>
      </c>
      <c r="B38" s="645" t="s">
        <v>291</v>
      </c>
      <c r="C38" s="646">
        <v>0</v>
      </c>
      <c r="D38" s="645">
        <v>0</v>
      </c>
      <c r="E38" s="645"/>
      <c r="F38" s="346">
        <f t="shared" si="0"/>
        <v>0</v>
      </c>
    </row>
    <row r="39" spans="1:6" ht="24.95" customHeight="1">
      <c r="A39" s="295" t="s">
        <v>389</v>
      </c>
      <c r="B39" s="646" t="s">
        <v>687</v>
      </c>
      <c r="C39" s="646">
        <v>0</v>
      </c>
      <c r="D39" s="646"/>
      <c r="E39" s="646"/>
      <c r="F39" s="295">
        <f t="shared" si="0"/>
        <v>0</v>
      </c>
    </row>
    <row r="40" spans="1:6" ht="24.95" customHeight="1">
      <c r="A40" s="295" t="s">
        <v>388</v>
      </c>
      <c r="B40" s="646" t="s">
        <v>690</v>
      </c>
      <c r="C40" s="646">
        <v>0</v>
      </c>
      <c r="D40" s="646">
        <v>108000000</v>
      </c>
      <c r="E40" s="646"/>
      <c r="F40" s="295">
        <f t="shared" si="0"/>
        <v>-108000000</v>
      </c>
    </row>
    <row r="41" spans="1:6" ht="24.95" customHeight="1">
      <c r="A41" s="295" t="s">
        <v>295</v>
      </c>
      <c r="B41" s="646" t="s">
        <v>176</v>
      </c>
      <c r="C41" s="646">
        <v>0</v>
      </c>
      <c r="D41" s="646"/>
      <c r="E41" s="646"/>
      <c r="F41" s="295">
        <f t="shared" si="0"/>
        <v>0</v>
      </c>
    </row>
    <row r="42" spans="1:6" ht="24.95" customHeight="1">
      <c r="A42" s="295" t="s">
        <v>296</v>
      </c>
      <c r="B42" s="646" t="s">
        <v>177</v>
      </c>
      <c r="C42" s="646">
        <v>0</v>
      </c>
      <c r="D42" s="646"/>
      <c r="E42" s="646"/>
      <c r="F42" s="295">
        <f t="shared" si="0"/>
        <v>0</v>
      </c>
    </row>
    <row r="43" spans="1:6" ht="24.95" customHeight="1">
      <c r="A43" s="295"/>
      <c r="B43" s="645" t="s">
        <v>119</v>
      </c>
      <c r="C43" s="646">
        <v>0</v>
      </c>
      <c r="D43" s="645">
        <f>SUM(D39:D42)</f>
        <v>108000000</v>
      </c>
      <c r="E43" s="645">
        <f>SUM(E39:E42)</f>
        <v>0</v>
      </c>
      <c r="F43" s="346">
        <f t="shared" si="0"/>
        <v>-108000000</v>
      </c>
    </row>
    <row r="44" spans="1:6" ht="24.95" customHeight="1">
      <c r="A44" s="295"/>
      <c r="B44" s="645" t="s">
        <v>42</v>
      </c>
      <c r="C44" s="646">
        <v>0</v>
      </c>
      <c r="D44" s="645">
        <f>D43+D36+D30+D23+D8</f>
        <v>798810400</v>
      </c>
      <c r="E44" s="645">
        <f>E43+E36+E30+E23+E8</f>
        <v>590810400</v>
      </c>
      <c r="F44" s="346">
        <f t="shared" si="0"/>
        <v>-208000000</v>
      </c>
    </row>
    <row r="45" spans="1:6" ht="24.95" customHeight="1">
      <c r="A45" s="208" t="s">
        <v>885</v>
      </c>
      <c r="B45" s="209" t="s">
        <v>881</v>
      </c>
      <c r="C45" s="647" t="s">
        <v>882</v>
      </c>
      <c r="D45" s="647" t="s">
        <v>883</v>
      </c>
      <c r="E45" s="647"/>
      <c r="F45" s="647" t="s">
        <v>884</v>
      </c>
    </row>
  </sheetData>
  <pageMargins left="0.7" right="0.45" top="0.75" bottom="0.75" header="0.3" footer="0.3"/>
  <pageSetup scale="60" orientation="portrait" horizontalDpi="300" verticalDpi="300" r:id="rId1"/>
  <headerFooter>
    <oddHeader>&amp;C&amp;"Times New Roman,Bold"&amp;36Gudiga Tacliinta Sare</oddHeader>
    <oddFooter>&amp;R&amp;"Times New Roman,Bold"&amp;12 37</oddFooter>
  </headerFooter>
  <ignoredErrors>
    <ignoredError sqref="D43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28"/>
  <dimension ref="A1:O56"/>
  <sheetViews>
    <sheetView view="pageBreakPreview" zoomScale="60" zoomScaleNormal="75" workbookViewId="0">
      <selection sqref="A1:XFD1048576"/>
    </sheetView>
  </sheetViews>
  <sheetFormatPr defaultRowHeight="23.1" customHeight="1"/>
  <cols>
    <col min="1" max="1" width="19.33203125" style="155" bestFit="1" customWidth="1"/>
    <col min="2" max="2" width="91.33203125" style="155" bestFit="1" customWidth="1"/>
    <col min="3" max="4" width="16.1640625" style="155" hidden="1" customWidth="1"/>
    <col min="5" max="5" width="0.5" style="155" hidden="1" customWidth="1"/>
    <col min="6" max="6" width="10.6640625" style="155" hidden="1" customWidth="1"/>
    <col min="7" max="7" width="6" style="155" hidden="1" customWidth="1"/>
    <col min="8" max="8" width="2.5" style="155" hidden="1" customWidth="1"/>
    <col min="9" max="9" width="2.6640625" style="155" hidden="1" customWidth="1"/>
    <col min="10" max="10" width="25" style="155" hidden="1" customWidth="1"/>
    <col min="11" max="11" width="27" style="155" hidden="1" customWidth="1"/>
    <col min="12" max="12" width="29.83203125" style="454" customWidth="1"/>
    <col min="13" max="13" width="29.83203125" style="454" bestFit="1" customWidth="1"/>
    <col min="14" max="14" width="28.83203125" style="454" bestFit="1" customWidth="1"/>
    <col min="15" max="15" width="17.83203125" style="155" customWidth="1"/>
    <col min="16" max="16384" width="9.33203125" style="155"/>
  </cols>
  <sheetData>
    <row r="1" spans="1:15" ht="24" customHeight="1">
      <c r="A1" s="373" t="s">
        <v>44</v>
      </c>
      <c r="B1" s="443" t="s">
        <v>474</v>
      </c>
      <c r="C1" s="373"/>
      <c r="D1" s="373"/>
      <c r="E1" s="373"/>
      <c r="F1" s="373"/>
      <c r="G1" s="373"/>
      <c r="H1" s="373"/>
      <c r="I1" s="373"/>
      <c r="J1" s="373"/>
      <c r="K1" s="373"/>
      <c r="L1" s="648"/>
      <c r="M1" s="648"/>
      <c r="N1" s="648"/>
    </row>
    <row r="2" spans="1:15" ht="24" customHeight="1">
      <c r="A2" s="373" t="s">
        <v>28</v>
      </c>
      <c r="B2" s="373" t="s">
        <v>29</v>
      </c>
      <c r="C2" s="373" t="s">
        <v>43</v>
      </c>
      <c r="D2" s="378" t="s">
        <v>48</v>
      </c>
      <c r="E2" s="378" t="s">
        <v>52</v>
      </c>
      <c r="F2" s="378" t="s">
        <v>62</v>
      </c>
      <c r="G2" s="378" t="s">
        <v>69</v>
      </c>
      <c r="H2" s="378" t="s">
        <v>130</v>
      </c>
      <c r="I2" s="378" t="s">
        <v>135</v>
      </c>
      <c r="J2" s="378" t="s">
        <v>180</v>
      </c>
      <c r="K2" s="378" t="s">
        <v>297</v>
      </c>
      <c r="L2" s="378" t="s">
        <v>641</v>
      </c>
      <c r="M2" s="378" t="s">
        <v>1111</v>
      </c>
      <c r="N2" s="378" t="s">
        <v>63</v>
      </c>
      <c r="O2" s="426"/>
    </row>
    <row r="3" spans="1:15" ht="24" customHeight="1">
      <c r="A3" s="292" t="s">
        <v>248</v>
      </c>
      <c r="B3" s="292" t="s">
        <v>165</v>
      </c>
      <c r="C3" s="284"/>
      <c r="D3" s="284"/>
      <c r="E3" s="284"/>
      <c r="F3" s="284"/>
      <c r="G3" s="284"/>
      <c r="H3" s="284"/>
      <c r="I3" s="284"/>
      <c r="J3" s="284"/>
      <c r="K3" s="284"/>
      <c r="L3" s="336"/>
      <c r="M3" s="336"/>
      <c r="N3" s="336"/>
    </row>
    <row r="4" spans="1:15" ht="24" customHeight="1">
      <c r="A4" s="292" t="s">
        <v>249</v>
      </c>
      <c r="B4" s="292" t="s">
        <v>250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</row>
    <row r="5" spans="1:15" ht="24" customHeight="1">
      <c r="A5" s="284" t="s">
        <v>247</v>
      </c>
      <c r="B5" s="284" t="s">
        <v>32</v>
      </c>
      <c r="C5" s="284"/>
      <c r="D5" s="284"/>
      <c r="E5" s="284"/>
      <c r="F5" s="284"/>
      <c r="G5" s="284"/>
      <c r="H5" s="284"/>
      <c r="I5" s="284"/>
      <c r="J5" s="284">
        <v>5555286000</v>
      </c>
      <c r="K5" s="284">
        <f>'shaq,3'!H37+72000000</f>
        <v>12171796800</v>
      </c>
      <c r="L5" s="284">
        <v>12835243200</v>
      </c>
      <c r="M5" s="284">
        <v>15930844800</v>
      </c>
      <c r="N5" s="284">
        <f>M5-L5</f>
        <v>3095601600</v>
      </c>
    </row>
    <row r="6" spans="1:15" ht="24" customHeight="1">
      <c r="A6" s="284" t="s">
        <v>251</v>
      </c>
      <c r="B6" s="284" t="s">
        <v>814</v>
      </c>
      <c r="C6" s="284"/>
      <c r="D6" s="284"/>
      <c r="E6" s="284"/>
      <c r="F6" s="284"/>
      <c r="G6" s="284"/>
      <c r="H6" s="284"/>
      <c r="I6" s="284"/>
      <c r="J6" s="284">
        <v>0</v>
      </c>
      <c r="K6" s="284">
        <v>0</v>
      </c>
      <c r="L6" s="284">
        <v>194400000</v>
      </c>
      <c r="M6" s="284">
        <v>194400000</v>
      </c>
      <c r="N6" s="284">
        <f t="shared" ref="N6:N54" si="0">M6-L6</f>
        <v>0</v>
      </c>
    </row>
    <row r="7" spans="1:15" ht="24" customHeight="1">
      <c r="A7" s="284" t="s">
        <v>252</v>
      </c>
      <c r="B7" s="284" t="s">
        <v>34</v>
      </c>
      <c r="C7" s="284"/>
      <c r="D7" s="284"/>
      <c r="E7" s="284"/>
      <c r="F7" s="284"/>
      <c r="G7" s="284"/>
      <c r="H7" s="284"/>
      <c r="I7" s="284"/>
      <c r="J7" s="284">
        <v>86400000</v>
      </c>
      <c r="K7" s="284">
        <v>86400000</v>
      </c>
      <c r="L7" s="284">
        <v>100800000</v>
      </c>
      <c r="M7" s="284">
        <v>223200000</v>
      </c>
      <c r="N7" s="284">
        <f t="shared" si="0"/>
        <v>122400000</v>
      </c>
    </row>
    <row r="8" spans="1:15" ht="24" customHeight="1">
      <c r="A8" s="284" t="s">
        <v>676</v>
      </c>
      <c r="B8" s="284" t="s">
        <v>1222</v>
      </c>
      <c r="C8" s="284"/>
      <c r="D8" s="284"/>
      <c r="E8" s="284"/>
      <c r="F8" s="284"/>
      <c r="G8" s="284"/>
      <c r="H8" s="284"/>
      <c r="I8" s="284"/>
      <c r="J8" s="284"/>
      <c r="K8" s="284">
        <v>234000000</v>
      </c>
      <c r="L8" s="284">
        <v>428400000</v>
      </c>
      <c r="M8" s="284">
        <v>981000000</v>
      </c>
      <c r="N8" s="284">
        <f t="shared" si="0"/>
        <v>552600000</v>
      </c>
    </row>
    <row r="9" spans="1:15" ht="24" customHeight="1">
      <c r="A9" s="284"/>
      <c r="B9" s="292" t="s">
        <v>119</v>
      </c>
      <c r="C9" s="284"/>
      <c r="D9" s="284"/>
      <c r="E9" s="284"/>
      <c r="F9" s="284"/>
      <c r="G9" s="284"/>
      <c r="H9" s="284"/>
      <c r="I9" s="284"/>
      <c r="J9" s="292">
        <f>SUM(J5:J7)</f>
        <v>5641686000</v>
      </c>
      <c r="K9" s="292">
        <f>K8+K7+K6+K5</f>
        <v>12492196800</v>
      </c>
      <c r="L9" s="292">
        <f>L8+L7+L6+L5</f>
        <v>13558843200</v>
      </c>
      <c r="M9" s="292">
        <f>SUM(M5:M8)</f>
        <v>17329444800</v>
      </c>
      <c r="N9" s="292">
        <f t="shared" si="0"/>
        <v>3770601600</v>
      </c>
    </row>
    <row r="10" spans="1:15" ht="24" customHeight="1">
      <c r="A10" s="292" t="s">
        <v>262</v>
      </c>
      <c r="B10" s="292" t="s">
        <v>263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>
        <f t="shared" si="0"/>
        <v>0</v>
      </c>
    </row>
    <row r="11" spans="1:15" ht="24" customHeight="1">
      <c r="A11" s="292" t="s">
        <v>265</v>
      </c>
      <c r="B11" s="292" t="s">
        <v>264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>
        <f t="shared" si="0"/>
        <v>0</v>
      </c>
    </row>
    <row r="12" spans="1:15" ht="24" customHeight="1">
      <c r="A12" s="284" t="s">
        <v>266</v>
      </c>
      <c r="B12" s="284" t="s">
        <v>38</v>
      </c>
      <c r="C12" s="284"/>
      <c r="D12" s="284"/>
      <c r="E12" s="284"/>
      <c r="F12" s="284"/>
      <c r="G12" s="284"/>
      <c r="H12" s="284"/>
      <c r="I12" s="284"/>
      <c r="J12" s="284">
        <v>59584000</v>
      </c>
      <c r="K12" s="284">
        <f>59584000*70%</f>
        <v>41708800</v>
      </c>
      <c r="L12" s="284">
        <f>59584000*70%</f>
        <v>41708800</v>
      </c>
      <c r="M12" s="284">
        <f>59584000*70%</f>
        <v>41708800</v>
      </c>
      <c r="N12" s="284">
        <f t="shared" si="0"/>
        <v>0</v>
      </c>
    </row>
    <row r="13" spans="1:15" ht="24" customHeight="1">
      <c r="A13" s="284" t="s">
        <v>269</v>
      </c>
      <c r="B13" s="284" t="s">
        <v>186</v>
      </c>
      <c r="C13" s="284"/>
      <c r="D13" s="284"/>
      <c r="E13" s="284"/>
      <c r="F13" s="284"/>
      <c r="G13" s="284"/>
      <c r="H13" s="284"/>
      <c r="I13" s="284"/>
      <c r="J13" s="284">
        <v>84578400</v>
      </c>
      <c r="K13" s="284">
        <v>59204880</v>
      </c>
      <c r="L13" s="284">
        <v>59204880</v>
      </c>
      <c r="M13" s="284">
        <v>59204880</v>
      </c>
      <c r="N13" s="284">
        <f t="shared" si="0"/>
        <v>0</v>
      </c>
    </row>
    <row r="14" spans="1:15" ht="24" customHeight="1">
      <c r="A14" s="284" t="s">
        <v>270</v>
      </c>
      <c r="B14" s="284" t="s">
        <v>163</v>
      </c>
      <c r="C14" s="361"/>
      <c r="D14" s="361"/>
      <c r="E14" s="361"/>
      <c r="F14" s="361"/>
      <c r="G14" s="361"/>
      <c r="H14" s="361"/>
      <c r="I14" s="361"/>
      <c r="J14" s="336">
        <v>0</v>
      </c>
      <c r="K14" s="336">
        <v>0</v>
      </c>
      <c r="L14" s="336">
        <v>0</v>
      </c>
      <c r="M14" s="336">
        <v>0</v>
      </c>
      <c r="N14" s="336">
        <f t="shared" si="0"/>
        <v>0</v>
      </c>
    </row>
    <row r="15" spans="1:15" ht="24" customHeight="1">
      <c r="A15" s="284" t="s">
        <v>271</v>
      </c>
      <c r="B15" s="284" t="s">
        <v>154</v>
      </c>
      <c r="C15" s="284"/>
      <c r="D15" s="284"/>
      <c r="E15" s="284"/>
      <c r="F15" s="284"/>
      <c r="G15" s="284"/>
      <c r="H15" s="284"/>
      <c r="I15" s="284"/>
      <c r="J15" s="284">
        <v>226824000</v>
      </c>
      <c r="K15" s="284">
        <f>226824000*70%</f>
        <v>158776800</v>
      </c>
      <c r="L15" s="284">
        <v>0</v>
      </c>
      <c r="M15" s="284">
        <v>150000000</v>
      </c>
      <c r="N15" s="284">
        <f t="shared" si="0"/>
        <v>150000000</v>
      </c>
      <c r="O15" s="455"/>
    </row>
    <row r="16" spans="1:15" ht="24" customHeight="1">
      <c r="A16" s="284" t="s">
        <v>272</v>
      </c>
      <c r="B16" s="284" t="s">
        <v>54</v>
      </c>
      <c r="C16" s="284"/>
      <c r="D16" s="284"/>
      <c r="E16" s="284"/>
      <c r="F16" s="284"/>
      <c r="G16" s="284"/>
      <c r="H16" s="284"/>
      <c r="I16" s="284"/>
      <c r="J16" s="284">
        <v>17448000</v>
      </c>
      <c r="K16" s="284">
        <v>12213600</v>
      </c>
      <c r="L16" s="284">
        <f>K16*70%</f>
        <v>8549520</v>
      </c>
      <c r="M16" s="284">
        <f>L16</f>
        <v>8549520</v>
      </c>
      <c r="N16" s="284">
        <f t="shared" si="0"/>
        <v>0</v>
      </c>
      <c r="O16" s="455"/>
    </row>
    <row r="17" spans="1:14" ht="24" customHeight="1">
      <c r="A17" s="284" t="s">
        <v>274</v>
      </c>
      <c r="B17" s="284" t="s">
        <v>164</v>
      </c>
      <c r="C17" s="335"/>
      <c r="D17" s="336"/>
      <c r="E17" s="336"/>
      <c r="F17" s="336"/>
      <c r="G17" s="336"/>
      <c r="H17" s="336"/>
      <c r="I17" s="336"/>
      <c r="J17" s="284">
        <v>9310000</v>
      </c>
      <c r="K17" s="284">
        <f>9310000*70%</f>
        <v>6517000</v>
      </c>
      <c r="L17" s="284">
        <f>9310000*70%</f>
        <v>6517000</v>
      </c>
      <c r="M17" s="284">
        <f>9310000*70%</f>
        <v>6517000</v>
      </c>
      <c r="N17" s="284">
        <f t="shared" si="0"/>
        <v>0</v>
      </c>
    </row>
    <row r="18" spans="1:14" ht="24" customHeight="1">
      <c r="A18" s="284" t="s">
        <v>275</v>
      </c>
      <c r="B18" s="284" t="s">
        <v>40</v>
      </c>
      <c r="C18" s="284"/>
      <c r="D18" s="336"/>
      <c r="E18" s="336"/>
      <c r="F18" s="336"/>
      <c r="G18" s="336"/>
      <c r="H18" s="336"/>
      <c r="I18" s="336"/>
      <c r="J18" s="336">
        <v>103947440</v>
      </c>
      <c r="K18" s="336">
        <v>72763208</v>
      </c>
      <c r="L18" s="336">
        <v>72763208</v>
      </c>
      <c r="M18" s="336">
        <v>72763208</v>
      </c>
      <c r="N18" s="336">
        <f t="shared" si="0"/>
        <v>0</v>
      </c>
    </row>
    <row r="19" spans="1:14" ht="24" customHeight="1">
      <c r="A19" s="284" t="s">
        <v>277</v>
      </c>
      <c r="B19" s="284" t="s">
        <v>218</v>
      </c>
      <c r="C19" s="284"/>
      <c r="D19" s="336"/>
      <c r="E19" s="336"/>
      <c r="F19" s="336"/>
      <c r="G19" s="336"/>
      <c r="H19" s="336"/>
      <c r="I19" s="336"/>
      <c r="J19" s="336">
        <v>26068000</v>
      </c>
      <c r="K19" s="336">
        <f>26068000*70%</f>
        <v>18247600</v>
      </c>
      <c r="L19" s="336">
        <v>0</v>
      </c>
      <c r="M19" s="336">
        <v>0</v>
      </c>
      <c r="N19" s="336">
        <f t="shared" si="0"/>
        <v>0</v>
      </c>
    </row>
    <row r="20" spans="1:14" ht="24" customHeight="1">
      <c r="A20" s="284" t="s">
        <v>557</v>
      </c>
      <c r="B20" s="284" t="s">
        <v>597</v>
      </c>
      <c r="C20" s="284"/>
      <c r="D20" s="336"/>
      <c r="E20" s="336"/>
      <c r="F20" s="336"/>
      <c r="G20" s="336"/>
      <c r="H20" s="336"/>
      <c r="I20" s="336"/>
      <c r="J20" s="336">
        <v>0</v>
      </c>
      <c r="K20" s="336">
        <f>1000000000*70%</f>
        <v>700000000</v>
      </c>
      <c r="L20" s="336">
        <f>K20*70%</f>
        <v>489999999.99999994</v>
      </c>
      <c r="M20" s="336">
        <v>590000000</v>
      </c>
      <c r="N20" s="336">
        <f t="shared" si="0"/>
        <v>100000000.00000006</v>
      </c>
    </row>
    <row r="21" spans="1:14" ht="24" customHeight="1">
      <c r="A21" s="284" t="s">
        <v>1135</v>
      </c>
      <c r="B21" s="284" t="s">
        <v>1136</v>
      </c>
      <c r="C21" s="284"/>
      <c r="D21" s="336"/>
      <c r="E21" s="336"/>
      <c r="F21" s="336"/>
      <c r="G21" s="336"/>
      <c r="H21" s="336"/>
      <c r="I21" s="336"/>
      <c r="J21" s="336"/>
      <c r="K21" s="336"/>
      <c r="L21" s="336"/>
      <c r="M21" s="336">
        <v>134000000</v>
      </c>
      <c r="N21" s="336">
        <f t="shared" si="0"/>
        <v>134000000</v>
      </c>
    </row>
    <row r="22" spans="1:14" ht="24" customHeight="1">
      <c r="A22" s="284" t="s">
        <v>1168</v>
      </c>
      <c r="B22" s="284" t="s">
        <v>706</v>
      </c>
      <c r="C22" s="284"/>
      <c r="D22" s="336"/>
      <c r="E22" s="336"/>
      <c r="F22" s="336"/>
      <c r="G22" s="336"/>
      <c r="H22" s="336"/>
      <c r="I22" s="336"/>
      <c r="J22" s="336"/>
      <c r="K22" s="336"/>
      <c r="L22" s="336">
        <v>2149200000</v>
      </c>
      <c r="M22" s="336">
        <v>3120600000</v>
      </c>
      <c r="N22" s="336">
        <f t="shared" si="0"/>
        <v>971400000</v>
      </c>
    </row>
    <row r="23" spans="1:14" ht="24" customHeight="1">
      <c r="A23" s="284"/>
      <c r="B23" s="292" t="s">
        <v>119</v>
      </c>
      <c r="C23" s="284"/>
      <c r="D23" s="336"/>
      <c r="E23" s="336"/>
      <c r="F23" s="336"/>
      <c r="G23" s="336"/>
      <c r="H23" s="336"/>
      <c r="I23" s="336"/>
      <c r="J23" s="361">
        <f>SUM(J12:J20)</f>
        <v>527759840</v>
      </c>
      <c r="K23" s="361">
        <f>SUM(K12:K20)</f>
        <v>1069431888</v>
      </c>
      <c r="L23" s="361">
        <f>SUM(L12:L22)</f>
        <v>2827943408</v>
      </c>
      <c r="M23" s="361">
        <f>SUM(M12:M22)</f>
        <v>4183343408</v>
      </c>
      <c r="N23" s="361">
        <f t="shared" si="0"/>
        <v>1355400000</v>
      </c>
    </row>
    <row r="24" spans="1:14" ht="24" customHeight="1">
      <c r="A24" s="292" t="s">
        <v>279</v>
      </c>
      <c r="B24" s="292" t="s">
        <v>278</v>
      </c>
      <c r="C24" s="284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>
        <f t="shared" si="0"/>
        <v>0</v>
      </c>
    </row>
    <row r="25" spans="1:14" ht="24" customHeight="1">
      <c r="A25" s="284" t="s">
        <v>281</v>
      </c>
      <c r="B25" s="284" t="s">
        <v>161</v>
      </c>
      <c r="C25" s="335"/>
      <c r="D25" s="335"/>
      <c r="E25" s="335"/>
      <c r="F25" s="335"/>
      <c r="G25" s="335"/>
      <c r="H25" s="335"/>
      <c r="I25" s="335"/>
      <c r="J25" s="300">
        <v>640000000</v>
      </c>
      <c r="K25" s="300">
        <v>448000000</v>
      </c>
      <c r="L25" s="300">
        <f>K25*80%</f>
        <v>358400000</v>
      </c>
      <c r="M25" s="300">
        <f>L25</f>
        <v>358400000</v>
      </c>
      <c r="N25" s="300">
        <f t="shared" si="0"/>
        <v>0</v>
      </c>
    </row>
    <row r="26" spans="1:14" ht="24" customHeight="1">
      <c r="A26" s="284" t="s">
        <v>282</v>
      </c>
      <c r="B26" s="284" t="s">
        <v>155</v>
      </c>
      <c r="C26" s="284"/>
      <c r="D26" s="284"/>
      <c r="E26" s="284"/>
      <c r="F26" s="284"/>
      <c r="G26" s="284"/>
      <c r="H26" s="284"/>
      <c r="I26" s="284"/>
      <c r="J26" s="629">
        <v>44688000</v>
      </c>
      <c r="K26" s="629">
        <v>31281600</v>
      </c>
      <c r="L26" s="629">
        <v>31281600</v>
      </c>
      <c r="M26" s="629">
        <v>31281600</v>
      </c>
      <c r="N26" s="629">
        <f t="shared" si="0"/>
        <v>0</v>
      </c>
    </row>
    <row r="27" spans="1:14" ht="24" customHeight="1">
      <c r="A27" s="284" t="s">
        <v>283</v>
      </c>
      <c r="B27" s="284" t="s">
        <v>156</v>
      </c>
      <c r="C27" s="284"/>
      <c r="D27" s="284"/>
      <c r="E27" s="284"/>
      <c r="F27" s="284"/>
      <c r="G27" s="284"/>
      <c r="H27" s="284"/>
      <c r="I27" s="284"/>
      <c r="J27" s="629">
        <v>13406400</v>
      </c>
      <c r="K27" s="629">
        <f>13406400*70%</f>
        <v>9384480</v>
      </c>
      <c r="L27" s="629">
        <f>13406400*70%</f>
        <v>9384480</v>
      </c>
      <c r="M27" s="629">
        <f>13406400*70%</f>
        <v>9384480</v>
      </c>
      <c r="N27" s="629">
        <f t="shared" si="0"/>
        <v>0</v>
      </c>
    </row>
    <row r="28" spans="1:14" ht="24" customHeight="1">
      <c r="A28" s="284" t="s">
        <v>316</v>
      </c>
      <c r="B28" s="284" t="s">
        <v>429</v>
      </c>
      <c r="C28" s="284"/>
      <c r="D28" s="284"/>
      <c r="E28" s="284"/>
      <c r="F28" s="284"/>
      <c r="G28" s="284"/>
      <c r="H28" s="284"/>
      <c r="I28" s="284"/>
      <c r="J28" s="629">
        <v>400000000</v>
      </c>
      <c r="K28" s="629">
        <f>400000000/3500*6000</f>
        <v>685714285.71428573</v>
      </c>
      <c r="L28" s="629">
        <f>400000000/3500*6000</f>
        <v>685714285.71428573</v>
      </c>
      <c r="M28" s="629">
        <f>400000000/3500*6000</f>
        <v>685714285.71428573</v>
      </c>
      <c r="N28" s="629">
        <f t="shared" si="0"/>
        <v>0</v>
      </c>
    </row>
    <row r="29" spans="1:14" ht="24" customHeight="1">
      <c r="A29" s="284" t="s">
        <v>298</v>
      </c>
      <c r="B29" s="284" t="s">
        <v>219</v>
      </c>
      <c r="C29" s="284"/>
      <c r="D29" s="284"/>
      <c r="E29" s="284"/>
      <c r="F29" s="284"/>
      <c r="G29" s="284"/>
      <c r="H29" s="284"/>
      <c r="I29" s="284"/>
      <c r="J29" s="629">
        <v>18937600</v>
      </c>
      <c r="K29" s="629">
        <f>18937600*70%</f>
        <v>13256320</v>
      </c>
      <c r="L29" s="629">
        <v>0</v>
      </c>
      <c r="M29" s="629">
        <v>0</v>
      </c>
      <c r="N29" s="629">
        <f t="shared" si="0"/>
        <v>0</v>
      </c>
    </row>
    <row r="30" spans="1:14" ht="24" customHeight="1">
      <c r="A30" s="284" t="s">
        <v>430</v>
      </c>
      <c r="B30" s="284" t="s">
        <v>314</v>
      </c>
      <c r="C30" s="284"/>
      <c r="D30" s="284"/>
      <c r="E30" s="284"/>
      <c r="F30" s="284"/>
      <c r="G30" s="284"/>
      <c r="H30" s="284"/>
      <c r="I30" s="284"/>
      <c r="J30" s="629">
        <v>645983520</v>
      </c>
      <c r="K30" s="629">
        <f>645983520*70%</f>
        <v>452188464</v>
      </c>
      <c r="L30" s="629">
        <v>352188464</v>
      </c>
      <c r="M30" s="629">
        <v>352188464</v>
      </c>
      <c r="N30" s="629">
        <f t="shared" si="0"/>
        <v>0</v>
      </c>
    </row>
    <row r="31" spans="1:14" ht="24" customHeight="1">
      <c r="A31" s="284"/>
      <c r="B31" s="292" t="s">
        <v>119</v>
      </c>
      <c r="C31" s="284"/>
      <c r="D31" s="284"/>
      <c r="E31" s="284"/>
      <c r="F31" s="284"/>
      <c r="G31" s="284"/>
      <c r="H31" s="284"/>
      <c r="I31" s="284"/>
      <c r="J31" s="630">
        <f>SUM(J25:J30)</f>
        <v>1763015520</v>
      </c>
      <c r="K31" s="630">
        <f>SUM(K25:K30)</f>
        <v>1639825149.7142859</v>
      </c>
      <c r="L31" s="630">
        <f>SUM(L25:L30)</f>
        <v>1436968829.7142859</v>
      </c>
      <c r="M31" s="630">
        <f>SUM(M25:M30)</f>
        <v>1436968829.7142859</v>
      </c>
      <c r="N31" s="630">
        <f t="shared" si="0"/>
        <v>0</v>
      </c>
    </row>
    <row r="32" spans="1:14" s="649" customFormat="1" ht="24" customHeight="1">
      <c r="A32" s="292" t="s">
        <v>285</v>
      </c>
      <c r="B32" s="292" t="s">
        <v>158</v>
      </c>
      <c r="C32" s="361"/>
      <c r="D32" s="361"/>
      <c r="E32" s="361"/>
      <c r="F32" s="361"/>
      <c r="G32" s="361"/>
      <c r="H32" s="361"/>
      <c r="I32" s="361"/>
      <c r="J32" s="627"/>
      <c r="K32" s="627"/>
      <c r="L32" s="627"/>
      <c r="M32" s="627"/>
      <c r="N32" s="627">
        <f t="shared" si="0"/>
        <v>0</v>
      </c>
    </row>
    <row r="33" spans="1:14" ht="24" customHeight="1">
      <c r="A33" s="284" t="s">
        <v>286</v>
      </c>
      <c r="B33" s="284" t="s">
        <v>55</v>
      </c>
      <c r="C33" s="284"/>
      <c r="D33" s="284"/>
      <c r="E33" s="284"/>
      <c r="F33" s="284"/>
      <c r="G33" s="284"/>
      <c r="H33" s="284"/>
      <c r="I33" s="284"/>
      <c r="J33" s="629">
        <v>97667200</v>
      </c>
      <c r="K33" s="629">
        <v>68367040</v>
      </c>
      <c r="L33" s="629">
        <v>68367040</v>
      </c>
      <c r="M33" s="629">
        <v>68367040</v>
      </c>
      <c r="N33" s="629">
        <f t="shared" si="0"/>
        <v>0</v>
      </c>
    </row>
    <row r="34" spans="1:14" ht="24" customHeight="1">
      <c r="A34" s="284" t="s">
        <v>288</v>
      </c>
      <c r="B34" s="284" t="s">
        <v>287</v>
      </c>
      <c r="C34" s="284"/>
      <c r="D34" s="284"/>
      <c r="E34" s="284"/>
      <c r="F34" s="284"/>
      <c r="G34" s="284"/>
      <c r="H34" s="284"/>
      <c r="I34" s="284"/>
      <c r="J34" s="629">
        <v>4468800</v>
      </c>
      <c r="K34" s="629">
        <f>4468800*70%</f>
        <v>3128160</v>
      </c>
      <c r="L34" s="629">
        <f>4468800*70%</f>
        <v>3128160</v>
      </c>
      <c r="M34" s="629">
        <f>4468800*70%</f>
        <v>3128160</v>
      </c>
      <c r="N34" s="629">
        <f t="shared" si="0"/>
        <v>0</v>
      </c>
    </row>
    <row r="35" spans="1:14" ht="24" customHeight="1">
      <c r="A35" s="284" t="s">
        <v>431</v>
      </c>
      <c r="B35" s="284" t="s">
        <v>432</v>
      </c>
      <c r="C35" s="284"/>
      <c r="D35" s="284"/>
      <c r="E35" s="284"/>
      <c r="F35" s="284"/>
      <c r="G35" s="284"/>
      <c r="H35" s="284"/>
      <c r="I35" s="284"/>
      <c r="J35" s="629">
        <v>100000000</v>
      </c>
      <c r="K35" s="629">
        <f>366000000*70%</f>
        <v>256199999.99999997</v>
      </c>
      <c r="L35" s="629">
        <v>156200000</v>
      </c>
      <c r="M35" s="629">
        <v>156200000</v>
      </c>
      <c r="N35" s="629">
        <f t="shared" si="0"/>
        <v>0</v>
      </c>
    </row>
    <row r="36" spans="1:14" ht="24" customHeight="1">
      <c r="A36" s="284"/>
      <c r="B36" s="292" t="s">
        <v>119</v>
      </c>
      <c r="C36" s="284"/>
      <c r="D36" s="284"/>
      <c r="E36" s="284"/>
      <c r="F36" s="284"/>
      <c r="G36" s="284"/>
      <c r="H36" s="284"/>
      <c r="I36" s="284"/>
      <c r="J36" s="630">
        <f>SUM(J33:J35)</f>
        <v>202136000</v>
      </c>
      <c r="K36" s="630">
        <f>SUM(K33:K35)</f>
        <v>327695200</v>
      </c>
      <c r="L36" s="630">
        <f>SUM(L33:L35)</f>
        <v>227695200</v>
      </c>
      <c r="M36" s="630">
        <f>SUM(M33:M35)</f>
        <v>227695200</v>
      </c>
      <c r="N36" s="630">
        <f t="shared" si="0"/>
        <v>0</v>
      </c>
    </row>
    <row r="37" spans="1:14" ht="24" customHeight="1">
      <c r="A37" s="284"/>
      <c r="B37" s="292" t="s">
        <v>292</v>
      </c>
      <c r="C37" s="284"/>
      <c r="D37" s="284"/>
      <c r="E37" s="284"/>
      <c r="F37" s="284"/>
      <c r="G37" s="284"/>
      <c r="H37" s="284"/>
      <c r="I37" s="284"/>
      <c r="J37" s="629"/>
      <c r="K37" s="629"/>
      <c r="L37" s="629"/>
      <c r="M37" s="629"/>
      <c r="N37" s="629">
        <f t="shared" si="0"/>
        <v>0</v>
      </c>
    </row>
    <row r="38" spans="1:14" ht="24" customHeight="1">
      <c r="A38" s="292" t="s">
        <v>293</v>
      </c>
      <c r="B38" s="292" t="s">
        <v>291</v>
      </c>
      <c r="C38" s="284"/>
      <c r="D38" s="284"/>
      <c r="E38" s="284"/>
      <c r="F38" s="284"/>
      <c r="G38" s="284"/>
      <c r="H38" s="284"/>
      <c r="I38" s="284"/>
      <c r="J38" s="630"/>
      <c r="K38" s="630"/>
      <c r="L38" s="630"/>
      <c r="M38" s="630"/>
      <c r="N38" s="630">
        <f t="shared" si="0"/>
        <v>0</v>
      </c>
    </row>
    <row r="39" spans="1:14" ht="24" customHeight="1">
      <c r="A39" s="284" t="s">
        <v>388</v>
      </c>
      <c r="B39" s="284" t="s">
        <v>428</v>
      </c>
      <c r="C39" s="467" t="s">
        <v>4</v>
      </c>
      <c r="D39" s="395"/>
      <c r="E39" s="395"/>
      <c r="F39" s="395"/>
      <c r="G39" s="395"/>
      <c r="H39" s="395"/>
      <c r="I39" s="395"/>
      <c r="J39" s="629">
        <v>0</v>
      </c>
      <c r="K39" s="629">
        <v>525000000</v>
      </c>
      <c r="L39" s="629">
        <v>0</v>
      </c>
      <c r="M39" s="629">
        <v>0</v>
      </c>
      <c r="N39" s="629">
        <f t="shared" si="0"/>
        <v>0</v>
      </c>
    </row>
    <row r="40" spans="1:14" ht="24" customHeight="1">
      <c r="A40" s="284" t="s">
        <v>500</v>
      </c>
      <c r="B40" s="284" t="s">
        <v>176</v>
      </c>
      <c r="C40" s="379"/>
      <c r="D40" s="379"/>
      <c r="E40" s="379"/>
      <c r="F40" s="379"/>
      <c r="G40" s="379"/>
      <c r="H40" s="379"/>
      <c r="I40" s="379"/>
      <c r="J40" s="300">
        <v>5213600</v>
      </c>
      <c r="K40" s="300">
        <f>5213600*70%</f>
        <v>3649520</v>
      </c>
      <c r="L40" s="300">
        <v>0</v>
      </c>
      <c r="M40" s="300">
        <v>0</v>
      </c>
      <c r="N40" s="300">
        <f t="shared" si="0"/>
        <v>0</v>
      </c>
    </row>
    <row r="41" spans="1:14" ht="24" customHeight="1">
      <c r="A41" s="284" t="s">
        <v>682</v>
      </c>
      <c r="B41" s="284" t="s">
        <v>1218</v>
      </c>
      <c r="C41" s="379"/>
      <c r="D41" s="379"/>
      <c r="E41" s="379"/>
      <c r="F41" s="379"/>
      <c r="G41" s="379"/>
      <c r="H41" s="379"/>
      <c r="I41" s="379"/>
      <c r="J41" s="300"/>
      <c r="K41" s="300">
        <v>0</v>
      </c>
      <c r="L41" s="300">
        <v>7584000000</v>
      </c>
      <c r="M41" s="300">
        <v>120000000</v>
      </c>
      <c r="N41" s="300">
        <f t="shared" si="0"/>
        <v>-7464000000</v>
      </c>
    </row>
    <row r="42" spans="1:14" ht="24" customHeight="1">
      <c r="A42" s="284"/>
      <c r="B42" s="284" t="s">
        <v>119</v>
      </c>
      <c r="C42" s="379"/>
      <c r="D42" s="379"/>
      <c r="E42" s="379"/>
      <c r="F42" s="379"/>
      <c r="G42" s="379"/>
      <c r="H42" s="379"/>
      <c r="I42" s="379"/>
      <c r="J42" s="627">
        <f>SUM(J39:J40)</f>
        <v>5213600</v>
      </c>
      <c r="K42" s="627">
        <f>SUM(K39:K40)</f>
        <v>528649520</v>
      </c>
      <c r="L42" s="627">
        <f>SUM(L39:L41)</f>
        <v>7584000000</v>
      </c>
      <c r="M42" s="627">
        <f>SUM(M39:M41)</f>
        <v>120000000</v>
      </c>
      <c r="N42" s="627">
        <f t="shared" si="0"/>
        <v>-7464000000</v>
      </c>
    </row>
    <row r="43" spans="1:14" ht="24" customHeight="1">
      <c r="A43" s="421" t="s">
        <v>611</v>
      </c>
      <c r="B43" s="422" t="s">
        <v>612</v>
      </c>
      <c r="C43" s="379"/>
      <c r="D43" s="379"/>
      <c r="E43" s="379"/>
      <c r="F43" s="379"/>
      <c r="G43" s="379"/>
      <c r="H43" s="379"/>
      <c r="I43" s="379"/>
      <c r="J43" s="300"/>
      <c r="K43" s="300"/>
      <c r="L43" s="300"/>
      <c r="M43" s="300"/>
      <c r="N43" s="300">
        <f t="shared" si="0"/>
        <v>0</v>
      </c>
    </row>
    <row r="44" spans="1:14" ht="24" customHeight="1">
      <c r="A44" s="284" t="s">
        <v>433</v>
      </c>
      <c r="B44" s="284" t="s">
        <v>707</v>
      </c>
      <c r="C44" s="379"/>
      <c r="D44" s="379"/>
      <c r="E44" s="379"/>
      <c r="F44" s="379"/>
      <c r="G44" s="379"/>
      <c r="H44" s="379"/>
      <c r="I44" s="379"/>
      <c r="J44" s="300">
        <v>410000000</v>
      </c>
      <c r="K44" s="300">
        <f>410000000*70%</f>
        <v>287000000</v>
      </c>
      <c r="L44" s="300">
        <f>410000000*70%</f>
        <v>287000000</v>
      </c>
      <c r="M44" s="300">
        <f>410000000*70%</f>
        <v>287000000</v>
      </c>
      <c r="N44" s="300">
        <f t="shared" si="0"/>
        <v>0</v>
      </c>
    </row>
    <row r="45" spans="1:14" ht="24" customHeight="1">
      <c r="A45" s="284" t="s">
        <v>816</v>
      </c>
      <c r="B45" s="284" t="s">
        <v>877</v>
      </c>
      <c r="C45" s="379"/>
      <c r="D45" s="379"/>
      <c r="E45" s="379"/>
      <c r="F45" s="379"/>
      <c r="G45" s="379"/>
      <c r="H45" s="379"/>
      <c r="I45" s="379"/>
      <c r="J45" s="300"/>
      <c r="K45" s="300"/>
      <c r="L45" s="300">
        <v>120000000</v>
      </c>
      <c r="M45" s="300">
        <v>120000000</v>
      </c>
      <c r="N45" s="300">
        <f t="shared" si="0"/>
        <v>0</v>
      </c>
    </row>
    <row r="46" spans="1:14" ht="24" customHeight="1">
      <c r="A46" s="284" t="s">
        <v>865</v>
      </c>
      <c r="B46" s="284" t="s">
        <v>866</v>
      </c>
      <c r="C46" s="379"/>
      <c r="D46" s="379"/>
      <c r="E46" s="379"/>
      <c r="F46" s="379"/>
      <c r="G46" s="379"/>
      <c r="H46" s="379"/>
      <c r="I46" s="379"/>
      <c r="J46" s="300"/>
      <c r="K46" s="300"/>
      <c r="L46" s="300">
        <v>120000000</v>
      </c>
      <c r="M46" s="300">
        <v>120000000</v>
      </c>
      <c r="N46" s="300">
        <f t="shared" si="0"/>
        <v>0</v>
      </c>
    </row>
    <row r="47" spans="1:14" ht="24" customHeight="1">
      <c r="A47" s="284" t="s">
        <v>867</v>
      </c>
      <c r="B47" s="284" t="s">
        <v>868</v>
      </c>
      <c r="C47" s="379"/>
      <c r="D47" s="379"/>
      <c r="E47" s="379"/>
      <c r="F47" s="379"/>
      <c r="G47" s="379"/>
      <c r="H47" s="379"/>
      <c r="I47" s="379"/>
      <c r="J47" s="300"/>
      <c r="K47" s="300"/>
      <c r="L47" s="300">
        <v>120000000</v>
      </c>
      <c r="M47" s="300">
        <v>120000000</v>
      </c>
      <c r="N47" s="300">
        <f t="shared" si="0"/>
        <v>0</v>
      </c>
    </row>
    <row r="48" spans="1:14" ht="24" customHeight="1">
      <c r="A48" s="284" t="s">
        <v>1137</v>
      </c>
      <c r="B48" s="284" t="s">
        <v>1249</v>
      </c>
      <c r="C48" s="379"/>
      <c r="D48" s="379"/>
      <c r="E48" s="379"/>
      <c r="F48" s="379"/>
      <c r="G48" s="379"/>
      <c r="H48" s="379"/>
      <c r="I48" s="379"/>
      <c r="J48" s="300"/>
      <c r="K48" s="300"/>
      <c r="L48" s="300"/>
      <c r="M48" s="300">
        <v>120000000</v>
      </c>
      <c r="N48" s="300">
        <f t="shared" si="0"/>
        <v>120000000</v>
      </c>
    </row>
    <row r="49" spans="1:14" ht="24" customHeight="1">
      <c r="A49" s="284"/>
      <c r="B49" s="284" t="s">
        <v>119</v>
      </c>
      <c r="C49" s="379"/>
      <c r="D49" s="379"/>
      <c r="E49" s="379"/>
      <c r="F49" s="379"/>
      <c r="G49" s="379"/>
      <c r="H49" s="379"/>
      <c r="I49" s="379"/>
      <c r="J49" s="300"/>
      <c r="K49" s="627">
        <f>SUM(K44)</f>
        <v>287000000</v>
      </c>
      <c r="L49" s="627">
        <f>SUM(L44:L47)</f>
        <v>647000000</v>
      </c>
      <c r="M49" s="627">
        <f>SUM(M44:M48)</f>
        <v>767000000</v>
      </c>
      <c r="N49" s="627">
        <f>M49-L49</f>
        <v>120000000</v>
      </c>
    </row>
    <row r="50" spans="1:14" ht="24" customHeight="1">
      <c r="A50" s="292" t="s">
        <v>338</v>
      </c>
      <c r="B50" s="292" t="s">
        <v>683</v>
      </c>
      <c r="C50" s="379"/>
      <c r="D50" s="379"/>
      <c r="E50" s="379"/>
      <c r="F50" s="379"/>
      <c r="G50" s="379"/>
      <c r="H50" s="379"/>
      <c r="I50" s="379"/>
      <c r="J50" s="300"/>
      <c r="K50" s="300"/>
      <c r="L50" s="300"/>
      <c r="M50" s="300"/>
      <c r="N50" s="300">
        <f t="shared" si="0"/>
        <v>0</v>
      </c>
    </row>
    <row r="51" spans="1:14" ht="24" customHeight="1">
      <c r="A51" s="284" t="s">
        <v>446</v>
      </c>
      <c r="B51" s="284" t="s">
        <v>1221</v>
      </c>
      <c r="C51" s="379"/>
      <c r="D51" s="379"/>
      <c r="E51" s="379"/>
      <c r="F51" s="379"/>
      <c r="G51" s="379"/>
      <c r="H51" s="379"/>
      <c r="I51" s="379"/>
      <c r="J51" s="300"/>
      <c r="K51" s="300"/>
      <c r="L51" s="300">
        <v>180000000</v>
      </c>
      <c r="M51" s="300">
        <v>1320000000</v>
      </c>
      <c r="N51" s="300">
        <f t="shared" si="0"/>
        <v>1140000000</v>
      </c>
    </row>
    <row r="52" spans="1:14" ht="24" customHeight="1">
      <c r="A52" s="284" t="s">
        <v>1219</v>
      </c>
      <c r="B52" s="284" t="s">
        <v>1220</v>
      </c>
      <c r="C52" s="379"/>
      <c r="D52" s="379"/>
      <c r="E52" s="379"/>
      <c r="F52" s="379"/>
      <c r="G52" s="379"/>
      <c r="H52" s="379"/>
      <c r="I52" s="379"/>
      <c r="J52" s="300"/>
      <c r="K52" s="300"/>
      <c r="L52" s="300">
        <v>0</v>
      </c>
      <c r="M52" s="300">
        <v>210000000</v>
      </c>
      <c r="N52" s="300"/>
    </row>
    <row r="53" spans="1:14" ht="24" customHeight="1">
      <c r="A53" s="284"/>
      <c r="B53" s="292" t="s">
        <v>119</v>
      </c>
      <c r="C53" s="379"/>
      <c r="D53" s="379"/>
      <c r="E53" s="379"/>
      <c r="F53" s="379"/>
      <c r="G53" s="379"/>
      <c r="H53" s="379"/>
      <c r="I53" s="379"/>
      <c r="J53" s="627">
        <f>SUM(J39:J44)</f>
        <v>420427200</v>
      </c>
      <c r="K53" s="627"/>
      <c r="L53" s="627">
        <f>SUM(L50:L52)</f>
        <v>180000000</v>
      </c>
      <c r="M53" s="627">
        <f>SUM(M50:M52)</f>
        <v>1530000000</v>
      </c>
      <c r="N53" s="627">
        <f t="shared" si="0"/>
        <v>1350000000</v>
      </c>
    </row>
    <row r="54" spans="1:14" ht="24" customHeight="1">
      <c r="A54" s="284"/>
      <c r="B54" s="292" t="s">
        <v>42</v>
      </c>
      <c r="C54" s="379"/>
      <c r="D54" s="379"/>
      <c r="E54" s="379"/>
      <c r="F54" s="379"/>
      <c r="G54" s="379"/>
      <c r="H54" s="379"/>
      <c r="I54" s="379"/>
      <c r="J54" s="627">
        <f>J53+J36+J31+J23+J9</f>
        <v>8555024560</v>
      </c>
      <c r="K54" s="627">
        <f>K53+K49+K42+K36+K31+K23+K9</f>
        <v>16344798557.714287</v>
      </c>
      <c r="L54" s="627">
        <f>L53+L49+L42+L36+L31+L23+L9</f>
        <v>26462450637.714287</v>
      </c>
      <c r="M54" s="627">
        <f>M53+M49+M42+M36+M31+M23+M9</f>
        <v>25594452237.714287</v>
      </c>
      <c r="N54" s="627">
        <f t="shared" si="0"/>
        <v>-867998400</v>
      </c>
    </row>
    <row r="55" spans="1:14" ht="23.1" customHeight="1">
      <c r="A55" s="650"/>
      <c r="J55" s="628"/>
    </row>
    <row r="56" spans="1:14" ht="23.1" customHeight="1">
      <c r="J56" s="628"/>
    </row>
  </sheetData>
  <phoneticPr fontId="0" type="noConversion"/>
  <printOptions gridLines="1"/>
  <pageMargins left="0.51" right="0.25" top="0.84" bottom="0.43" header="0.17" footer="0.19"/>
  <pageSetup scale="54" fitToHeight="2" orientation="portrait" r:id="rId1"/>
  <headerFooter alignWithMargins="0">
    <oddHeader xml:space="preserve">&amp;C&amp;"Algerian,Bold"&amp;28Wasaaradda  &amp;36Caafimaadka </oddHeader>
    <oddFooter>&amp;R&amp;"Times New Roman,Bold"&amp;14 
&amp;16 38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0"/>
  <dimension ref="A1:O47"/>
  <sheetViews>
    <sheetView view="pageBreakPreview" zoomScale="60" zoomScaleNormal="60" workbookViewId="0">
      <selection sqref="A1:XFD1048576"/>
    </sheetView>
  </sheetViews>
  <sheetFormatPr defaultRowHeight="24" customHeight="1"/>
  <cols>
    <col min="1" max="1" width="19.33203125" style="155" bestFit="1" customWidth="1"/>
    <col min="2" max="2" width="79.6640625" style="155" bestFit="1" customWidth="1"/>
    <col min="3" max="10" width="9.33203125" style="155" hidden="1" customWidth="1"/>
    <col min="11" max="11" width="24.5" style="155" hidden="1" customWidth="1"/>
    <col min="12" max="12" width="27.6640625" style="155" hidden="1" customWidth="1"/>
    <col min="13" max="15" width="27.6640625" style="155" customWidth="1"/>
    <col min="16" max="16384" width="9.33203125" style="155"/>
  </cols>
  <sheetData>
    <row r="1" spans="1:15" ht="27" customHeight="1">
      <c r="A1" s="292" t="s">
        <v>44</v>
      </c>
      <c r="B1" s="371" t="s">
        <v>475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651"/>
      <c r="N1" s="651"/>
      <c r="O1" s="651"/>
    </row>
    <row r="2" spans="1:15" s="426" customFormat="1" ht="27" customHeight="1">
      <c r="A2" s="371" t="s">
        <v>28</v>
      </c>
      <c r="B2" s="371" t="s">
        <v>29</v>
      </c>
      <c r="C2" s="292" t="s">
        <v>29</v>
      </c>
      <c r="D2" s="292" t="s">
        <v>2</v>
      </c>
      <c r="E2" s="292" t="s">
        <v>48</v>
      </c>
      <c r="F2" s="292" t="s">
        <v>52</v>
      </c>
      <c r="G2" s="292" t="s">
        <v>62</v>
      </c>
      <c r="H2" s="271" t="s">
        <v>69</v>
      </c>
      <c r="I2" s="271" t="s">
        <v>130</v>
      </c>
      <c r="J2" s="271" t="s">
        <v>144</v>
      </c>
      <c r="K2" s="271" t="s">
        <v>166</v>
      </c>
      <c r="L2" s="271" t="s">
        <v>297</v>
      </c>
      <c r="M2" s="271" t="s">
        <v>643</v>
      </c>
      <c r="N2" s="271" t="s">
        <v>1111</v>
      </c>
      <c r="O2" s="271" t="s">
        <v>63</v>
      </c>
    </row>
    <row r="3" spans="1:15" s="426" customFormat="1" ht="27" customHeight="1">
      <c r="A3" s="292" t="s">
        <v>248</v>
      </c>
      <c r="B3" s="292" t="s">
        <v>165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27" customHeight="1">
      <c r="A4" s="292" t="s">
        <v>249</v>
      </c>
      <c r="B4" s="292" t="s">
        <v>250</v>
      </c>
      <c r="C4" s="284">
        <v>86305000</v>
      </c>
      <c r="D4" s="284">
        <v>136860000</v>
      </c>
      <c r="E4" s="284">
        <v>103440000</v>
      </c>
      <c r="F4" s="284">
        <v>103440000</v>
      </c>
      <c r="G4" s="284">
        <v>110556000</v>
      </c>
      <c r="H4" s="284">
        <v>110556000</v>
      </c>
      <c r="I4" s="284">
        <v>143722800</v>
      </c>
      <c r="J4" s="284">
        <v>188958000</v>
      </c>
      <c r="K4" s="284"/>
      <c r="L4" s="284"/>
      <c r="M4" s="284"/>
      <c r="N4" s="284"/>
      <c r="O4" s="284"/>
    </row>
    <row r="5" spans="1:15" ht="27" customHeight="1">
      <c r="A5" s="284" t="s">
        <v>247</v>
      </c>
      <c r="B5" s="284" t="s">
        <v>32</v>
      </c>
      <c r="C5" s="284">
        <v>4528000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>
        <f>188958000+10545600</f>
        <v>199503600</v>
      </c>
      <c r="L5" s="284">
        <f>'shaq,3'!H38+36000000+179088000</f>
        <v>504530400</v>
      </c>
      <c r="M5" s="284">
        <v>470433600</v>
      </c>
      <c r="N5" s="284">
        <f>M5</f>
        <v>470433600</v>
      </c>
      <c r="O5" s="284">
        <f>N5-M5</f>
        <v>0</v>
      </c>
    </row>
    <row r="6" spans="1:15" ht="27" customHeight="1">
      <c r="A6" s="284" t="s">
        <v>251</v>
      </c>
      <c r="B6" s="284" t="s">
        <v>813</v>
      </c>
      <c r="C6" s="284">
        <v>10800000</v>
      </c>
      <c r="D6" s="284">
        <v>10800000</v>
      </c>
      <c r="E6" s="284">
        <v>10800000</v>
      </c>
      <c r="F6" s="284">
        <v>10800000</v>
      </c>
      <c r="G6" s="284">
        <v>14400000</v>
      </c>
      <c r="H6" s="284">
        <v>14400000</v>
      </c>
      <c r="I6" s="284">
        <v>14400000</v>
      </c>
      <c r="J6" s="284">
        <v>36000000</v>
      </c>
      <c r="K6" s="284">
        <v>0</v>
      </c>
      <c r="L6" s="284">
        <v>0</v>
      </c>
      <c r="M6" s="284">
        <v>97200000</v>
      </c>
      <c r="N6" s="284">
        <v>97200000</v>
      </c>
      <c r="O6" s="284">
        <f t="shared" ref="O6:O46" si="0">N6-M6</f>
        <v>0</v>
      </c>
    </row>
    <row r="7" spans="1:15" ht="27" customHeight="1">
      <c r="A7" s="284" t="s">
        <v>252</v>
      </c>
      <c r="B7" s="284" t="s">
        <v>34</v>
      </c>
      <c r="C7" s="284">
        <v>0</v>
      </c>
      <c r="D7" s="284">
        <v>0</v>
      </c>
      <c r="E7" s="284">
        <v>0</v>
      </c>
      <c r="F7" s="284">
        <v>0</v>
      </c>
      <c r="G7" s="284">
        <v>0</v>
      </c>
      <c r="H7" s="284">
        <v>0</v>
      </c>
      <c r="I7" s="284">
        <v>0</v>
      </c>
      <c r="J7" s="284">
        <v>0</v>
      </c>
      <c r="K7" s="284">
        <f>31320000+720000+3960000+3600000</f>
        <v>39600000</v>
      </c>
      <c r="L7" s="284">
        <f>31320000+720000+3960000+3600000</f>
        <v>39600000</v>
      </c>
      <c r="M7" s="284">
        <v>68400000</v>
      </c>
      <c r="N7" s="284">
        <v>118800000</v>
      </c>
      <c r="O7" s="284">
        <f t="shared" si="0"/>
        <v>50400000</v>
      </c>
    </row>
    <row r="8" spans="1:15" ht="27" customHeight="1">
      <c r="A8" s="284" t="s">
        <v>676</v>
      </c>
      <c r="B8" s="284" t="s">
        <v>854</v>
      </c>
      <c r="C8" s="284"/>
      <c r="D8" s="284"/>
      <c r="E8" s="284"/>
      <c r="F8" s="284"/>
      <c r="G8" s="284"/>
      <c r="H8" s="284"/>
      <c r="I8" s="284"/>
      <c r="J8" s="284"/>
      <c r="K8" s="284"/>
      <c r="L8" s="284">
        <v>24000000</v>
      </c>
      <c r="M8" s="284">
        <v>269000000</v>
      </c>
      <c r="N8" s="284">
        <v>269000000</v>
      </c>
      <c r="O8" s="284">
        <f t="shared" si="0"/>
        <v>0</v>
      </c>
    </row>
    <row r="9" spans="1:15" ht="27" customHeight="1">
      <c r="A9" s="284"/>
      <c r="B9" s="292" t="s">
        <v>119</v>
      </c>
      <c r="C9" s="284">
        <v>0</v>
      </c>
      <c r="D9" s="284">
        <v>1000000</v>
      </c>
      <c r="E9" s="284">
        <v>1000000</v>
      </c>
      <c r="F9" s="284">
        <v>1000000</v>
      </c>
      <c r="G9" s="284">
        <v>1600000</v>
      </c>
      <c r="H9" s="284">
        <v>3600000</v>
      </c>
      <c r="I9" s="284">
        <v>3426080</v>
      </c>
      <c r="J9" s="284">
        <v>7448000</v>
      </c>
      <c r="K9" s="292">
        <f>SUM(K5:K7)</f>
        <v>239103600</v>
      </c>
      <c r="L9" s="292">
        <f>L8+L7+L5+L6</f>
        <v>568130400</v>
      </c>
      <c r="M9" s="292">
        <f>M8+M7+M5+M6</f>
        <v>905033600</v>
      </c>
      <c r="N9" s="292">
        <f>SUM(N5:N8)</f>
        <v>955433600</v>
      </c>
      <c r="O9" s="292">
        <f t="shared" si="0"/>
        <v>50400000</v>
      </c>
    </row>
    <row r="10" spans="1:15" ht="27" customHeight="1">
      <c r="A10" s="292" t="s">
        <v>262</v>
      </c>
      <c r="B10" s="292" t="s">
        <v>263</v>
      </c>
      <c r="C10" s="284"/>
      <c r="D10" s="284">
        <v>20000000</v>
      </c>
      <c r="E10" s="284">
        <v>56000000</v>
      </c>
      <c r="F10" s="284">
        <v>0</v>
      </c>
      <c r="G10" s="284">
        <v>0</v>
      </c>
      <c r="H10" s="284">
        <v>149500000</v>
      </c>
      <c r="I10" s="284">
        <v>0</v>
      </c>
      <c r="J10" s="284">
        <v>22344000</v>
      </c>
      <c r="K10" s="284"/>
      <c r="L10" s="284"/>
      <c r="M10" s="284"/>
      <c r="N10" s="284"/>
      <c r="O10" s="284">
        <f t="shared" si="0"/>
        <v>0</v>
      </c>
    </row>
    <row r="11" spans="1:15" ht="27" customHeight="1">
      <c r="A11" s="292" t="s">
        <v>265</v>
      </c>
      <c r="B11" s="292" t="s">
        <v>264</v>
      </c>
      <c r="C11" s="284">
        <v>0</v>
      </c>
      <c r="D11" s="284">
        <v>2000000</v>
      </c>
      <c r="E11" s="284">
        <v>2000000</v>
      </c>
      <c r="F11" s="284">
        <v>1000000</v>
      </c>
      <c r="G11" s="284">
        <v>3200000</v>
      </c>
      <c r="H11" s="284">
        <v>4000000</v>
      </c>
      <c r="I11" s="284">
        <v>2979200</v>
      </c>
      <c r="J11" s="284">
        <v>3724000</v>
      </c>
      <c r="K11" s="284"/>
      <c r="L11" s="284"/>
      <c r="M11" s="284"/>
      <c r="N11" s="284"/>
      <c r="O11" s="284">
        <f t="shared" si="0"/>
        <v>0</v>
      </c>
    </row>
    <row r="12" spans="1:15" ht="27" customHeight="1">
      <c r="A12" s="284" t="s">
        <v>266</v>
      </c>
      <c r="B12" s="284" t="s">
        <v>38</v>
      </c>
      <c r="C12" s="284"/>
      <c r="D12" s="284"/>
      <c r="E12" s="284"/>
      <c r="F12" s="284"/>
      <c r="G12" s="284"/>
      <c r="H12" s="284"/>
      <c r="I12" s="284"/>
      <c r="J12" s="284">
        <v>2979200</v>
      </c>
      <c r="K12" s="284">
        <v>11172000</v>
      </c>
      <c r="L12" s="284">
        <f>30000000*70%</f>
        <v>21000000</v>
      </c>
      <c r="M12" s="284">
        <f>30000000*70%</f>
        <v>21000000</v>
      </c>
      <c r="N12" s="284">
        <f>30000000*70%</f>
        <v>21000000</v>
      </c>
      <c r="O12" s="284">
        <f t="shared" si="0"/>
        <v>0</v>
      </c>
    </row>
    <row r="13" spans="1:15" ht="27" customHeight="1">
      <c r="A13" s="284" t="s">
        <v>267</v>
      </c>
      <c r="B13" s="284" t="s">
        <v>532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59584000</v>
      </c>
      <c r="K13" s="284">
        <v>0</v>
      </c>
      <c r="L13" s="284">
        <f>20000000*70%</f>
        <v>14000000</v>
      </c>
      <c r="M13" s="284">
        <f>20000000*70%</f>
        <v>14000000</v>
      </c>
      <c r="N13" s="284">
        <f>20000000*70%</f>
        <v>14000000</v>
      </c>
      <c r="O13" s="284">
        <f t="shared" si="0"/>
        <v>0</v>
      </c>
    </row>
    <row r="14" spans="1:15" s="387" customFormat="1" ht="27" customHeight="1">
      <c r="A14" s="284" t="s">
        <v>268</v>
      </c>
      <c r="B14" s="284" t="s">
        <v>153</v>
      </c>
      <c r="C14" s="284"/>
      <c r="D14" s="284"/>
      <c r="E14" s="284"/>
      <c r="F14" s="284"/>
      <c r="G14" s="284"/>
      <c r="H14" s="284"/>
      <c r="I14" s="284"/>
      <c r="J14" s="284">
        <v>280000000</v>
      </c>
      <c r="K14" s="284">
        <v>0</v>
      </c>
      <c r="L14" s="284">
        <f>300000000*70%</f>
        <v>210000000</v>
      </c>
      <c r="M14" s="284">
        <v>0</v>
      </c>
      <c r="N14" s="284">
        <v>70000000</v>
      </c>
      <c r="O14" s="395">
        <f t="shared" si="0"/>
        <v>70000000</v>
      </c>
    </row>
    <row r="15" spans="1:15" ht="27" customHeight="1">
      <c r="A15" s="284" t="s">
        <v>269</v>
      </c>
      <c r="B15" s="284" t="s">
        <v>186</v>
      </c>
      <c r="C15" s="284">
        <f t="shared" ref="C15:I15" si="1">SUM(C9:C10)</f>
        <v>0</v>
      </c>
      <c r="D15" s="284">
        <f t="shared" si="1"/>
        <v>21000000</v>
      </c>
      <c r="E15" s="284">
        <f t="shared" si="1"/>
        <v>57000000</v>
      </c>
      <c r="F15" s="284">
        <f t="shared" si="1"/>
        <v>1000000</v>
      </c>
      <c r="G15" s="284">
        <f t="shared" si="1"/>
        <v>1600000</v>
      </c>
      <c r="H15" s="292">
        <f t="shared" si="1"/>
        <v>153100000</v>
      </c>
      <c r="I15" s="292">
        <f t="shared" si="1"/>
        <v>3426080</v>
      </c>
      <c r="J15" s="292">
        <f>SUM(J9:J14)</f>
        <v>376079200</v>
      </c>
      <c r="K15" s="284">
        <v>30000000</v>
      </c>
      <c r="L15" s="284">
        <f>30000000*70%</f>
        <v>21000000</v>
      </c>
      <c r="M15" s="284">
        <f>30000000*70%</f>
        <v>21000000</v>
      </c>
      <c r="N15" s="284">
        <f>30000000*70%</f>
        <v>21000000</v>
      </c>
      <c r="O15" s="284">
        <f t="shared" si="0"/>
        <v>0</v>
      </c>
    </row>
    <row r="16" spans="1:15" ht="27" customHeight="1">
      <c r="A16" s="284" t="s">
        <v>270</v>
      </c>
      <c r="B16" s="284" t="s">
        <v>163</v>
      </c>
      <c r="C16" s="284">
        <v>0</v>
      </c>
      <c r="D16" s="284">
        <v>6000000</v>
      </c>
      <c r="E16" s="284">
        <v>8000000</v>
      </c>
      <c r="F16" s="284">
        <v>16000000</v>
      </c>
      <c r="G16" s="284">
        <v>20217600</v>
      </c>
      <c r="H16" s="284">
        <v>25272000</v>
      </c>
      <c r="I16" s="284">
        <v>37442586</v>
      </c>
      <c r="J16" s="284"/>
      <c r="K16" s="284">
        <v>0</v>
      </c>
      <c r="L16" s="284">
        <f>31500000*70%</f>
        <v>22050000</v>
      </c>
      <c r="M16" s="284">
        <f>31500000*70%</f>
        <v>22050000</v>
      </c>
      <c r="N16" s="284">
        <f>31500000*70%</f>
        <v>22050000</v>
      </c>
      <c r="O16" s="284">
        <f t="shared" si="0"/>
        <v>0</v>
      </c>
    </row>
    <row r="17" spans="1:15" ht="27" customHeight="1">
      <c r="A17" s="284" t="s">
        <v>271</v>
      </c>
      <c r="B17" s="284" t="s">
        <v>154</v>
      </c>
      <c r="C17" s="284">
        <v>12000000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f>7000000*70%</f>
        <v>4900000</v>
      </c>
      <c r="M17" s="284">
        <v>0</v>
      </c>
      <c r="N17" s="284">
        <v>0</v>
      </c>
      <c r="O17" s="284">
        <f t="shared" si="0"/>
        <v>0</v>
      </c>
    </row>
    <row r="18" spans="1:15" ht="27" customHeight="1">
      <c r="A18" s="284" t="s">
        <v>272</v>
      </c>
      <c r="B18" s="284" t="s">
        <v>54</v>
      </c>
      <c r="C18" s="284">
        <v>7000000</v>
      </c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55272000</v>
      </c>
      <c r="K18" s="284">
        <v>32344000</v>
      </c>
      <c r="L18" s="284">
        <f>28000000*70%</f>
        <v>19600000</v>
      </c>
      <c r="M18" s="284">
        <f>L18*70%</f>
        <v>13720000</v>
      </c>
      <c r="N18" s="284">
        <f>M18</f>
        <v>13720000</v>
      </c>
      <c r="O18" s="284">
        <f t="shared" si="0"/>
        <v>0</v>
      </c>
    </row>
    <row r="19" spans="1:15" ht="27" customHeight="1">
      <c r="A19" s="284" t="s">
        <v>274</v>
      </c>
      <c r="B19" s="284" t="s">
        <v>164</v>
      </c>
      <c r="C19" s="284">
        <v>0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3426080</v>
      </c>
      <c r="K19" s="284">
        <v>13724000</v>
      </c>
      <c r="L19" s="284">
        <f>20000000*70%</f>
        <v>14000000</v>
      </c>
      <c r="M19" s="284">
        <f>20000000*70%</f>
        <v>14000000</v>
      </c>
      <c r="N19" s="284">
        <f>20000000*70%</f>
        <v>14000000</v>
      </c>
      <c r="O19" s="284">
        <f t="shared" si="0"/>
        <v>0</v>
      </c>
    </row>
    <row r="20" spans="1:15" ht="27" customHeight="1">
      <c r="A20" s="284" t="s">
        <v>275</v>
      </c>
      <c r="B20" s="284" t="s">
        <v>40</v>
      </c>
      <c r="C20" s="284">
        <v>5000000</v>
      </c>
      <c r="D20" s="284">
        <v>5000000</v>
      </c>
      <c r="E20" s="284">
        <v>5000000</v>
      </c>
      <c r="F20" s="284">
        <v>5000000</v>
      </c>
      <c r="G20" s="284">
        <v>8000000</v>
      </c>
      <c r="H20" s="284">
        <v>10000000</v>
      </c>
      <c r="I20" s="284">
        <v>18620000</v>
      </c>
      <c r="J20" s="292">
        <f>SUM(J17:J19)</f>
        <v>58698080</v>
      </c>
      <c r="K20" s="284">
        <v>2979200</v>
      </c>
      <c r="L20" s="284">
        <f>210000000*70%</f>
        <v>147000000</v>
      </c>
      <c r="M20" s="284">
        <f>210000000*70%</f>
        <v>147000000</v>
      </c>
      <c r="N20" s="284">
        <f>210000000*70%</f>
        <v>147000000</v>
      </c>
      <c r="O20" s="284">
        <f t="shared" si="0"/>
        <v>0</v>
      </c>
    </row>
    <row r="21" spans="1:15" ht="27" customHeight="1">
      <c r="A21" s="284" t="s">
        <v>661</v>
      </c>
      <c r="B21" s="284" t="s">
        <v>1262</v>
      </c>
      <c r="C21" s="284"/>
      <c r="D21" s="284"/>
      <c r="E21" s="284"/>
      <c r="F21" s="284"/>
      <c r="G21" s="284"/>
      <c r="H21" s="284"/>
      <c r="I21" s="284"/>
      <c r="J21" s="292"/>
      <c r="K21" s="284"/>
      <c r="L21" s="284">
        <v>0</v>
      </c>
      <c r="M21" s="284">
        <v>196000000</v>
      </c>
      <c r="N21" s="284">
        <v>196000000</v>
      </c>
      <c r="O21" s="284">
        <f t="shared" si="0"/>
        <v>0</v>
      </c>
    </row>
    <row r="22" spans="1:15" ht="27" customHeight="1">
      <c r="A22" s="284" t="s">
        <v>317</v>
      </c>
      <c r="B22" s="284" t="s">
        <v>318</v>
      </c>
      <c r="C22" s="284"/>
      <c r="D22" s="284"/>
      <c r="E22" s="284"/>
      <c r="F22" s="284"/>
      <c r="G22" s="284"/>
      <c r="H22" s="284"/>
      <c r="I22" s="284"/>
      <c r="J22" s="292"/>
      <c r="K22" s="284">
        <v>92311305</v>
      </c>
      <c r="L22" s="284">
        <f>150000000*70%</f>
        <v>105000000</v>
      </c>
      <c r="M22" s="284">
        <f>150000000*70%</f>
        <v>105000000</v>
      </c>
      <c r="N22" s="284">
        <v>165000000</v>
      </c>
      <c r="O22" s="284">
        <f t="shared" si="0"/>
        <v>60000000</v>
      </c>
    </row>
    <row r="23" spans="1:15" ht="27" customHeight="1">
      <c r="A23" s="284" t="s">
        <v>277</v>
      </c>
      <c r="B23" s="284" t="s">
        <v>218</v>
      </c>
      <c r="C23" s="292">
        <f t="shared" ref="C23:I23" si="2">SUM(C15:C20)</f>
        <v>24000000</v>
      </c>
      <c r="D23" s="292">
        <f t="shared" si="2"/>
        <v>32000000</v>
      </c>
      <c r="E23" s="292">
        <f t="shared" si="2"/>
        <v>70000000</v>
      </c>
      <c r="F23" s="292">
        <f t="shared" si="2"/>
        <v>22000000</v>
      </c>
      <c r="G23" s="292">
        <f t="shared" si="2"/>
        <v>29817600</v>
      </c>
      <c r="H23" s="292">
        <f t="shared" si="2"/>
        <v>188372000</v>
      </c>
      <c r="I23" s="292">
        <f t="shared" si="2"/>
        <v>59488666</v>
      </c>
      <c r="J23" s="292">
        <v>0</v>
      </c>
      <c r="K23" s="284">
        <v>330000000</v>
      </c>
      <c r="L23" s="284">
        <f>350000000*70%</f>
        <v>244999999.99999997</v>
      </c>
      <c r="M23" s="284">
        <v>0</v>
      </c>
      <c r="N23" s="284"/>
      <c r="O23" s="284">
        <f t="shared" si="0"/>
        <v>0</v>
      </c>
    </row>
    <row r="24" spans="1:15" ht="27" customHeight="1">
      <c r="A24" s="284" t="s">
        <v>733</v>
      </c>
      <c r="B24" s="284" t="s">
        <v>751</v>
      </c>
      <c r="C24" s="292"/>
      <c r="D24" s="292"/>
      <c r="E24" s="292"/>
      <c r="F24" s="292"/>
      <c r="G24" s="292"/>
      <c r="H24" s="292"/>
      <c r="I24" s="292"/>
      <c r="J24" s="292"/>
      <c r="K24" s="284"/>
      <c r="L24" s="284">
        <v>0</v>
      </c>
      <c r="M24" s="284">
        <v>138000000</v>
      </c>
      <c r="N24" s="284"/>
      <c r="O24" s="284">
        <f t="shared" si="0"/>
        <v>-138000000</v>
      </c>
    </row>
    <row r="25" spans="1:15" ht="27" customHeight="1">
      <c r="A25" s="284"/>
      <c r="B25" s="292" t="s">
        <v>119</v>
      </c>
      <c r="C25" s="335"/>
      <c r="D25" s="336">
        <v>0</v>
      </c>
      <c r="E25" s="336"/>
      <c r="F25" s="336"/>
      <c r="G25" s="336"/>
      <c r="H25" s="336"/>
      <c r="I25" s="336"/>
      <c r="J25" s="361">
        <f>SUM(J23:J23)</f>
        <v>0</v>
      </c>
      <c r="K25" s="361">
        <f>SUM(K12:K23)</f>
        <v>512530505</v>
      </c>
      <c r="L25" s="361">
        <f>SUM(L12:L23)</f>
        <v>823550000</v>
      </c>
      <c r="M25" s="361">
        <f>SUM(M12:M24)</f>
        <v>691770000</v>
      </c>
      <c r="N25" s="361">
        <f>SUM(N12:N24)</f>
        <v>683770000</v>
      </c>
      <c r="O25" s="361">
        <f t="shared" si="0"/>
        <v>-8000000</v>
      </c>
    </row>
    <row r="26" spans="1:15" ht="27" customHeight="1">
      <c r="A26" s="292" t="s">
        <v>279</v>
      </c>
      <c r="B26" s="292" t="s">
        <v>278</v>
      </c>
      <c r="C26" s="335"/>
      <c r="D26" s="336">
        <v>0</v>
      </c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>
        <f t="shared" si="0"/>
        <v>0</v>
      </c>
    </row>
    <row r="27" spans="1:15" ht="27" customHeight="1">
      <c r="A27" s="284" t="s">
        <v>280</v>
      </c>
      <c r="B27" s="284" t="s">
        <v>160</v>
      </c>
      <c r="C27" s="335"/>
      <c r="D27" s="335"/>
      <c r="E27" s="335"/>
      <c r="F27" s="335"/>
      <c r="G27" s="335"/>
      <c r="H27" s="335"/>
      <c r="I27" s="335"/>
      <c r="J27" s="360">
        <v>5958400</v>
      </c>
      <c r="K27" s="336">
        <v>0</v>
      </c>
      <c r="L27" s="336">
        <v>0</v>
      </c>
      <c r="M27" s="336">
        <v>0</v>
      </c>
      <c r="N27" s="336">
        <v>0</v>
      </c>
      <c r="O27" s="336">
        <f t="shared" si="0"/>
        <v>0</v>
      </c>
    </row>
    <row r="28" spans="1:15" ht="27" customHeight="1">
      <c r="A28" s="284" t="s">
        <v>281</v>
      </c>
      <c r="B28" s="284" t="s">
        <v>161</v>
      </c>
      <c r="C28" s="335"/>
      <c r="D28" s="335"/>
      <c r="E28" s="335"/>
      <c r="F28" s="335"/>
      <c r="G28" s="335"/>
      <c r="H28" s="335"/>
      <c r="I28" s="335"/>
      <c r="J28" s="284">
        <v>0</v>
      </c>
      <c r="K28" s="284">
        <v>90000000</v>
      </c>
      <c r="L28" s="284">
        <f>150000000*70%</f>
        <v>105000000</v>
      </c>
      <c r="M28" s="284">
        <f>L28*80%</f>
        <v>84000000</v>
      </c>
      <c r="N28" s="284">
        <f>M28</f>
        <v>84000000</v>
      </c>
      <c r="O28" s="284">
        <f t="shared" si="0"/>
        <v>0</v>
      </c>
    </row>
    <row r="29" spans="1:15" ht="27" customHeight="1">
      <c r="A29" s="284" t="s">
        <v>282</v>
      </c>
      <c r="B29" s="284" t="s">
        <v>155</v>
      </c>
      <c r="C29" s="335"/>
      <c r="D29" s="335"/>
      <c r="E29" s="335"/>
      <c r="F29" s="335"/>
      <c r="G29" s="335"/>
      <c r="H29" s="335"/>
      <c r="I29" s="335"/>
      <c r="J29" s="360">
        <v>3724000</v>
      </c>
      <c r="K29" s="284">
        <v>4468800</v>
      </c>
      <c r="L29" s="284">
        <f>25000000*70%</f>
        <v>17500000</v>
      </c>
      <c r="M29" s="284">
        <f>25000000*70%</f>
        <v>17500000</v>
      </c>
      <c r="N29" s="284">
        <f>25000000*70%</f>
        <v>17500000</v>
      </c>
      <c r="O29" s="284">
        <f t="shared" si="0"/>
        <v>0</v>
      </c>
    </row>
    <row r="30" spans="1:15" ht="27" customHeight="1">
      <c r="A30" s="284" t="s">
        <v>283</v>
      </c>
      <c r="B30" s="284" t="s">
        <v>156</v>
      </c>
      <c r="C30" s="284">
        <f t="shared" ref="C30:H30" si="3">SUM(C26:C29)</f>
        <v>0</v>
      </c>
      <c r="D30" s="284">
        <f t="shared" si="3"/>
        <v>0</v>
      </c>
      <c r="E30" s="284">
        <f t="shared" si="3"/>
        <v>0</v>
      </c>
      <c r="F30" s="284">
        <f t="shared" si="3"/>
        <v>0</v>
      </c>
      <c r="G30" s="284">
        <f t="shared" si="3"/>
        <v>0</v>
      </c>
      <c r="H30" s="292">
        <f t="shared" si="3"/>
        <v>0</v>
      </c>
      <c r="I30" s="292">
        <f>SUM(I25:I29)</f>
        <v>0</v>
      </c>
      <c r="J30" s="292">
        <f>SUM(J27:J29)</f>
        <v>9682400</v>
      </c>
      <c r="K30" s="284">
        <v>3426080</v>
      </c>
      <c r="L30" s="284">
        <f>5000000*70%</f>
        <v>3500000</v>
      </c>
      <c r="M30" s="284">
        <f>5000000*70%</f>
        <v>3500000</v>
      </c>
      <c r="N30" s="284">
        <f>5000000*70%</f>
        <v>3500000</v>
      </c>
      <c r="O30" s="284">
        <f t="shared" si="0"/>
        <v>0</v>
      </c>
    </row>
    <row r="31" spans="1:15" ht="27" customHeight="1">
      <c r="A31" s="284"/>
      <c r="B31" s="292" t="s">
        <v>119</v>
      </c>
      <c r="C31" s="395"/>
      <c r="D31" s="395"/>
      <c r="E31" s="395"/>
      <c r="F31" s="395"/>
      <c r="G31" s="395"/>
      <c r="H31" s="395"/>
      <c r="I31" s="395"/>
      <c r="J31" s="395"/>
      <c r="K31" s="292">
        <f>SUM(K27:K30)</f>
        <v>97894880</v>
      </c>
      <c r="L31" s="292">
        <f>SUM(L27:L30)</f>
        <v>126000000</v>
      </c>
      <c r="M31" s="292">
        <f>SUM(M27:M30)</f>
        <v>105000000</v>
      </c>
      <c r="N31" s="292">
        <f>SUM(N27:N30)</f>
        <v>105000000</v>
      </c>
      <c r="O31" s="292">
        <f t="shared" si="0"/>
        <v>0</v>
      </c>
    </row>
    <row r="32" spans="1:15" ht="27" customHeight="1">
      <c r="A32" s="292" t="s">
        <v>285</v>
      </c>
      <c r="B32" s="292" t="s">
        <v>158</v>
      </c>
      <c r="C32" s="395"/>
      <c r="D32" s="395"/>
      <c r="E32" s="395"/>
      <c r="F32" s="395">
        <f>1386274192-71600000-798000-176160000-12600000</f>
        <v>1125116192</v>
      </c>
      <c r="G32" s="395"/>
      <c r="H32" s="395"/>
      <c r="I32" s="395"/>
      <c r="J32" s="395"/>
      <c r="K32" s="284"/>
      <c r="L32" s="284"/>
      <c r="M32" s="284"/>
      <c r="N32" s="284"/>
      <c r="O32" s="284">
        <f t="shared" si="0"/>
        <v>0</v>
      </c>
    </row>
    <row r="33" spans="1:15" ht="27" customHeight="1">
      <c r="A33" s="284" t="s">
        <v>286</v>
      </c>
      <c r="B33" s="284" t="s">
        <v>55</v>
      </c>
      <c r="C33" s="395"/>
      <c r="D33" s="395"/>
      <c r="E33" s="395"/>
      <c r="F33" s="395"/>
      <c r="G33" s="395"/>
      <c r="H33" s="395"/>
      <c r="I33" s="395"/>
      <c r="J33" s="395"/>
      <c r="K33" s="284">
        <v>15000000</v>
      </c>
      <c r="L33" s="284">
        <f>15000000*70%</f>
        <v>10500000</v>
      </c>
      <c r="M33" s="284">
        <f>15000000*70%</f>
        <v>10500000</v>
      </c>
      <c r="N33" s="284">
        <f>15000000*70%</f>
        <v>10500000</v>
      </c>
      <c r="O33" s="284">
        <f t="shared" si="0"/>
        <v>0</v>
      </c>
    </row>
    <row r="34" spans="1:15" ht="27" customHeight="1">
      <c r="A34" s="284" t="s">
        <v>533</v>
      </c>
      <c r="B34" s="284" t="s">
        <v>534</v>
      </c>
      <c r="C34" s="395"/>
      <c r="D34" s="395"/>
      <c r="E34" s="395"/>
      <c r="F34" s="395"/>
      <c r="G34" s="395"/>
      <c r="H34" s="395"/>
      <c r="I34" s="395"/>
      <c r="J34" s="395"/>
      <c r="K34" s="284">
        <v>0</v>
      </c>
      <c r="L34" s="284">
        <f>280000000*70%</f>
        <v>196000000</v>
      </c>
      <c r="M34" s="284">
        <v>0</v>
      </c>
      <c r="N34" s="284">
        <v>50000000</v>
      </c>
      <c r="O34" s="284">
        <f t="shared" si="0"/>
        <v>50000000</v>
      </c>
    </row>
    <row r="35" spans="1:15" ht="27" customHeight="1">
      <c r="A35" s="284" t="s">
        <v>288</v>
      </c>
      <c r="B35" s="284" t="s">
        <v>287</v>
      </c>
      <c r="C35" s="395"/>
      <c r="D35" s="395"/>
      <c r="E35" s="395"/>
      <c r="F35" s="395"/>
      <c r="G35" s="395"/>
      <c r="H35" s="395"/>
      <c r="I35" s="395"/>
      <c r="J35" s="395"/>
      <c r="K35" s="284">
        <v>0</v>
      </c>
      <c r="L35" s="284">
        <f>15000000*70%</f>
        <v>10500000</v>
      </c>
      <c r="M35" s="284">
        <f>15000000*70%</f>
        <v>10500000</v>
      </c>
      <c r="N35" s="284">
        <f>15000000*70%</f>
        <v>10500000</v>
      </c>
      <c r="O35" s="284">
        <f t="shared" si="0"/>
        <v>0</v>
      </c>
    </row>
    <row r="36" spans="1:15" ht="27" customHeight="1">
      <c r="A36" s="284" t="s">
        <v>289</v>
      </c>
      <c r="B36" s="284" t="s">
        <v>290</v>
      </c>
      <c r="C36" s="395"/>
      <c r="D36" s="395"/>
      <c r="E36" s="395"/>
      <c r="F36" s="395"/>
      <c r="G36" s="395"/>
      <c r="H36" s="395"/>
      <c r="I36" s="395"/>
      <c r="J36" s="395"/>
      <c r="K36" s="284">
        <v>3724000</v>
      </c>
      <c r="L36" s="284">
        <f>3724000*70%</f>
        <v>2606800</v>
      </c>
      <c r="M36" s="284">
        <f>3724000*70%</f>
        <v>2606800</v>
      </c>
      <c r="N36" s="284">
        <f>3724000*70%</f>
        <v>2606800</v>
      </c>
      <c r="O36" s="284">
        <f t="shared" si="0"/>
        <v>0</v>
      </c>
    </row>
    <row r="37" spans="1:15" ht="27" customHeight="1">
      <c r="A37" s="284"/>
      <c r="B37" s="292" t="s">
        <v>119</v>
      </c>
      <c r="C37" s="395"/>
      <c r="D37" s="395"/>
      <c r="E37" s="395"/>
      <c r="F37" s="395"/>
      <c r="G37" s="395"/>
      <c r="H37" s="395"/>
      <c r="I37" s="395"/>
      <c r="J37" s="395"/>
      <c r="K37" s="292">
        <f>SUM(K33:K36)</f>
        <v>18724000</v>
      </c>
      <c r="L37" s="292">
        <f>SUM(L33:L36)</f>
        <v>219606800</v>
      </c>
      <c r="M37" s="292">
        <f>SUM(M33:M36)</f>
        <v>23606800</v>
      </c>
      <c r="N37" s="292">
        <f>SUM(N33:N36)</f>
        <v>73606800</v>
      </c>
      <c r="O37" s="292">
        <f t="shared" si="0"/>
        <v>50000000</v>
      </c>
    </row>
    <row r="38" spans="1:15" ht="27" customHeight="1">
      <c r="A38" s="292" t="s">
        <v>293</v>
      </c>
      <c r="B38" s="292" t="s">
        <v>292</v>
      </c>
      <c r="C38" s="395"/>
      <c r="D38" s="395"/>
      <c r="E38" s="395"/>
      <c r="F38" s="395"/>
      <c r="G38" s="395"/>
      <c r="H38" s="395"/>
      <c r="I38" s="395"/>
      <c r="J38" s="395"/>
      <c r="K38" s="284"/>
      <c r="L38" s="284"/>
      <c r="M38" s="284"/>
      <c r="N38" s="284"/>
      <c r="O38" s="284">
        <f t="shared" si="0"/>
        <v>0</v>
      </c>
    </row>
    <row r="39" spans="1:15" ht="27" customHeight="1">
      <c r="A39" s="292" t="s">
        <v>294</v>
      </c>
      <c r="B39" s="292" t="s">
        <v>291</v>
      </c>
      <c r="C39" s="395"/>
      <c r="D39" s="395"/>
      <c r="E39" s="395"/>
      <c r="F39" s="395"/>
      <c r="G39" s="395"/>
      <c r="H39" s="395"/>
      <c r="I39" s="395"/>
      <c r="J39" s="395"/>
      <c r="K39" s="284"/>
      <c r="L39" s="284"/>
      <c r="M39" s="284"/>
      <c r="N39" s="284"/>
      <c r="O39" s="284">
        <f t="shared" si="0"/>
        <v>0</v>
      </c>
    </row>
    <row r="40" spans="1:15" ht="27" customHeight="1">
      <c r="A40" s="284" t="s">
        <v>295</v>
      </c>
      <c r="B40" s="284" t="s">
        <v>176</v>
      </c>
      <c r="C40" s="395"/>
      <c r="D40" s="395"/>
      <c r="E40" s="395"/>
      <c r="F40" s="395"/>
      <c r="G40" s="395"/>
      <c r="H40" s="395"/>
      <c r="I40" s="395"/>
      <c r="J40" s="395"/>
      <c r="K40" s="284">
        <v>1489600</v>
      </c>
      <c r="L40" s="284">
        <v>1489600</v>
      </c>
      <c r="M40" s="284">
        <v>0</v>
      </c>
      <c r="N40" s="284">
        <v>0</v>
      </c>
      <c r="O40" s="284">
        <f t="shared" si="0"/>
        <v>0</v>
      </c>
    </row>
    <row r="41" spans="1:15" ht="27" customHeight="1">
      <c r="A41" s="284" t="s">
        <v>388</v>
      </c>
      <c r="B41" s="284" t="s">
        <v>535</v>
      </c>
      <c r="C41" s="395"/>
      <c r="D41" s="395"/>
      <c r="E41" s="395"/>
      <c r="F41" s="395"/>
      <c r="G41" s="395"/>
      <c r="H41" s="395"/>
      <c r="I41" s="395"/>
      <c r="J41" s="395"/>
      <c r="K41" s="284">
        <v>0</v>
      </c>
      <c r="L41" s="284">
        <f>100000000*70%</f>
        <v>70000000</v>
      </c>
      <c r="M41" s="284">
        <v>0</v>
      </c>
      <c r="N41" s="284">
        <v>0</v>
      </c>
      <c r="O41" s="284">
        <f t="shared" si="0"/>
        <v>0</v>
      </c>
    </row>
    <row r="42" spans="1:15" ht="27" customHeight="1">
      <c r="A42" s="284"/>
      <c r="B42" s="292" t="s">
        <v>119</v>
      </c>
      <c r="C42" s="395"/>
      <c r="D42" s="395"/>
      <c r="E42" s="395"/>
      <c r="F42" s="395"/>
      <c r="G42" s="395"/>
      <c r="H42" s="395"/>
      <c r="I42" s="395"/>
      <c r="J42" s="395"/>
      <c r="K42" s="292">
        <f>SUM(K40:K41)</f>
        <v>1489600</v>
      </c>
      <c r="L42" s="292">
        <f>SUM(L40:L41)</f>
        <v>71489600</v>
      </c>
      <c r="M42" s="292">
        <f>SUM(M40:M41)</f>
        <v>0</v>
      </c>
      <c r="N42" s="292">
        <f>SUM(N40:N41)</f>
        <v>0</v>
      </c>
      <c r="O42" s="292">
        <f t="shared" si="0"/>
        <v>0</v>
      </c>
    </row>
    <row r="43" spans="1:15" ht="27" customHeight="1">
      <c r="A43" s="292" t="s">
        <v>338</v>
      </c>
      <c r="B43" s="292" t="s">
        <v>536</v>
      </c>
      <c r="C43" s="395"/>
      <c r="D43" s="395"/>
      <c r="E43" s="395"/>
      <c r="F43" s="395"/>
      <c r="G43" s="395"/>
      <c r="H43" s="395"/>
      <c r="I43" s="395"/>
      <c r="J43" s="395"/>
      <c r="K43" s="284"/>
      <c r="L43" s="284"/>
      <c r="M43" s="284"/>
      <c r="N43" s="284"/>
      <c r="O43" s="284">
        <f t="shared" si="0"/>
        <v>0</v>
      </c>
    </row>
    <row r="44" spans="1:15" ht="27" customHeight="1">
      <c r="A44" s="284" t="s">
        <v>446</v>
      </c>
      <c r="B44" s="284" t="s">
        <v>1138</v>
      </c>
      <c r="C44" s="395"/>
      <c r="D44" s="395"/>
      <c r="E44" s="395"/>
      <c r="F44" s="395"/>
      <c r="G44" s="395"/>
      <c r="H44" s="395"/>
      <c r="I44" s="395"/>
      <c r="J44" s="395"/>
      <c r="K44" s="284">
        <v>0</v>
      </c>
      <c r="L44" s="284">
        <f>800000000*70%</f>
        <v>560000000</v>
      </c>
      <c r="M44" s="284">
        <v>0</v>
      </c>
      <c r="N44" s="284">
        <v>400000000</v>
      </c>
      <c r="O44" s="284">
        <f t="shared" si="0"/>
        <v>400000000</v>
      </c>
    </row>
    <row r="45" spans="1:15" ht="27" customHeight="1">
      <c r="A45" s="284" t="s">
        <v>537</v>
      </c>
      <c r="B45" s="284" t="s">
        <v>635</v>
      </c>
      <c r="C45" s="395"/>
      <c r="D45" s="395"/>
      <c r="E45" s="395"/>
      <c r="F45" s="395"/>
      <c r="G45" s="395"/>
      <c r="H45" s="395"/>
      <c r="I45" s="395"/>
      <c r="J45" s="395"/>
      <c r="K45" s="284">
        <v>0</v>
      </c>
      <c r="L45" s="284">
        <f>320000000*70%</f>
        <v>224000000</v>
      </c>
      <c r="M45" s="284">
        <v>0</v>
      </c>
      <c r="N45" s="284">
        <v>0</v>
      </c>
      <c r="O45" s="284">
        <f t="shared" si="0"/>
        <v>0</v>
      </c>
    </row>
    <row r="46" spans="1:15" ht="27" customHeight="1">
      <c r="A46" s="284"/>
      <c r="B46" s="292" t="s">
        <v>119</v>
      </c>
      <c r="C46" s="395"/>
      <c r="D46" s="395"/>
      <c r="E46" s="395"/>
      <c r="F46" s="395"/>
      <c r="G46" s="395"/>
      <c r="H46" s="395"/>
      <c r="I46" s="395"/>
      <c r="J46" s="395"/>
      <c r="K46" s="292">
        <f>SUM(K44:K45)</f>
        <v>0</v>
      </c>
      <c r="L46" s="292">
        <f>L44+L45</f>
        <v>784000000</v>
      </c>
      <c r="M46" s="292">
        <f>M44+M45</f>
        <v>0</v>
      </c>
      <c r="N46" s="292">
        <f>SUM(N44:N45)</f>
        <v>400000000</v>
      </c>
      <c r="O46" s="292">
        <f t="shared" si="0"/>
        <v>400000000</v>
      </c>
    </row>
    <row r="47" spans="1:15" ht="27" customHeight="1">
      <c r="A47" s="284"/>
      <c r="B47" s="292" t="s">
        <v>42</v>
      </c>
      <c r="C47" s="395"/>
      <c r="D47" s="395"/>
      <c r="E47" s="395"/>
      <c r="F47" s="395"/>
      <c r="G47" s="395"/>
      <c r="H47" s="395"/>
      <c r="I47" s="395"/>
      <c r="J47" s="395"/>
      <c r="K47" s="292">
        <f>K42+K37+K31+K25+K9</f>
        <v>869742585</v>
      </c>
      <c r="L47" s="292">
        <f>SUM(L9+L25+L31+L37+L42+L46)</f>
        <v>2592776800</v>
      </c>
      <c r="M47" s="292">
        <f>SUM(M9+M25+M31+M37+M42+M46)</f>
        <v>1725410400</v>
      </c>
      <c r="N47" s="292">
        <f>SUM(N9+N25+N31+N37+N42+N46)</f>
        <v>2217810400</v>
      </c>
      <c r="O47" s="292">
        <f>N47-M47</f>
        <v>492400000</v>
      </c>
    </row>
  </sheetData>
  <phoneticPr fontId="0" type="noConversion"/>
  <printOptions gridLines="1"/>
  <pageMargins left="0.73" right="0.25" top="0.63" bottom="0.17" header="0.17" footer="0.17"/>
  <pageSetup scale="55" orientation="portrait" r:id="rId1"/>
  <headerFooter alignWithMargins="0">
    <oddHeader xml:space="preserve">&amp;C&amp;"Times New Roman,Bold"&amp;28Wasaaradda Diinta &amp; Awqaafta.
</oddHeader>
    <oddFooter>&amp;R&amp;"Times New Roman,Bold"&amp;14 39</oddFooter>
  </headerFooter>
  <ignoredErrors>
    <ignoredError sqref="L34" formula="1"/>
  </ignoredErrors>
</worksheet>
</file>

<file path=xl/worksheets/sheet46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61" zoomScaleSheetLayoutView="61" workbookViewId="0">
      <selection sqref="A1:XFD1048576"/>
    </sheetView>
  </sheetViews>
  <sheetFormatPr defaultRowHeight="12.75"/>
  <cols>
    <col min="1" max="1" width="18.1640625" style="386" bestFit="1" customWidth="1"/>
    <col min="2" max="2" width="79.33203125" style="386" bestFit="1" customWidth="1"/>
    <col min="3" max="11" width="9.33203125" style="386" hidden="1" customWidth="1"/>
    <col min="12" max="12" width="16.83203125" style="386" hidden="1" customWidth="1"/>
    <col min="13" max="13" width="19.1640625" style="386" hidden="1" customWidth="1"/>
    <col min="14" max="15" width="27.6640625" style="462" bestFit="1" customWidth="1"/>
    <col min="16" max="16" width="28.83203125" style="462" bestFit="1" customWidth="1"/>
    <col min="17" max="16384" width="9.33203125" style="386"/>
  </cols>
  <sheetData>
    <row r="1" spans="1:16" ht="27.95" customHeight="1">
      <c r="A1" s="443" t="s">
        <v>44</v>
      </c>
      <c r="B1" s="443" t="s">
        <v>521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284"/>
      <c r="O1" s="284"/>
      <c r="P1" s="284"/>
    </row>
    <row r="2" spans="1:16" ht="27.95" customHeight="1">
      <c r="A2" s="371" t="s">
        <v>28</v>
      </c>
      <c r="B2" s="371" t="s">
        <v>29</v>
      </c>
      <c r="C2" s="378" t="s">
        <v>29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130</v>
      </c>
      <c r="J2" s="378" t="s">
        <v>135</v>
      </c>
      <c r="K2" s="378" t="s">
        <v>144</v>
      </c>
      <c r="L2" s="378" t="s">
        <v>180</v>
      </c>
      <c r="M2" s="378" t="s">
        <v>325</v>
      </c>
      <c r="N2" s="271" t="s">
        <v>643</v>
      </c>
      <c r="O2" s="271" t="s">
        <v>1111</v>
      </c>
      <c r="P2" s="271" t="s">
        <v>63</v>
      </c>
    </row>
    <row r="3" spans="1:16" ht="27.95" customHeight="1">
      <c r="A3" s="292" t="s">
        <v>248</v>
      </c>
      <c r="B3" s="292" t="s">
        <v>165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00"/>
      <c r="O3" s="400"/>
      <c r="P3" s="400"/>
    </row>
    <row r="4" spans="1:16" ht="27.95" customHeight="1">
      <c r="A4" s="292" t="s">
        <v>249</v>
      </c>
      <c r="B4" s="292" t="s">
        <v>250</v>
      </c>
      <c r="C4" s="284">
        <v>129049440</v>
      </c>
      <c r="D4" s="284">
        <v>282948000</v>
      </c>
      <c r="E4" s="284">
        <v>293366000</v>
      </c>
      <c r="F4" s="284">
        <v>293366000</v>
      </c>
      <c r="G4" s="284">
        <f>402876000</f>
        <v>402876000</v>
      </c>
      <c r="H4" s="284">
        <f>402876000+19848000</f>
        <v>422724000</v>
      </c>
      <c r="I4" s="284">
        <v>604890000</v>
      </c>
      <c r="J4" s="284">
        <f>640270800+14695200+81000000+9000000</f>
        <v>744966000</v>
      </c>
      <c r="K4" s="284"/>
      <c r="L4" s="284"/>
      <c r="M4" s="284"/>
      <c r="N4" s="284"/>
      <c r="O4" s="284"/>
      <c r="P4" s="284"/>
    </row>
    <row r="5" spans="1:16" ht="27.95" customHeight="1">
      <c r="A5" s="284" t="s">
        <v>247</v>
      </c>
      <c r="B5" s="284" t="s">
        <v>32</v>
      </c>
      <c r="C5" s="284">
        <v>20379400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>
        <f>744966000+18000000</f>
        <v>762966000</v>
      </c>
      <c r="L5" s="284">
        <f>762966000+49541400</f>
        <v>812507400</v>
      </c>
      <c r="M5" s="284">
        <f>'shaq,3'!H39+72000000+21091200+1695200</f>
        <v>1228750400</v>
      </c>
      <c r="N5" s="284">
        <v>1202448000</v>
      </c>
      <c r="O5" s="284">
        <v>1351209600</v>
      </c>
      <c r="P5" s="284">
        <f>O5-N5</f>
        <v>148761600</v>
      </c>
    </row>
    <row r="6" spans="1:16" ht="27.95" customHeight="1">
      <c r="A6" s="284" t="s">
        <v>251</v>
      </c>
      <c r="B6" s="284" t="s">
        <v>812</v>
      </c>
      <c r="C6" s="284">
        <v>13200000</v>
      </c>
      <c r="D6" s="284">
        <v>13200000</v>
      </c>
      <c r="E6" s="284">
        <v>13200000</v>
      </c>
      <c r="F6" s="284">
        <v>13200000</v>
      </c>
      <c r="G6" s="284">
        <v>16800000</v>
      </c>
      <c r="H6" s="284">
        <v>19200000</v>
      </c>
      <c r="I6" s="284">
        <v>16800000</v>
      </c>
      <c r="J6" s="284">
        <f>16800000+2400000+48600000+2160000</f>
        <v>69960000</v>
      </c>
      <c r="K6" s="284">
        <v>0</v>
      </c>
      <c r="L6" s="284">
        <v>0</v>
      </c>
      <c r="M6" s="284">
        <v>0</v>
      </c>
      <c r="N6" s="284">
        <v>194400000</v>
      </c>
      <c r="O6" s="284">
        <v>194400000</v>
      </c>
      <c r="P6" s="284">
        <f t="shared" ref="P6:P45" si="0">O6-N6</f>
        <v>0</v>
      </c>
    </row>
    <row r="7" spans="1:16" ht="27.95" customHeight="1">
      <c r="A7" s="284" t="s">
        <v>252</v>
      </c>
      <c r="B7" s="284" t="s">
        <v>34</v>
      </c>
      <c r="C7" s="271">
        <f t="shared" ref="C7:H7" si="1">SUM(C4:C6)</f>
        <v>162628840</v>
      </c>
      <c r="D7" s="271">
        <f t="shared" si="1"/>
        <v>296148000</v>
      </c>
      <c r="E7" s="271">
        <f t="shared" si="1"/>
        <v>306566000</v>
      </c>
      <c r="F7" s="271">
        <f t="shared" si="1"/>
        <v>306566000</v>
      </c>
      <c r="G7" s="271">
        <f t="shared" si="1"/>
        <v>419676000</v>
      </c>
      <c r="H7" s="271">
        <f t="shared" si="1"/>
        <v>441924000</v>
      </c>
      <c r="I7" s="271">
        <f>SUM(I4:I6)</f>
        <v>621690000</v>
      </c>
      <c r="J7" s="271">
        <f>SUM(J4:J6)</f>
        <v>814926000</v>
      </c>
      <c r="K7" s="284">
        <v>84000000</v>
      </c>
      <c r="L7" s="284">
        <f>84000000+6000000</f>
        <v>90000000</v>
      </c>
      <c r="M7" s="284">
        <f>84000000+6000000</f>
        <v>90000000</v>
      </c>
      <c r="N7" s="284">
        <v>111600000</v>
      </c>
      <c r="O7" s="284">
        <v>162000000</v>
      </c>
      <c r="P7" s="284">
        <f t="shared" si="0"/>
        <v>50400000</v>
      </c>
    </row>
    <row r="8" spans="1:16" ht="27.95" customHeight="1">
      <c r="A8" s="284" t="s">
        <v>676</v>
      </c>
      <c r="B8" s="284" t="s">
        <v>674</v>
      </c>
      <c r="C8" s="271"/>
      <c r="D8" s="271"/>
      <c r="E8" s="271"/>
      <c r="F8" s="271"/>
      <c r="G8" s="271"/>
      <c r="H8" s="271"/>
      <c r="I8" s="271"/>
      <c r="J8" s="271"/>
      <c r="K8" s="284"/>
      <c r="L8" s="284"/>
      <c r="M8" s="284">
        <v>72000000</v>
      </c>
      <c r="N8" s="284">
        <f>M8</f>
        <v>72000000</v>
      </c>
      <c r="O8" s="284">
        <f>N8</f>
        <v>72000000</v>
      </c>
      <c r="P8" s="284">
        <f t="shared" si="0"/>
        <v>0</v>
      </c>
    </row>
    <row r="9" spans="1:16" ht="27.95" customHeight="1">
      <c r="A9" s="284"/>
      <c r="B9" s="292" t="s">
        <v>119</v>
      </c>
      <c r="C9" s="284"/>
      <c r="D9" s="284"/>
      <c r="E9" s="284"/>
      <c r="F9" s="284"/>
      <c r="G9" s="284"/>
      <c r="H9" s="284"/>
      <c r="I9" s="284"/>
      <c r="J9" s="284"/>
      <c r="K9" s="284">
        <v>0</v>
      </c>
      <c r="L9" s="292">
        <f>SUM(L5:L7)</f>
        <v>902507400</v>
      </c>
      <c r="M9" s="292">
        <f>M8+M7+M6+M5</f>
        <v>1390750400</v>
      </c>
      <c r="N9" s="292">
        <f>N8+N7+N6+N5</f>
        <v>1580448000</v>
      </c>
      <c r="O9" s="292">
        <f>SUM(O5:O8)</f>
        <v>1779609600</v>
      </c>
      <c r="P9" s="292">
        <f t="shared" si="0"/>
        <v>199161600</v>
      </c>
    </row>
    <row r="10" spans="1:16" ht="27.95" customHeight="1">
      <c r="A10" s="292" t="s">
        <v>262</v>
      </c>
      <c r="B10" s="292" t="s">
        <v>263</v>
      </c>
      <c r="C10" s="284">
        <v>10000000</v>
      </c>
      <c r="D10" s="284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55000000</v>
      </c>
      <c r="K10" s="284">
        <v>0</v>
      </c>
      <c r="L10" s="284"/>
      <c r="M10" s="284"/>
      <c r="N10" s="284"/>
      <c r="O10" s="284"/>
      <c r="P10" s="284">
        <f t="shared" si="0"/>
        <v>0</v>
      </c>
    </row>
    <row r="11" spans="1:16" ht="27.95" customHeight="1">
      <c r="A11" s="292" t="s">
        <v>265</v>
      </c>
      <c r="B11" s="292" t="s">
        <v>264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12661600</v>
      </c>
      <c r="L11" s="284"/>
      <c r="M11" s="284"/>
      <c r="N11" s="284"/>
      <c r="O11" s="284"/>
      <c r="P11" s="284">
        <f t="shared" si="0"/>
        <v>0</v>
      </c>
    </row>
    <row r="12" spans="1:16" ht="27.95" customHeight="1">
      <c r="A12" s="284" t="s">
        <v>266</v>
      </c>
      <c r="B12" s="284" t="s">
        <v>38</v>
      </c>
      <c r="C12" s="284">
        <v>0</v>
      </c>
      <c r="D12" s="284">
        <v>20000000</v>
      </c>
      <c r="E12" s="284">
        <v>0</v>
      </c>
      <c r="F12" s="284">
        <v>0</v>
      </c>
      <c r="G12" s="284">
        <v>0</v>
      </c>
      <c r="H12" s="284">
        <v>65000000</v>
      </c>
      <c r="I12" s="284">
        <v>72245600</v>
      </c>
      <c r="J12" s="284">
        <v>129000000</v>
      </c>
      <c r="K12" s="284">
        <v>29876000</v>
      </c>
      <c r="L12" s="284">
        <v>20854400</v>
      </c>
      <c r="M12" s="284">
        <f>20854400*70%</f>
        <v>14598080</v>
      </c>
      <c r="N12" s="284">
        <f>20854400*70%</f>
        <v>14598080</v>
      </c>
      <c r="O12" s="284">
        <v>24598080</v>
      </c>
      <c r="P12" s="284">
        <f t="shared" si="0"/>
        <v>10000000</v>
      </c>
    </row>
    <row r="13" spans="1:16" ht="27.95" customHeight="1">
      <c r="A13" s="284" t="s">
        <v>269</v>
      </c>
      <c r="B13" s="284" t="s">
        <v>186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5586000</v>
      </c>
      <c r="L13" s="284">
        <v>15396600</v>
      </c>
      <c r="M13" s="284">
        <f>L13*70%</f>
        <v>10777620</v>
      </c>
      <c r="N13" s="284">
        <f>M13</f>
        <v>10777620</v>
      </c>
      <c r="O13" s="284">
        <v>20777620</v>
      </c>
      <c r="P13" s="284">
        <f t="shared" si="0"/>
        <v>10000000</v>
      </c>
    </row>
    <row r="14" spans="1:16" ht="27.95" customHeight="1">
      <c r="A14" s="284" t="s">
        <v>272</v>
      </c>
      <c r="B14" s="284" t="s">
        <v>54</v>
      </c>
      <c r="C14" s="284"/>
      <c r="D14" s="284"/>
      <c r="E14" s="284"/>
      <c r="F14" s="284"/>
      <c r="G14" s="284"/>
      <c r="H14" s="284"/>
      <c r="I14" s="284"/>
      <c r="J14" s="284"/>
      <c r="K14" s="284">
        <v>44688000</v>
      </c>
      <c r="L14" s="284">
        <v>15361600</v>
      </c>
      <c r="M14" s="284">
        <f>L14*70%</f>
        <v>10753120</v>
      </c>
      <c r="N14" s="284">
        <f>M14*70%</f>
        <v>7527183.9999999991</v>
      </c>
      <c r="O14" s="284">
        <v>27527184</v>
      </c>
      <c r="P14" s="284">
        <f t="shared" si="0"/>
        <v>20000000</v>
      </c>
    </row>
    <row r="15" spans="1:16" ht="27.95" customHeight="1">
      <c r="A15" s="284" t="s">
        <v>274</v>
      </c>
      <c r="B15" s="284" t="s">
        <v>164</v>
      </c>
      <c r="C15" s="284">
        <v>0</v>
      </c>
      <c r="D15" s="284">
        <v>0</v>
      </c>
      <c r="E15" s="284">
        <v>0</v>
      </c>
      <c r="F15" s="284">
        <v>0</v>
      </c>
      <c r="G15" s="284">
        <v>8000000</v>
      </c>
      <c r="H15" s="284">
        <v>10000000</v>
      </c>
      <c r="I15" s="284">
        <v>7448000</v>
      </c>
      <c r="J15" s="284">
        <v>10000000</v>
      </c>
      <c r="K15" s="284"/>
      <c r="L15" s="284">
        <v>10986000</v>
      </c>
      <c r="M15" s="284">
        <f>10986000*70%</f>
        <v>7690199.9999999991</v>
      </c>
      <c r="N15" s="284">
        <f>10986000*70%</f>
        <v>7690199.9999999991</v>
      </c>
      <c r="O15" s="284">
        <v>27690200</v>
      </c>
      <c r="P15" s="284">
        <f t="shared" si="0"/>
        <v>20000000</v>
      </c>
    </row>
    <row r="16" spans="1:16" ht="27.95" customHeight="1">
      <c r="A16" s="284" t="s">
        <v>275</v>
      </c>
      <c r="B16" s="284" t="s">
        <v>40</v>
      </c>
      <c r="C16" s="28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2000000000</v>
      </c>
      <c r="I16" s="284">
        <v>650000000</v>
      </c>
      <c r="J16" s="284">
        <v>243750000</v>
      </c>
      <c r="K16" s="284">
        <v>0</v>
      </c>
      <c r="L16" s="284">
        <v>20296000</v>
      </c>
      <c r="M16" s="284">
        <f>L16*70%</f>
        <v>14207200</v>
      </c>
      <c r="N16" s="284">
        <f>M16</f>
        <v>14207200</v>
      </c>
      <c r="O16" s="284">
        <f>N16</f>
        <v>14207200</v>
      </c>
      <c r="P16" s="284">
        <f t="shared" si="0"/>
        <v>0</v>
      </c>
    </row>
    <row r="17" spans="1:16" ht="27.95" customHeight="1">
      <c r="A17" s="284" t="s">
        <v>321</v>
      </c>
      <c r="B17" s="284" t="s">
        <v>1139</v>
      </c>
      <c r="C17" s="284">
        <v>4000000</v>
      </c>
      <c r="D17" s="284">
        <v>4800000</v>
      </c>
      <c r="E17" s="284">
        <v>4800000</v>
      </c>
      <c r="F17" s="284">
        <v>11400000</v>
      </c>
      <c r="G17" s="284">
        <v>13600000</v>
      </c>
      <c r="H17" s="284">
        <v>17000000</v>
      </c>
      <c r="I17" s="284">
        <v>12661600</v>
      </c>
      <c r="J17" s="284">
        <v>33000000</v>
      </c>
      <c r="K17" s="284"/>
      <c r="L17" s="284">
        <v>48745000</v>
      </c>
      <c r="M17" s="284">
        <f>48745000*70%</f>
        <v>34121500</v>
      </c>
      <c r="N17" s="284">
        <f>48745000*70%</f>
        <v>34121500</v>
      </c>
      <c r="O17" s="284">
        <v>134121500</v>
      </c>
      <c r="P17" s="284">
        <f t="shared" si="0"/>
        <v>100000000</v>
      </c>
    </row>
    <row r="18" spans="1:16" ht="27.95" customHeight="1">
      <c r="A18" s="284" t="s">
        <v>733</v>
      </c>
      <c r="B18" s="284" t="s">
        <v>751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>
        <v>0</v>
      </c>
      <c r="N18" s="284">
        <v>510112600</v>
      </c>
      <c r="O18" s="284">
        <v>90000000</v>
      </c>
      <c r="P18" s="284">
        <f t="shared" si="0"/>
        <v>-420112600</v>
      </c>
    </row>
    <row r="19" spans="1:16" ht="27.95" customHeight="1">
      <c r="A19" s="284" t="s">
        <v>1118</v>
      </c>
      <c r="B19" s="284" t="s">
        <v>1178</v>
      </c>
      <c r="C19" s="335"/>
      <c r="D19" s="336"/>
      <c r="E19" s="335"/>
      <c r="F19" s="335"/>
      <c r="G19" s="335"/>
      <c r="H19" s="335"/>
      <c r="I19" s="335"/>
      <c r="J19" s="335"/>
      <c r="K19" s="361"/>
      <c r="L19" s="336">
        <v>1000000000</v>
      </c>
      <c r="M19" s="336">
        <v>0</v>
      </c>
      <c r="N19" s="284">
        <v>0</v>
      </c>
      <c r="O19" s="284">
        <v>90000000</v>
      </c>
      <c r="P19" s="284">
        <f>O19-N19</f>
        <v>90000000</v>
      </c>
    </row>
    <row r="20" spans="1:16" ht="27.95" customHeight="1">
      <c r="A20" s="284"/>
      <c r="B20" s="292" t="s">
        <v>119</v>
      </c>
      <c r="C20" s="284">
        <v>29000000</v>
      </c>
      <c r="D20" s="284">
        <v>23200000</v>
      </c>
      <c r="E20" s="284">
        <v>23200000</v>
      </c>
      <c r="F20" s="284">
        <v>23200000</v>
      </c>
      <c r="G20" s="284">
        <v>0</v>
      </c>
      <c r="H20" s="284">
        <v>0</v>
      </c>
      <c r="I20" s="284">
        <v>0</v>
      </c>
      <c r="J20" s="284">
        <v>10400000</v>
      </c>
      <c r="K20" s="284">
        <v>0</v>
      </c>
      <c r="L20" s="292">
        <f>SUM(L12:L17)</f>
        <v>131639600</v>
      </c>
      <c r="M20" s="292">
        <f>SUM(M12:M17)</f>
        <v>92147720</v>
      </c>
      <c r="N20" s="292">
        <f>SUM(N12:N19)</f>
        <v>599034384</v>
      </c>
      <c r="O20" s="292">
        <f>SUM(O12:O19)</f>
        <v>428921784</v>
      </c>
      <c r="P20" s="292">
        <f t="shared" si="0"/>
        <v>-170112600</v>
      </c>
    </row>
    <row r="21" spans="1:16" ht="27.95" customHeight="1">
      <c r="A21" s="292" t="s">
        <v>279</v>
      </c>
      <c r="B21" s="292" t="s">
        <v>278</v>
      </c>
      <c r="C21" s="284"/>
      <c r="D21" s="284"/>
      <c r="E21" s="284"/>
      <c r="F21" s="284"/>
      <c r="G21" s="284"/>
      <c r="H21" s="284"/>
      <c r="I21" s="284">
        <v>0</v>
      </c>
      <c r="J21" s="284">
        <v>29876000</v>
      </c>
      <c r="K21" s="284">
        <v>0</v>
      </c>
      <c r="L21" s="284"/>
      <c r="M21" s="284"/>
      <c r="N21" s="284"/>
      <c r="O21" s="284"/>
      <c r="P21" s="284">
        <f t="shared" si="0"/>
        <v>0</v>
      </c>
    </row>
    <row r="22" spans="1:16" ht="27.95" customHeight="1">
      <c r="A22" s="284" t="s">
        <v>280</v>
      </c>
      <c r="B22" s="284" t="s">
        <v>160</v>
      </c>
      <c r="C22" s="284"/>
      <c r="D22" s="284">
        <v>0</v>
      </c>
      <c r="E22" s="284">
        <v>0</v>
      </c>
      <c r="F22" s="284">
        <v>0</v>
      </c>
      <c r="G22" s="284">
        <v>11200000</v>
      </c>
      <c r="H22" s="284">
        <v>14000000</v>
      </c>
      <c r="I22" s="284">
        <v>12661600</v>
      </c>
      <c r="J22" s="284">
        <v>18000000</v>
      </c>
      <c r="K22" s="284">
        <v>7448000</v>
      </c>
      <c r="L22" s="284">
        <v>0</v>
      </c>
      <c r="M22" s="284">
        <v>0</v>
      </c>
      <c r="N22" s="284">
        <v>0</v>
      </c>
      <c r="O22" s="284">
        <v>0</v>
      </c>
      <c r="P22" s="284">
        <f t="shared" si="0"/>
        <v>0</v>
      </c>
    </row>
    <row r="23" spans="1:16" ht="27.95" customHeight="1">
      <c r="A23" s="284" t="s">
        <v>281</v>
      </c>
      <c r="B23" s="284" t="s">
        <v>161</v>
      </c>
      <c r="C23" s="284">
        <v>2000000</v>
      </c>
      <c r="D23" s="284">
        <v>0</v>
      </c>
      <c r="E23" s="284">
        <v>0</v>
      </c>
      <c r="F23" s="284">
        <v>0</v>
      </c>
      <c r="G23" s="284">
        <v>3360000</v>
      </c>
      <c r="H23" s="284">
        <v>4200000</v>
      </c>
      <c r="I23" s="284">
        <v>5586000</v>
      </c>
      <c r="J23" s="284">
        <v>10000000</v>
      </c>
      <c r="K23" s="284">
        <v>2606800</v>
      </c>
      <c r="L23" s="284">
        <v>280000000</v>
      </c>
      <c r="M23" s="284">
        <v>196000000</v>
      </c>
      <c r="N23" s="284">
        <f>M23*80%</f>
        <v>156800000</v>
      </c>
      <c r="O23" s="284">
        <v>256800000</v>
      </c>
      <c r="P23" s="284">
        <f t="shared" si="0"/>
        <v>100000000</v>
      </c>
    </row>
    <row r="24" spans="1:16" ht="27.95" customHeight="1">
      <c r="A24" s="284" t="s">
        <v>282</v>
      </c>
      <c r="B24" s="284" t="s">
        <v>155</v>
      </c>
      <c r="C24" s="284">
        <v>6000000</v>
      </c>
      <c r="D24" s="284">
        <v>4800000</v>
      </c>
      <c r="E24" s="284">
        <v>4800000</v>
      </c>
      <c r="F24" s="284">
        <v>4800000</v>
      </c>
      <c r="G24" s="284">
        <v>5440000</v>
      </c>
      <c r="H24" s="284">
        <v>6800000</v>
      </c>
      <c r="I24" s="284">
        <v>14896000</v>
      </c>
      <c r="J24" s="284">
        <v>20000000</v>
      </c>
      <c r="K24" s="284">
        <v>0</v>
      </c>
      <c r="L24" s="284">
        <v>29792000</v>
      </c>
      <c r="M24" s="284">
        <v>20854400</v>
      </c>
      <c r="N24" s="284">
        <v>20854400</v>
      </c>
      <c r="O24" s="284">
        <v>30854400</v>
      </c>
      <c r="P24" s="284">
        <f t="shared" si="0"/>
        <v>10000000</v>
      </c>
    </row>
    <row r="25" spans="1:16" ht="27.95" customHeight="1">
      <c r="A25" s="284" t="s">
        <v>283</v>
      </c>
      <c r="B25" s="284" t="s">
        <v>156</v>
      </c>
      <c r="C25" s="284">
        <v>0</v>
      </c>
      <c r="D25" s="284">
        <v>0</v>
      </c>
      <c r="E25" s="284">
        <v>24688000</v>
      </c>
      <c r="F25" s="284">
        <v>33204601</v>
      </c>
      <c r="G25" s="284">
        <v>0</v>
      </c>
      <c r="H25" s="284">
        <v>0</v>
      </c>
      <c r="I25" s="284">
        <v>44688000</v>
      </c>
      <c r="J25" s="284">
        <v>50000000</v>
      </c>
      <c r="K25" s="292">
        <f>SUM(K20:K24)</f>
        <v>10054800</v>
      </c>
      <c r="L25" s="284">
        <v>7913600</v>
      </c>
      <c r="M25" s="284">
        <f>7913600*70%</f>
        <v>5539520</v>
      </c>
      <c r="N25" s="284">
        <f>7913600*70%</f>
        <v>5539520</v>
      </c>
      <c r="O25" s="284">
        <f>7913600*70%</f>
        <v>5539520</v>
      </c>
      <c r="P25" s="284">
        <f t="shared" si="0"/>
        <v>0</v>
      </c>
    </row>
    <row r="26" spans="1:16" ht="27.95" customHeight="1">
      <c r="A26" s="284"/>
      <c r="B26" s="292" t="s">
        <v>119</v>
      </c>
      <c r="C26" s="271">
        <f t="shared" ref="C26:J26" si="2">SUM(C17:C25)</f>
        <v>41000000</v>
      </c>
      <c r="D26" s="271">
        <f t="shared" si="2"/>
        <v>32800000</v>
      </c>
      <c r="E26" s="271">
        <f t="shared" si="2"/>
        <v>57488000</v>
      </c>
      <c r="F26" s="271">
        <f t="shared" si="2"/>
        <v>72604601</v>
      </c>
      <c r="G26" s="271">
        <f t="shared" si="2"/>
        <v>33600000</v>
      </c>
      <c r="H26" s="271">
        <f t="shared" si="2"/>
        <v>42000000</v>
      </c>
      <c r="I26" s="271">
        <f t="shared" si="2"/>
        <v>90493200</v>
      </c>
      <c r="J26" s="271">
        <f t="shared" si="2"/>
        <v>171276000</v>
      </c>
      <c r="K26" s="400">
        <v>243750000</v>
      </c>
      <c r="L26" s="271">
        <f>SUM(L22:L25)</f>
        <v>317705600</v>
      </c>
      <c r="M26" s="271">
        <f>SUM(M22:M25)</f>
        <v>222393920</v>
      </c>
      <c r="N26" s="271">
        <f>SUM(N22:N25)</f>
        <v>183193920</v>
      </c>
      <c r="O26" s="271">
        <f>SUM(O22:O25)</f>
        <v>293193920</v>
      </c>
      <c r="P26" s="271">
        <f t="shared" si="0"/>
        <v>110000000</v>
      </c>
    </row>
    <row r="27" spans="1:16" ht="27.95" customHeight="1">
      <c r="A27" s="292" t="s">
        <v>285</v>
      </c>
      <c r="B27" s="292" t="s">
        <v>158</v>
      </c>
      <c r="C27" s="271"/>
      <c r="D27" s="271"/>
      <c r="E27" s="271"/>
      <c r="F27" s="271"/>
      <c r="G27" s="271"/>
      <c r="H27" s="271"/>
      <c r="I27" s="271"/>
      <c r="J27" s="271"/>
      <c r="K27" s="400">
        <v>358947600</v>
      </c>
      <c r="L27" s="400"/>
      <c r="M27" s="400"/>
      <c r="N27" s="400"/>
      <c r="O27" s="400"/>
      <c r="P27" s="400">
        <f t="shared" si="0"/>
        <v>0</v>
      </c>
    </row>
    <row r="28" spans="1:16" ht="27.95" customHeight="1">
      <c r="A28" s="284" t="s">
        <v>286</v>
      </c>
      <c r="B28" s="284" t="s">
        <v>55</v>
      </c>
      <c r="C28" s="335"/>
      <c r="D28" s="284"/>
      <c r="E28" s="335"/>
      <c r="F28" s="335"/>
      <c r="G28" s="335"/>
      <c r="H28" s="335"/>
      <c r="I28" s="335"/>
      <c r="J28" s="335"/>
      <c r="K28" s="360">
        <v>7448000</v>
      </c>
      <c r="L28" s="400">
        <v>50000000</v>
      </c>
      <c r="M28" s="400">
        <v>35000000</v>
      </c>
      <c r="N28" s="400">
        <v>35000000</v>
      </c>
      <c r="O28" s="400">
        <v>50000000</v>
      </c>
      <c r="P28" s="400">
        <f t="shared" si="0"/>
        <v>15000000</v>
      </c>
    </row>
    <row r="29" spans="1:16" ht="27.95" customHeight="1">
      <c r="A29" s="284" t="s">
        <v>288</v>
      </c>
      <c r="B29" s="284" t="s">
        <v>287</v>
      </c>
      <c r="C29" s="335"/>
      <c r="D29" s="336"/>
      <c r="E29" s="335"/>
      <c r="F29" s="335"/>
      <c r="G29" s="335"/>
      <c r="H29" s="335">
        <v>398</v>
      </c>
      <c r="I29" s="335"/>
      <c r="J29" s="335"/>
      <c r="K29" s="361">
        <f>SUM(K26:K28)</f>
        <v>610145600</v>
      </c>
      <c r="L29" s="361">
        <v>0</v>
      </c>
      <c r="M29" s="361">
        <v>0</v>
      </c>
      <c r="N29" s="292">
        <v>0</v>
      </c>
      <c r="O29" s="292">
        <v>0</v>
      </c>
      <c r="P29" s="292">
        <f t="shared" si="0"/>
        <v>0</v>
      </c>
    </row>
    <row r="30" spans="1:16" ht="27.95" customHeight="1">
      <c r="A30" s="284" t="s">
        <v>323</v>
      </c>
      <c r="B30" s="284" t="s">
        <v>1187</v>
      </c>
      <c r="C30" s="335"/>
      <c r="D30" s="336"/>
      <c r="E30" s="335"/>
      <c r="F30" s="335"/>
      <c r="G30" s="335"/>
      <c r="H30" s="335"/>
      <c r="I30" s="335"/>
      <c r="J30" s="335"/>
      <c r="K30" s="361"/>
      <c r="L30" s="361"/>
      <c r="M30" s="361"/>
      <c r="N30" s="284">
        <v>90000000</v>
      </c>
      <c r="O30" s="284">
        <v>0</v>
      </c>
      <c r="P30" s="284">
        <f t="shared" si="0"/>
        <v>-90000000</v>
      </c>
    </row>
    <row r="31" spans="1:16" s="466" customFormat="1" ht="27.95" customHeight="1">
      <c r="A31" s="284" t="s">
        <v>538</v>
      </c>
      <c r="B31" s="284" t="s">
        <v>290</v>
      </c>
      <c r="C31" s="335"/>
      <c r="D31" s="652"/>
      <c r="E31" s="335"/>
      <c r="F31" s="335"/>
      <c r="G31" s="335"/>
      <c r="H31" s="335"/>
      <c r="I31" s="335"/>
      <c r="J31" s="335"/>
      <c r="K31" s="361" t="e">
        <f>K29+K25+#REF!+#REF!+#REF!</f>
        <v>#REF!</v>
      </c>
      <c r="L31" s="336">
        <v>7448000</v>
      </c>
      <c r="M31" s="336">
        <f>7448000*70%</f>
        <v>5213600</v>
      </c>
      <c r="N31" s="284">
        <f>7448000*70%</f>
        <v>5213600</v>
      </c>
      <c r="O31" s="284">
        <f>7448000*70%</f>
        <v>5213600</v>
      </c>
      <c r="P31" s="292">
        <f t="shared" si="0"/>
        <v>0</v>
      </c>
    </row>
    <row r="32" spans="1:16" s="653" customFormat="1" ht="27.95" customHeight="1">
      <c r="A32" s="284"/>
      <c r="B32" s="292" t="s">
        <v>119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61">
        <f>SUM(L28:L31)</f>
        <v>57448000</v>
      </c>
      <c r="M32" s="361">
        <f>SUM(M28:M31)</f>
        <v>40213600</v>
      </c>
      <c r="N32" s="292">
        <f>SUM(N28:N31)</f>
        <v>130213600</v>
      </c>
      <c r="O32" s="292">
        <f>SUM(O28:O31)</f>
        <v>55213600</v>
      </c>
      <c r="P32" s="292">
        <f>O32-N32</f>
        <v>-75000000</v>
      </c>
    </row>
    <row r="33" spans="1:16" s="653" customFormat="1" ht="27.95" customHeight="1">
      <c r="A33" s="292" t="s">
        <v>293</v>
      </c>
      <c r="B33" s="292" t="s">
        <v>292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35"/>
      <c r="M33" s="335"/>
      <c r="N33" s="284"/>
      <c r="O33" s="284"/>
      <c r="P33" s="284">
        <f t="shared" si="0"/>
        <v>0</v>
      </c>
    </row>
    <row r="34" spans="1:16" s="653" customFormat="1" ht="27.95" customHeight="1">
      <c r="A34" s="292" t="s">
        <v>294</v>
      </c>
      <c r="B34" s="292" t="s">
        <v>291</v>
      </c>
      <c r="C34" s="379"/>
      <c r="D34" s="379"/>
      <c r="E34" s="379"/>
      <c r="F34" s="379"/>
      <c r="G34" s="379"/>
      <c r="H34" s="379"/>
      <c r="I34" s="379"/>
      <c r="J34" s="379"/>
      <c r="K34" s="379"/>
      <c r="L34" s="335"/>
      <c r="M34" s="335"/>
      <c r="N34" s="284"/>
      <c r="O34" s="284"/>
      <c r="P34" s="284">
        <f t="shared" si="0"/>
        <v>0</v>
      </c>
    </row>
    <row r="35" spans="1:16" s="653" customFormat="1" ht="27.95" customHeight="1">
      <c r="A35" s="284" t="s">
        <v>389</v>
      </c>
      <c r="B35" s="284" t="s">
        <v>307</v>
      </c>
      <c r="C35" s="379"/>
      <c r="D35" s="379"/>
      <c r="E35" s="379"/>
      <c r="F35" s="379"/>
      <c r="G35" s="379"/>
      <c r="H35" s="379"/>
      <c r="I35" s="379"/>
      <c r="J35" s="379"/>
      <c r="K35" s="379"/>
      <c r="L35" s="360">
        <v>0</v>
      </c>
      <c r="M35" s="360">
        <v>0</v>
      </c>
      <c r="N35" s="284">
        <v>0</v>
      </c>
      <c r="O35" s="284">
        <v>0</v>
      </c>
      <c r="P35" s="284">
        <f t="shared" si="0"/>
        <v>0</v>
      </c>
    </row>
    <row r="36" spans="1:16" s="653" customFormat="1" ht="27.95" customHeight="1">
      <c r="A36" s="284" t="s">
        <v>388</v>
      </c>
      <c r="B36" s="284" t="s">
        <v>728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60">
        <v>0</v>
      </c>
      <c r="M36" s="360">
        <v>216000000</v>
      </c>
      <c r="N36" s="284">
        <v>1398000000</v>
      </c>
      <c r="O36" s="284">
        <v>162000000</v>
      </c>
      <c r="P36" s="284">
        <f t="shared" si="0"/>
        <v>-1236000000</v>
      </c>
    </row>
    <row r="37" spans="1:16" s="653" customFormat="1" ht="27.95" customHeight="1">
      <c r="A37" s="284" t="s">
        <v>295</v>
      </c>
      <c r="B37" s="284" t="s">
        <v>176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60">
        <v>11505400</v>
      </c>
      <c r="M37" s="360">
        <f>11505400*70%</f>
        <v>8053779.9999999991</v>
      </c>
      <c r="N37" s="284">
        <v>0</v>
      </c>
      <c r="O37" s="284">
        <v>0</v>
      </c>
      <c r="P37" s="284">
        <f t="shared" si="0"/>
        <v>0</v>
      </c>
    </row>
    <row r="38" spans="1:16" s="653" customFormat="1" ht="27.95" customHeight="1">
      <c r="A38" s="284" t="s">
        <v>296</v>
      </c>
      <c r="B38" s="284" t="s">
        <v>177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60">
        <v>2606800</v>
      </c>
      <c r="M38" s="360">
        <f>2606800*70%</f>
        <v>1824760</v>
      </c>
      <c r="N38" s="284">
        <v>0</v>
      </c>
      <c r="O38" s="284">
        <v>0</v>
      </c>
      <c r="P38" s="284">
        <f t="shared" si="0"/>
        <v>0</v>
      </c>
    </row>
    <row r="39" spans="1:16" s="653" customFormat="1" ht="27.95" customHeight="1">
      <c r="A39" s="284"/>
      <c r="B39" s="292" t="s">
        <v>119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83">
        <f>SUM(L35:L38)</f>
        <v>14112200</v>
      </c>
      <c r="M39" s="383">
        <f>SUM(M35:M38)</f>
        <v>225878540</v>
      </c>
      <c r="N39" s="292">
        <f>SUM(N35:N38)</f>
        <v>1398000000</v>
      </c>
      <c r="O39" s="292">
        <f>SUM(O35:O38)</f>
        <v>162000000</v>
      </c>
      <c r="P39" s="292">
        <f t="shared" si="0"/>
        <v>-1236000000</v>
      </c>
    </row>
    <row r="40" spans="1:16" s="653" customFormat="1" ht="27.95" customHeight="1">
      <c r="A40" s="284" t="s">
        <v>338</v>
      </c>
      <c r="B40" s="292" t="s">
        <v>731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83"/>
      <c r="M40" s="383"/>
      <c r="N40" s="292"/>
      <c r="O40" s="292"/>
      <c r="P40" s="292">
        <f t="shared" si="0"/>
        <v>0</v>
      </c>
    </row>
    <row r="41" spans="1:16" s="653" customFormat="1" ht="27.95" customHeight="1">
      <c r="A41" s="284" t="s">
        <v>446</v>
      </c>
      <c r="B41" s="284" t="s">
        <v>744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83"/>
      <c r="M41" s="360">
        <v>0</v>
      </c>
      <c r="N41" s="284">
        <v>240000000</v>
      </c>
      <c r="O41" s="284">
        <v>0</v>
      </c>
      <c r="P41" s="284">
        <f t="shared" si="0"/>
        <v>-240000000</v>
      </c>
    </row>
    <row r="42" spans="1:16" s="653" customFormat="1" ht="27.95" customHeight="1">
      <c r="A42" s="284" t="s">
        <v>825</v>
      </c>
      <c r="B42" s="284" t="s">
        <v>827</v>
      </c>
      <c r="C42" s="379"/>
      <c r="D42" s="379"/>
      <c r="E42" s="379"/>
      <c r="F42" s="379"/>
      <c r="G42" s="379"/>
      <c r="H42" s="379"/>
      <c r="I42" s="379"/>
      <c r="J42" s="379"/>
      <c r="K42" s="379"/>
      <c r="L42" s="383"/>
      <c r="M42" s="360">
        <v>0</v>
      </c>
      <c r="N42" s="284">
        <v>300000000</v>
      </c>
      <c r="O42" s="284">
        <v>0</v>
      </c>
      <c r="P42" s="284">
        <f t="shared" si="0"/>
        <v>-300000000</v>
      </c>
    </row>
    <row r="43" spans="1:16" s="653" customFormat="1" ht="27.95" customHeight="1">
      <c r="A43" s="284" t="s">
        <v>825</v>
      </c>
      <c r="B43" s="284" t="s">
        <v>890</v>
      </c>
      <c r="C43" s="379"/>
      <c r="D43" s="379"/>
      <c r="E43" s="379"/>
      <c r="F43" s="379"/>
      <c r="G43" s="379"/>
      <c r="H43" s="379"/>
      <c r="I43" s="379"/>
      <c r="J43" s="379"/>
      <c r="K43" s="379"/>
      <c r="L43" s="383"/>
      <c r="M43" s="360">
        <v>0</v>
      </c>
      <c r="N43" s="284">
        <v>2000000000</v>
      </c>
      <c r="O43" s="284">
        <v>0</v>
      </c>
      <c r="P43" s="284">
        <f t="shared" si="0"/>
        <v>-2000000000</v>
      </c>
    </row>
    <row r="44" spans="1:16" s="653" customFormat="1" ht="27.95" customHeight="1">
      <c r="A44" s="284"/>
      <c r="B44" s="292" t="s">
        <v>119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83"/>
      <c r="M44" s="360">
        <v>0</v>
      </c>
      <c r="N44" s="292">
        <f>SUM(N41:N43)</f>
        <v>2540000000</v>
      </c>
      <c r="O44" s="292">
        <f>SUM(O41:O43)</f>
        <v>0</v>
      </c>
      <c r="P44" s="292">
        <f t="shared" si="0"/>
        <v>-2540000000</v>
      </c>
    </row>
    <row r="45" spans="1:16" s="653" customFormat="1" ht="27.95" customHeight="1">
      <c r="A45" s="284"/>
      <c r="B45" s="292" t="s">
        <v>42</v>
      </c>
      <c r="C45" s="379"/>
      <c r="D45" s="379"/>
      <c r="E45" s="379"/>
      <c r="F45" s="379"/>
      <c r="G45" s="379"/>
      <c r="H45" s="379"/>
      <c r="I45" s="379"/>
      <c r="J45" s="379"/>
      <c r="K45" s="379"/>
      <c r="L45" s="361">
        <f>L39+L32+L26+L20+L9</f>
        <v>1423412800</v>
      </c>
      <c r="M45" s="361">
        <f>M39+M32+M26+M20+M9</f>
        <v>1971384180</v>
      </c>
      <c r="N45" s="292">
        <f>N44+N39+N32+N26+N20+N9</f>
        <v>6430889904</v>
      </c>
      <c r="O45" s="292">
        <f>O44+O39+O32+O26+O20+O9</f>
        <v>2718938904</v>
      </c>
      <c r="P45" s="292">
        <f t="shared" si="0"/>
        <v>-3711951000</v>
      </c>
    </row>
    <row r="46" spans="1:16" s="653" customFormat="1" ht="15">
      <c r="N46" s="654"/>
      <c r="O46" s="654"/>
      <c r="P46" s="654"/>
    </row>
  </sheetData>
  <pageMargins left="0.7" right="0.34" top="0.75" bottom="0.55000000000000004" header="0.3" footer="0.19"/>
  <pageSetup scale="55" orientation="portrait" r:id="rId1"/>
  <headerFooter>
    <oddHeader>&amp;C&amp;"Antique Olive,Bold"&amp;22Wasaaradda Hawlaha Guud.</oddHeader>
    <oddFooter>&amp;R&amp;"Times New Roman,Bold"&amp;14 37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workbookViewId="0">
      <selection sqref="A1:XFD1048576"/>
    </sheetView>
  </sheetViews>
  <sheetFormatPr defaultRowHeight="21.95" customHeight="1"/>
  <cols>
    <col min="1" max="1" width="16.6640625" style="444" bestFit="1" customWidth="1"/>
    <col min="2" max="2" width="69.5" style="444" bestFit="1" customWidth="1"/>
    <col min="3" max="11" width="9.33203125" style="444" hidden="1" customWidth="1"/>
    <col min="12" max="12" width="23" style="444" hidden="1" customWidth="1"/>
    <col min="13" max="13" width="25.33203125" style="444" hidden="1" customWidth="1"/>
    <col min="14" max="14" width="30.1640625" style="415" bestFit="1" customWidth="1"/>
    <col min="15" max="15" width="27.6640625" style="415" bestFit="1" customWidth="1"/>
    <col min="16" max="16" width="28.83203125" style="415" bestFit="1" customWidth="1"/>
    <col min="17" max="16384" width="9.33203125" style="444"/>
  </cols>
  <sheetData>
    <row r="1" spans="1:16" ht="21.6" customHeight="1">
      <c r="A1" s="373" t="s">
        <v>44</v>
      </c>
      <c r="B1" s="443" t="s">
        <v>520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284"/>
      <c r="O1" s="284"/>
      <c r="P1" s="284"/>
    </row>
    <row r="2" spans="1:16" ht="21.6" customHeight="1">
      <c r="A2" s="371" t="s">
        <v>28</v>
      </c>
      <c r="B2" s="371" t="s">
        <v>29</v>
      </c>
      <c r="C2" s="378" t="s">
        <v>29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130</v>
      </c>
      <c r="J2" s="378" t="s">
        <v>135</v>
      </c>
      <c r="K2" s="378" t="s">
        <v>143</v>
      </c>
      <c r="L2" s="378" t="s">
        <v>180</v>
      </c>
      <c r="M2" s="378" t="s">
        <v>325</v>
      </c>
      <c r="N2" s="271" t="s">
        <v>643</v>
      </c>
      <c r="O2" s="271" t="s">
        <v>1111</v>
      </c>
      <c r="P2" s="271" t="s">
        <v>63</v>
      </c>
    </row>
    <row r="3" spans="1:16" ht="21.6" customHeight="1">
      <c r="A3" s="292" t="s">
        <v>248</v>
      </c>
      <c r="B3" s="292" t="s">
        <v>165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284"/>
      <c r="O3" s="284"/>
      <c r="P3" s="284"/>
    </row>
    <row r="4" spans="1:16" ht="21.6" customHeight="1">
      <c r="A4" s="292" t="s">
        <v>249</v>
      </c>
      <c r="B4" s="292" t="s">
        <v>250</v>
      </c>
      <c r="C4" s="284">
        <v>165303000</v>
      </c>
      <c r="D4" s="284">
        <v>342120000</v>
      </c>
      <c r="E4" s="284">
        <v>342120000</v>
      </c>
      <c r="F4" s="284">
        <f>342120000-77808000+14760000</f>
        <v>279072000</v>
      </c>
      <c r="G4" s="284">
        <v>305892000</v>
      </c>
      <c r="H4" s="284">
        <f>305892000+19416000</f>
        <v>325308000</v>
      </c>
      <c r="I4" s="284">
        <v>434007600</v>
      </c>
      <c r="J4" s="284">
        <f>443242800+3198000+54000000+6000000</f>
        <v>506440800</v>
      </c>
      <c r="K4" s="284">
        <f>506440800+12000000+936000+5085600</f>
        <v>524462400</v>
      </c>
      <c r="L4" s="284"/>
      <c r="M4" s="284"/>
      <c r="N4" s="284"/>
      <c r="O4" s="284"/>
      <c r="P4" s="284"/>
    </row>
    <row r="5" spans="1:16" ht="21.6" customHeight="1">
      <c r="A5" s="284" t="s">
        <v>247</v>
      </c>
      <c r="B5" s="284" t="s">
        <v>32</v>
      </c>
      <c r="C5" s="284">
        <v>4871000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>
        <v>0</v>
      </c>
      <c r="L5" s="284">
        <f>524462400+5085600</f>
        <v>529548000</v>
      </c>
      <c r="M5" s="284">
        <f>'shaq,3'!H40+36000000</f>
        <v>1392638400</v>
      </c>
      <c r="N5" s="284">
        <v>1351833600</v>
      </c>
      <c r="O5" s="284">
        <v>1598625600</v>
      </c>
      <c r="P5" s="284">
        <f>O5-N5</f>
        <v>246792000</v>
      </c>
    </row>
    <row r="6" spans="1:16" ht="21.6" customHeight="1">
      <c r="A6" s="284" t="s">
        <v>251</v>
      </c>
      <c r="B6" s="284" t="s">
        <v>815</v>
      </c>
      <c r="C6" s="284">
        <v>10800000</v>
      </c>
      <c r="D6" s="284">
        <v>10800000</v>
      </c>
      <c r="E6" s="284">
        <v>10800000</v>
      </c>
      <c r="F6" s="284">
        <v>10800000</v>
      </c>
      <c r="G6" s="284">
        <v>14400000</v>
      </c>
      <c r="H6" s="284">
        <f>G6</f>
        <v>14400000</v>
      </c>
      <c r="I6" s="284">
        <v>14400000</v>
      </c>
      <c r="J6" s="284">
        <f>14400000+32400000+1440000</f>
        <v>48240000</v>
      </c>
      <c r="K6" s="284">
        <f>48240000+1440000+7920000+2400000</f>
        <v>60000000</v>
      </c>
      <c r="L6" s="284">
        <v>0</v>
      </c>
      <c r="M6" s="284">
        <v>0</v>
      </c>
      <c r="N6" s="284">
        <v>249768000</v>
      </c>
      <c r="O6" s="284">
        <v>97200000</v>
      </c>
      <c r="P6" s="284">
        <f t="shared" ref="P6:P52" si="0">O6-N6</f>
        <v>-152568000</v>
      </c>
    </row>
    <row r="7" spans="1:16" ht="21.6" customHeight="1">
      <c r="A7" s="284" t="s">
        <v>252</v>
      </c>
      <c r="B7" s="284" t="s">
        <v>34</v>
      </c>
      <c r="C7" s="284"/>
      <c r="D7" s="284"/>
      <c r="E7" s="284"/>
      <c r="F7" s="284"/>
      <c r="G7" s="284">
        <v>0</v>
      </c>
      <c r="H7" s="284">
        <v>288000000</v>
      </c>
      <c r="I7" s="284">
        <v>282000000</v>
      </c>
      <c r="J7" s="284">
        <v>304200000</v>
      </c>
      <c r="K7" s="284">
        <v>0</v>
      </c>
      <c r="L7" s="284">
        <f>60000000+4800000</f>
        <v>64800000</v>
      </c>
      <c r="M7" s="284">
        <f>60000000+4800000</f>
        <v>64800000</v>
      </c>
      <c r="N7" s="284">
        <v>108000000</v>
      </c>
      <c r="O7" s="284">
        <v>151200000</v>
      </c>
      <c r="P7" s="284">
        <f t="shared" si="0"/>
        <v>43200000</v>
      </c>
    </row>
    <row r="8" spans="1:16" ht="21.6" customHeight="1">
      <c r="A8" s="284" t="s">
        <v>676</v>
      </c>
      <c r="B8" s="284" t="s">
        <v>776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>
        <v>315600000</v>
      </c>
      <c r="N8" s="284">
        <v>485400000</v>
      </c>
      <c r="O8" s="284">
        <v>576600000</v>
      </c>
      <c r="P8" s="284">
        <f t="shared" si="0"/>
        <v>91200000</v>
      </c>
    </row>
    <row r="9" spans="1:16" ht="21.6" customHeight="1">
      <c r="A9" s="292" t="s">
        <v>255</v>
      </c>
      <c r="B9" s="292" t="s">
        <v>256</v>
      </c>
      <c r="C9" s="284">
        <v>0</v>
      </c>
      <c r="D9" s="284">
        <v>30000000</v>
      </c>
      <c r="E9" s="284">
        <v>30000000</v>
      </c>
      <c r="F9" s="284">
        <v>0</v>
      </c>
      <c r="G9" s="284">
        <v>24000000</v>
      </c>
      <c r="H9" s="284">
        <v>0</v>
      </c>
      <c r="I9" s="284">
        <v>0</v>
      </c>
      <c r="J9" s="284">
        <v>30000000</v>
      </c>
      <c r="K9" s="284">
        <v>0</v>
      </c>
      <c r="L9" s="284">
        <v>0</v>
      </c>
      <c r="M9" s="284">
        <v>0</v>
      </c>
      <c r="N9" s="284">
        <v>0</v>
      </c>
      <c r="O9" s="284">
        <v>0</v>
      </c>
      <c r="P9" s="284">
        <f t="shared" si="0"/>
        <v>0</v>
      </c>
    </row>
    <row r="10" spans="1:16" ht="21.6" customHeight="1">
      <c r="A10" s="284" t="s">
        <v>259</v>
      </c>
      <c r="B10" s="284" t="s">
        <v>594</v>
      </c>
      <c r="C10" s="284">
        <v>2700000</v>
      </c>
      <c r="D10" s="284">
        <v>8500000</v>
      </c>
      <c r="E10" s="284">
        <v>8500000</v>
      </c>
      <c r="F10" s="284">
        <v>13900000</v>
      </c>
      <c r="G10" s="284">
        <v>11120000</v>
      </c>
      <c r="H10" s="284">
        <v>13900000</v>
      </c>
      <c r="I10" s="284">
        <v>11172000</v>
      </c>
      <c r="J10" s="284">
        <v>11172000</v>
      </c>
      <c r="K10" s="284"/>
      <c r="L10" s="284">
        <v>9997000</v>
      </c>
      <c r="M10" s="284">
        <v>3192000</v>
      </c>
      <c r="N10" s="284">
        <v>0</v>
      </c>
      <c r="O10" s="284">
        <v>0</v>
      </c>
      <c r="P10" s="284">
        <f t="shared" si="0"/>
        <v>0</v>
      </c>
    </row>
    <row r="11" spans="1:16" ht="21.6" customHeight="1">
      <c r="A11" s="284"/>
      <c r="B11" s="292" t="s">
        <v>119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92">
        <f>SUM(L5:L10)</f>
        <v>604345000</v>
      </c>
      <c r="M11" s="292">
        <f>SUM(M5:M10)</f>
        <v>1776230400</v>
      </c>
      <c r="N11" s="292">
        <f>SUM(N5:N10)</f>
        <v>2195001600</v>
      </c>
      <c r="O11" s="292">
        <f>SUM(O5:O10)</f>
        <v>2423625600</v>
      </c>
      <c r="P11" s="292">
        <f t="shared" si="0"/>
        <v>228624000</v>
      </c>
    </row>
    <row r="12" spans="1:16" ht="21.6" customHeight="1">
      <c r="A12" s="292" t="s">
        <v>262</v>
      </c>
      <c r="B12" s="292" t="s">
        <v>263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/>
      <c r="M12" s="284"/>
      <c r="N12" s="284"/>
      <c r="O12" s="284"/>
      <c r="P12" s="284">
        <f t="shared" si="0"/>
        <v>0</v>
      </c>
    </row>
    <row r="13" spans="1:16" ht="21.6" customHeight="1">
      <c r="A13" s="292" t="s">
        <v>265</v>
      </c>
      <c r="B13" s="292" t="s">
        <v>264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20913984</v>
      </c>
      <c r="L13" s="284"/>
      <c r="M13" s="284"/>
      <c r="N13" s="284"/>
      <c r="O13" s="284"/>
      <c r="P13" s="284">
        <f t="shared" si="0"/>
        <v>0</v>
      </c>
    </row>
    <row r="14" spans="1:16" ht="21.6" customHeight="1">
      <c r="A14" s="284" t="s">
        <v>266</v>
      </c>
      <c r="B14" s="284" t="s">
        <v>38</v>
      </c>
      <c r="C14" s="284">
        <v>0</v>
      </c>
      <c r="D14" s="284">
        <v>0</v>
      </c>
      <c r="E14" s="284">
        <v>0</v>
      </c>
      <c r="F14" s="284">
        <v>0</v>
      </c>
      <c r="G14" s="284">
        <v>12000000</v>
      </c>
      <c r="H14" s="284">
        <v>0</v>
      </c>
      <c r="I14" s="284">
        <v>0</v>
      </c>
      <c r="J14" s="284">
        <v>0</v>
      </c>
      <c r="K14" s="400">
        <v>7448000</v>
      </c>
      <c r="L14" s="400">
        <v>27110720</v>
      </c>
      <c r="M14" s="400">
        <f>27110720*70%</f>
        <v>18977504</v>
      </c>
      <c r="N14" s="400">
        <f>27110720*70%</f>
        <v>18977504</v>
      </c>
      <c r="O14" s="400">
        <f>27110720*70%</f>
        <v>18977504</v>
      </c>
      <c r="P14" s="400">
        <f t="shared" si="0"/>
        <v>0</v>
      </c>
    </row>
    <row r="15" spans="1:16" ht="21.6" customHeight="1">
      <c r="A15" s="284" t="s">
        <v>267</v>
      </c>
      <c r="B15" s="284" t="s">
        <v>152</v>
      </c>
      <c r="C15" s="284">
        <v>0</v>
      </c>
      <c r="D15" s="284">
        <v>141000000</v>
      </c>
      <c r="E15" s="284">
        <v>0</v>
      </c>
      <c r="F15" s="284">
        <v>0</v>
      </c>
      <c r="G15" s="284">
        <v>0</v>
      </c>
      <c r="H15" s="284">
        <v>65000000</v>
      </c>
      <c r="I15" s="284">
        <v>0</v>
      </c>
      <c r="J15" s="284"/>
      <c r="K15" s="284">
        <v>14517642</v>
      </c>
      <c r="L15" s="284">
        <v>0</v>
      </c>
      <c r="M15" s="284">
        <v>0</v>
      </c>
      <c r="N15" s="284">
        <v>0</v>
      </c>
      <c r="O15" s="284">
        <v>0</v>
      </c>
      <c r="P15" s="284">
        <f t="shared" si="0"/>
        <v>0</v>
      </c>
    </row>
    <row r="16" spans="1:16" ht="21.6" customHeight="1">
      <c r="A16" s="284" t="s">
        <v>268</v>
      </c>
      <c r="B16" s="284" t="s">
        <v>153</v>
      </c>
      <c r="C16" s="284"/>
      <c r="D16" s="284"/>
      <c r="E16" s="284"/>
      <c r="F16" s="284">
        <v>0</v>
      </c>
      <c r="G16" s="284">
        <v>3200000</v>
      </c>
      <c r="H16" s="284">
        <v>4000000</v>
      </c>
      <c r="I16" s="284">
        <v>4096400</v>
      </c>
      <c r="J16" s="284">
        <v>4096400</v>
      </c>
      <c r="K16" s="284">
        <v>64201760</v>
      </c>
      <c r="L16" s="284">
        <v>0</v>
      </c>
      <c r="M16" s="284">
        <v>0</v>
      </c>
      <c r="N16" s="284">
        <v>0</v>
      </c>
      <c r="O16" s="284">
        <v>0</v>
      </c>
      <c r="P16" s="284">
        <f t="shared" si="0"/>
        <v>0</v>
      </c>
    </row>
    <row r="17" spans="1:16" ht="21.6" customHeight="1">
      <c r="A17" s="284" t="s">
        <v>269</v>
      </c>
      <c r="B17" s="284" t="s">
        <v>186</v>
      </c>
      <c r="C17" s="284"/>
      <c r="D17" s="284"/>
      <c r="E17" s="284"/>
      <c r="F17" s="284"/>
      <c r="G17" s="284"/>
      <c r="H17" s="284"/>
      <c r="I17" s="284"/>
      <c r="J17" s="284"/>
      <c r="K17" s="284">
        <v>20824608</v>
      </c>
      <c r="L17" s="284">
        <v>20913984</v>
      </c>
      <c r="M17" s="284">
        <f>L17*70%</f>
        <v>14639788.799999999</v>
      </c>
      <c r="N17" s="284">
        <f>M17</f>
        <v>14639788.799999999</v>
      </c>
      <c r="O17" s="284">
        <f>N17</f>
        <v>14639788.799999999</v>
      </c>
      <c r="P17" s="284">
        <f t="shared" si="0"/>
        <v>0</v>
      </c>
    </row>
    <row r="18" spans="1:16" ht="21.6" customHeight="1">
      <c r="A18" s="284" t="s">
        <v>488</v>
      </c>
      <c r="B18" s="284" t="s">
        <v>836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>
        <v>0</v>
      </c>
      <c r="N18" s="284">
        <v>81000000</v>
      </c>
      <c r="O18" s="284">
        <v>81000000</v>
      </c>
      <c r="P18" s="284">
        <f t="shared" si="0"/>
        <v>0</v>
      </c>
    </row>
    <row r="19" spans="1:16" ht="21.6" customHeight="1">
      <c r="A19" s="284" t="s">
        <v>272</v>
      </c>
      <c r="B19" s="284" t="s">
        <v>54</v>
      </c>
      <c r="C19" s="284"/>
      <c r="D19" s="284"/>
      <c r="E19" s="284"/>
      <c r="F19" s="284"/>
      <c r="G19" s="284"/>
      <c r="H19" s="284"/>
      <c r="I19" s="284"/>
      <c r="J19" s="284"/>
      <c r="K19" s="292">
        <f>SUM(K11:K17)</f>
        <v>127905994</v>
      </c>
      <c r="L19" s="284">
        <v>12448000</v>
      </c>
      <c r="M19" s="284">
        <v>8713600</v>
      </c>
      <c r="N19" s="284">
        <f>M19*70%</f>
        <v>6099520</v>
      </c>
      <c r="O19" s="284">
        <f>N19</f>
        <v>6099520</v>
      </c>
      <c r="P19" s="284">
        <f t="shared" si="0"/>
        <v>0</v>
      </c>
    </row>
    <row r="20" spans="1:16" ht="21.6" customHeight="1">
      <c r="A20" s="284" t="s">
        <v>274</v>
      </c>
      <c r="B20" s="284" t="s">
        <v>164</v>
      </c>
      <c r="C20" s="284"/>
      <c r="D20" s="284"/>
      <c r="E20" s="284"/>
      <c r="F20" s="284"/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17429880</v>
      </c>
      <c r="M20" s="284">
        <f>17429880*70%</f>
        <v>12200916</v>
      </c>
      <c r="N20" s="284">
        <f>17429880*70%</f>
        <v>12200916</v>
      </c>
      <c r="O20" s="284">
        <f>17429880*70%</f>
        <v>12200916</v>
      </c>
      <c r="P20" s="284">
        <f t="shared" si="0"/>
        <v>0</v>
      </c>
    </row>
    <row r="21" spans="1:16" ht="21.6" customHeight="1">
      <c r="A21" s="284" t="s">
        <v>275</v>
      </c>
      <c r="B21" s="284" t="s">
        <v>40</v>
      </c>
      <c r="C21" s="284"/>
      <c r="D21" s="284">
        <v>0</v>
      </c>
      <c r="E21" s="284">
        <v>0</v>
      </c>
      <c r="F21" s="284">
        <v>0</v>
      </c>
      <c r="G21" s="284">
        <v>4000000</v>
      </c>
      <c r="H21" s="284">
        <v>5000000</v>
      </c>
      <c r="I21" s="284">
        <v>3724000</v>
      </c>
      <c r="J21" s="284">
        <v>3724000</v>
      </c>
      <c r="K21" s="284">
        <v>443347200</v>
      </c>
      <c r="L21" s="284">
        <v>84201760</v>
      </c>
      <c r="M21" s="284">
        <f>84201760*70%</f>
        <v>58941231.999999993</v>
      </c>
      <c r="N21" s="284">
        <f>84201760*70%</f>
        <v>58941231.999999993</v>
      </c>
      <c r="O21" s="284">
        <v>158941232</v>
      </c>
      <c r="P21" s="284">
        <f t="shared" si="0"/>
        <v>100000000</v>
      </c>
    </row>
    <row r="22" spans="1:16" ht="21.6" customHeight="1">
      <c r="A22" s="284" t="s">
        <v>277</v>
      </c>
      <c r="B22" s="284" t="s">
        <v>218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>
        <v>58625600</v>
      </c>
      <c r="M22" s="284">
        <f>58625600*70%</f>
        <v>41037920</v>
      </c>
      <c r="N22" s="284">
        <v>0</v>
      </c>
      <c r="O22" s="284">
        <v>0</v>
      </c>
      <c r="P22" s="284">
        <f t="shared" si="0"/>
        <v>0</v>
      </c>
    </row>
    <row r="23" spans="1:16" ht="21.6" customHeight="1">
      <c r="A23" s="284" t="s">
        <v>733</v>
      </c>
      <c r="B23" s="284" t="s">
        <v>1114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>
        <v>200000000</v>
      </c>
      <c r="O23" s="284">
        <f>N23</f>
        <v>200000000</v>
      </c>
      <c r="P23" s="284">
        <f t="shared" si="0"/>
        <v>0</v>
      </c>
    </row>
    <row r="24" spans="1:16" ht="21.6" customHeight="1">
      <c r="A24" s="284" t="s">
        <v>742</v>
      </c>
      <c r="B24" s="284" t="s">
        <v>743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>
        <v>0</v>
      </c>
      <c r="N24" s="284">
        <v>180000000</v>
      </c>
      <c r="O24" s="284">
        <v>210000000</v>
      </c>
      <c r="P24" s="284">
        <f t="shared" si="0"/>
        <v>30000000</v>
      </c>
    </row>
    <row r="25" spans="1:16" ht="21.6" customHeight="1">
      <c r="A25" s="284"/>
      <c r="B25" s="292" t="s">
        <v>119</v>
      </c>
      <c r="C25" s="284">
        <v>1000000</v>
      </c>
      <c r="D25" s="284">
        <v>20000000</v>
      </c>
      <c r="E25" s="284">
        <v>20000000</v>
      </c>
      <c r="F25" s="284">
        <v>25000000</v>
      </c>
      <c r="G25" s="284">
        <v>22464000</v>
      </c>
      <c r="H25" s="284">
        <v>28080000</v>
      </c>
      <c r="I25" s="284">
        <v>20913984</v>
      </c>
      <c r="J25" s="284">
        <v>20913984</v>
      </c>
      <c r="K25" s="284">
        <v>0</v>
      </c>
      <c r="L25" s="292">
        <f>SUM(L14:L22)</f>
        <v>220729944</v>
      </c>
      <c r="M25" s="292">
        <f>SUM(M14:M22)</f>
        <v>154510960.79999998</v>
      </c>
      <c r="N25" s="292">
        <f>SUM(N13:N24)</f>
        <v>571858960.79999995</v>
      </c>
      <c r="O25" s="292">
        <f>SUM(O13:O24)</f>
        <v>701858960.79999995</v>
      </c>
      <c r="P25" s="292">
        <f t="shared" si="0"/>
        <v>130000000</v>
      </c>
    </row>
    <row r="26" spans="1:16" ht="21.6" customHeight="1">
      <c r="A26" s="292" t="s">
        <v>279</v>
      </c>
      <c r="B26" s="292" t="s">
        <v>278</v>
      </c>
      <c r="C26" s="284"/>
      <c r="D26" s="284"/>
      <c r="E26" s="284"/>
      <c r="F26" s="284">
        <v>0</v>
      </c>
      <c r="G26" s="284">
        <v>8000000</v>
      </c>
      <c r="H26" s="284">
        <v>10000000</v>
      </c>
      <c r="I26" s="284">
        <v>7448000</v>
      </c>
      <c r="J26" s="284">
        <v>7448000</v>
      </c>
      <c r="K26" s="284">
        <v>4096400</v>
      </c>
      <c r="L26" s="284"/>
      <c r="M26" s="284"/>
      <c r="N26" s="284"/>
      <c r="O26" s="284"/>
      <c r="P26" s="284">
        <f t="shared" si="0"/>
        <v>0</v>
      </c>
    </row>
    <row r="27" spans="1:16" ht="21.6" customHeight="1">
      <c r="A27" s="284" t="s">
        <v>280</v>
      </c>
      <c r="B27" s="284" t="s">
        <v>160</v>
      </c>
      <c r="C27" s="284"/>
      <c r="D27" s="284"/>
      <c r="E27" s="284"/>
      <c r="F27" s="284"/>
      <c r="G27" s="284"/>
      <c r="H27" s="284"/>
      <c r="I27" s="284"/>
      <c r="J27" s="284"/>
      <c r="K27" s="284">
        <v>2979200</v>
      </c>
      <c r="L27" s="284">
        <v>0</v>
      </c>
      <c r="M27" s="284">
        <v>0</v>
      </c>
      <c r="N27" s="284">
        <v>50000000</v>
      </c>
      <c r="O27" s="284">
        <v>50000000</v>
      </c>
      <c r="P27" s="284">
        <f t="shared" si="0"/>
        <v>0</v>
      </c>
    </row>
    <row r="28" spans="1:16" ht="21.6" customHeight="1">
      <c r="A28" s="284" t="s">
        <v>281</v>
      </c>
      <c r="B28" s="284" t="s">
        <v>161</v>
      </c>
      <c r="C28" s="284"/>
      <c r="D28" s="284"/>
      <c r="E28" s="284">
        <v>0</v>
      </c>
      <c r="F28" s="284">
        <v>27960000</v>
      </c>
      <c r="G28" s="284">
        <v>27960000</v>
      </c>
      <c r="H28" s="284">
        <v>27960000</v>
      </c>
      <c r="I28" s="284">
        <v>20824608</v>
      </c>
      <c r="J28" s="284">
        <v>20824608</v>
      </c>
      <c r="K28" s="292">
        <f>SUM(K25:K27)</f>
        <v>7075600</v>
      </c>
      <c r="L28" s="284">
        <v>787684000</v>
      </c>
      <c r="M28" s="284">
        <f>787684000</f>
        <v>787684000</v>
      </c>
      <c r="N28" s="284">
        <f>M28*80%</f>
        <v>630147200</v>
      </c>
      <c r="O28" s="284">
        <v>680147200</v>
      </c>
      <c r="P28" s="284">
        <f t="shared" si="0"/>
        <v>50000000</v>
      </c>
    </row>
    <row r="29" spans="1:16" ht="21.6" customHeight="1">
      <c r="A29" s="284" t="s">
        <v>837</v>
      </c>
      <c r="B29" s="284" t="s">
        <v>838</v>
      </c>
      <c r="C29" s="284"/>
      <c r="D29" s="284"/>
      <c r="E29" s="284"/>
      <c r="F29" s="284"/>
      <c r="G29" s="284"/>
      <c r="H29" s="284"/>
      <c r="I29" s="284"/>
      <c r="J29" s="284"/>
      <c r="K29" s="292"/>
      <c r="L29" s="284"/>
      <c r="M29" s="284">
        <v>0</v>
      </c>
      <c r="N29" s="284">
        <v>76650000</v>
      </c>
      <c r="O29" s="284">
        <v>126650000</v>
      </c>
      <c r="P29" s="284">
        <f t="shared" si="0"/>
        <v>50000000</v>
      </c>
    </row>
    <row r="30" spans="1:16" ht="21.6" customHeight="1">
      <c r="A30" s="284" t="s">
        <v>282</v>
      </c>
      <c r="B30" s="284" t="s">
        <v>155</v>
      </c>
      <c r="C30" s="284">
        <v>0</v>
      </c>
      <c r="D30" s="284">
        <v>134933200</v>
      </c>
      <c r="E30" s="284">
        <v>392992000</v>
      </c>
      <c r="F30" s="284">
        <v>252083954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16172000</v>
      </c>
      <c r="M30" s="284">
        <v>11320400</v>
      </c>
      <c r="N30" s="284">
        <v>11320400</v>
      </c>
      <c r="O30" s="284">
        <v>11320400</v>
      </c>
      <c r="P30" s="284">
        <f t="shared" si="0"/>
        <v>0</v>
      </c>
    </row>
    <row r="31" spans="1:16" ht="21.6" customHeight="1">
      <c r="A31" s="284" t="s">
        <v>283</v>
      </c>
      <c r="B31" s="284" t="s">
        <v>156</v>
      </c>
      <c r="C31" s="271">
        <f t="shared" ref="C31:J31" si="1">SUM(C25:C30)</f>
        <v>1000000</v>
      </c>
      <c r="D31" s="271">
        <f t="shared" si="1"/>
        <v>154933200</v>
      </c>
      <c r="E31" s="271">
        <f t="shared" si="1"/>
        <v>412992000</v>
      </c>
      <c r="F31" s="271">
        <f t="shared" si="1"/>
        <v>305043954</v>
      </c>
      <c r="G31" s="271">
        <f t="shared" si="1"/>
        <v>58424000</v>
      </c>
      <c r="H31" s="271">
        <f t="shared" si="1"/>
        <v>66040000</v>
      </c>
      <c r="I31" s="271">
        <f t="shared" si="1"/>
        <v>49186592</v>
      </c>
      <c r="J31" s="271">
        <f t="shared" si="1"/>
        <v>49186592</v>
      </c>
      <c r="K31" s="400">
        <v>74480000</v>
      </c>
      <c r="L31" s="400">
        <v>12448000</v>
      </c>
      <c r="M31" s="400">
        <f>12448000*70%</f>
        <v>8713600</v>
      </c>
      <c r="N31" s="400">
        <f>12448000*70%</f>
        <v>8713600</v>
      </c>
      <c r="O31" s="400">
        <f>12448000*70%</f>
        <v>8713600</v>
      </c>
      <c r="P31" s="400">
        <f t="shared" si="0"/>
        <v>0</v>
      </c>
    </row>
    <row r="32" spans="1:16" ht="21.6" customHeight="1">
      <c r="A32" s="284"/>
      <c r="B32" s="292" t="s">
        <v>119</v>
      </c>
      <c r="C32" s="335"/>
      <c r="D32" s="336" t="s">
        <v>4</v>
      </c>
      <c r="E32" s="335"/>
      <c r="F32" s="336">
        <f>SUM(F22:F31)</f>
        <v>610087908</v>
      </c>
      <c r="G32" s="336"/>
      <c r="H32" s="336"/>
      <c r="I32" s="336"/>
      <c r="J32" s="336"/>
      <c r="K32" s="361">
        <f>SUM(K30:K31)</f>
        <v>74480000</v>
      </c>
      <c r="L32" s="361">
        <f>SUM(L27:L31)</f>
        <v>816304000</v>
      </c>
      <c r="M32" s="361">
        <f>SUM(M27:M31)</f>
        <v>807718000</v>
      </c>
      <c r="N32" s="292">
        <f>SUM(N27:N31)</f>
        <v>776831200</v>
      </c>
      <c r="O32" s="292">
        <f>SUM(O27:O31)</f>
        <v>876831200</v>
      </c>
      <c r="P32" s="292">
        <f t="shared" si="0"/>
        <v>100000000</v>
      </c>
    </row>
    <row r="33" spans="1:16" ht="21.6" customHeight="1">
      <c r="A33" s="292" t="s">
        <v>285</v>
      </c>
      <c r="B33" s="292" t="s">
        <v>158</v>
      </c>
      <c r="C33" s="335"/>
      <c r="D33" s="335"/>
      <c r="E33" s="335"/>
      <c r="F33" s="335"/>
      <c r="G33" s="335"/>
      <c r="H33" s="335"/>
      <c r="I33" s="335"/>
      <c r="J33" s="335"/>
      <c r="K33" s="361" t="e">
        <f>K32+K28+#REF!+K19+#REF!</f>
        <v>#REF!</v>
      </c>
      <c r="L33" s="361"/>
      <c r="M33" s="361"/>
      <c r="N33" s="292"/>
      <c r="O33" s="292"/>
      <c r="P33" s="292">
        <f t="shared" si="0"/>
        <v>0</v>
      </c>
    </row>
    <row r="34" spans="1:16" ht="21.6" customHeight="1">
      <c r="A34" s="284" t="s">
        <v>286</v>
      </c>
      <c r="B34" s="284" t="s">
        <v>55</v>
      </c>
      <c r="C34" s="379"/>
      <c r="D34" s="379"/>
      <c r="E34" s="379"/>
      <c r="F34" s="379">
        <f>1386274192-71600000-798000-176160000-12600000</f>
        <v>1125116192</v>
      </c>
      <c r="G34" s="379"/>
      <c r="H34" s="379"/>
      <c r="I34" s="379"/>
      <c r="J34" s="379"/>
      <c r="K34" s="379"/>
      <c r="L34" s="360">
        <v>84480000</v>
      </c>
      <c r="M34" s="360">
        <v>59136000</v>
      </c>
      <c r="N34" s="284">
        <v>59136000</v>
      </c>
      <c r="O34" s="284">
        <v>69136000</v>
      </c>
      <c r="P34" s="284">
        <f t="shared" si="0"/>
        <v>10000000</v>
      </c>
    </row>
    <row r="35" spans="1:16" ht="21.6" customHeight="1">
      <c r="A35" s="284" t="s">
        <v>288</v>
      </c>
      <c r="B35" s="284" t="s">
        <v>287</v>
      </c>
      <c r="C35" s="379"/>
      <c r="D35" s="379"/>
      <c r="E35" s="379"/>
      <c r="F35" s="467">
        <v>1420744824</v>
      </c>
      <c r="G35" s="467"/>
      <c r="H35" s="467"/>
      <c r="I35" s="467"/>
      <c r="J35" s="467"/>
      <c r="K35" s="467"/>
      <c r="L35" s="360">
        <v>0</v>
      </c>
      <c r="M35" s="360">
        <v>0</v>
      </c>
      <c r="N35" s="284">
        <v>0</v>
      </c>
      <c r="O35" s="284">
        <v>0</v>
      </c>
      <c r="P35" s="284">
        <f t="shared" si="0"/>
        <v>0</v>
      </c>
    </row>
    <row r="36" spans="1:16" ht="21.6" customHeight="1">
      <c r="A36" s="284" t="s">
        <v>326</v>
      </c>
      <c r="B36" s="284" t="s">
        <v>327</v>
      </c>
      <c r="C36" s="379"/>
      <c r="D36" s="379"/>
      <c r="E36" s="379"/>
      <c r="F36" s="467" t="e">
        <f>F35-#REF!</f>
        <v>#REF!</v>
      </c>
      <c r="G36" s="467"/>
      <c r="H36" s="467"/>
      <c r="I36" s="467"/>
      <c r="J36" s="467"/>
      <c r="K36" s="467"/>
      <c r="L36" s="360">
        <v>140000000</v>
      </c>
      <c r="M36" s="360">
        <f>140000000*70%</f>
        <v>98000000</v>
      </c>
      <c r="N36" s="284">
        <f>140000000*70%</f>
        <v>98000000</v>
      </c>
      <c r="O36" s="284">
        <f>140000000*70%</f>
        <v>98000000</v>
      </c>
      <c r="P36" s="284">
        <f t="shared" si="0"/>
        <v>0</v>
      </c>
    </row>
    <row r="37" spans="1:16" ht="21.6" customHeight="1">
      <c r="A37" s="284" t="s">
        <v>289</v>
      </c>
      <c r="B37" s="284" t="s">
        <v>290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60">
        <v>3724000</v>
      </c>
      <c r="M37" s="360">
        <f>3724000*70%</f>
        <v>2606800</v>
      </c>
      <c r="N37" s="284">
        <f>3724000*70%</f>
        <v>2606800</v>
      </c>
      <c r="O37" s="284">
        <f>3724000*70%</f>
        <v>2606800</v>
      </c>
      <c r="P37" s="284">
        <f t="shared" si="0"/>
        <v>0</v>
      </c>
    </row>
    <row r="38" spans="1:16" ht="21.6" customHeight="1">
      <c r="A38" s="284"/>
      <c r="B38" s="292" t="s">
        <v>119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83">
        <f>SUM(L34:L37)</f>
        <v>228204000</v>
      </c>
      <c r="M38" s="383">
        <f>SUM(M34:M37)</f>
        <v>159742800</v>
      </c>
      <c r="N38" s="292">
        <f>SUM(N34:N37)</f>
        <v>159742800</v>
      </c>
      <c r="O38" s="292">
        <f>SUM(O34:O37)</f>
        <v>169742800</v>
      </c>
      <c r="P38" s="292">
        <f t="shared" si="0"/>
        <v>10000000</v>
      </c>
    </row>
    <row r="39" spans="1:16" ht="21.6" customHeight="1">
      <c r="A39" s="292" t="s">
        <v>293</v>
      </c>
      <c r="B39" s="292" t="s">
        <v>292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60"/>
      <c r="M39" s="360"/>
      <c r="N39" s="284"/>
      <c r="O39" s="284"/>
      <c r="P39" s="284">
        <f t="shared" si="0"/>
        <v>0</v>
      </c>
    </row>
    <row r="40" spans="1:16" ht="21.6" customHeight="1">
      <c r="A40" s="292" t="s">
        <v>294</v>
      </c>
      <c r="B40" s="292" t="s">
        <v>291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60"/>
      <c r="M40" s="360"/>
      <c r="N40" s="284"/>
      <c r="O40" s="284"/>
      <c r="P40" s="284">
        <f t="shared" si="0"/>
        <v>0</v>
      </c>
    </row>
    <row r="41" spans="1:16" ht="21.6" customHeight="1">
      <c r="A41" s="284" t="s">
        <v>389</v>
      </c>
      <c r="B41" s="284" t="s">
        <v>307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60"/>
      <c r="M41" s="360"/>
      <c r="N41" s="284"/>
      <c r="O41" s="284">
        <v>120000000</v>
      </c>
      <c r="P41" s="284">
        <f t="shared" si="0"/>
        <v>120000000</v>
      </c>
    </row>
    <row r="42" spans="1:16" ht="21.6" customHeight="1">
      <c r="A42" s="284" t="s">
        <v>295</v>
      </c>
      <c r="B42" s="284" t="s">
        <v>176</v>
      </c>
      <c r="C42" s="379"/>
      <c r="D42" s="379"/>
      <c r="E42" s="379"/>
      <c r="F42" s="379"/>
      <c r="G42" s="379"/>
      <c r="H42" s="379"/>
      <c r="I42" s="379"/>
      <c r="J42" s="379"/>
      <c r="K42" s="379"/>
      <c r="L42" s="360">
        <v>4096400</v>
      </c>
      <c r="M42" s="360">
        <f>4096400*70%</f>
        <v>2867480</v>
      </c>
      <c r="N42" s="284">
        <v>0</v>
      </c>
      <c r="O42" s="284">
        <v>0</v>
      </c>
      <c r="P42" s="284">
        <f t="shared" si="0"/>
        <v>0</v>
      </c>
    </row>
    <row r="43" spans="1:16" ht="21.6" customHeight="1">
      <c r="A43" s="284" t="s">
        <v>296</v>
      </c>
      <c r="B43" s="284" t="s">
        <v>177</v>
      </c>
      <c r="C43" s="379"/>
      <c r="D43" s="379"/>
      <c r="E43" s="379"/>
      <c r="F43" s="379"/>
      <c r="G43" s="379"/>
      <c r="H43" s="379"/>
      <c r="I43" s="379"/>
      <c r="J43" s="379"/>
      <c r="K43" s="379"/>
      <c r="L43" s="360">
        <v>2979200</v>
      </c>
      <c r="M43" s="360">
        <f>2979200*70%</f>
        <v>2085439.9999999998</v>
      </c>
      <c r="N43" s="284">
        <v>0</v>
      </c>
      <c r="O43" s="284">
        <v>0</v>
      </c>
      <c r="P43" s="284">
        <f t="shared" si="0"/>
        <v>0</v>
      </c>
    </row>
    <row r="44" spans="1:16" ht="21.6" customHeight="1">
      <c r="A44" s="284"/>
      <c r="B44" s="292" t="s">
        <v>119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83">
        <f>SUM(L42:L43)</f>
        <v>7075600</v>
      </c>
      <c r="M44" s="383">
        <f>SUM(M42:M43)</f>
        <v>4952920</v>
      </c>
      <c r="N44" s="292">
        <f>SUM(N41:N43)</f>
        <v>0</v>
      </c>
      <c r="O44" s="292">
        <f>SUM(O41:O43)</f>
        <v>120000000</v>
      </c>
      <c r="P44" s="292">
        <f t="shared" si="0"/>
        <v>120000000</v>
      </c>
    </row>
    <row r="45" spans="1:16" ht="21.6" customHeight="1">
      <c r="A45" s="421" t="s">
        <v>611</v>
      </c>
      <c r="B45" s="422" t="s">
        <v>612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>
        <f t="shared" si="0"/>
        <v>0</v>
      </c>
    </row>
    <row r="46" spans="1:16" ht="21.6" customHeight="1">
      <c r="A46" s="283" t="s">
        <v>433</v>
      </c>
      <c r="B46" s="284" t="s">
        <v>393</v>
      </c>
      <c r="C46" s="292"/>
      <c r="D46" s="292"/>
      <c r="E46" s="292"/>
      <c r="F46" s="292"/>
      <c r="G46" s="292"/>
      <c r="H46" s="292"/>
      <c r="I46" s="292"/>
      <c r="J46" s="292"/>
      <c r="K46" s="284"/>
      <c r="L46" s="284">
        <v>20824000</v>
      </c>
      <c r="M46" s="284">
        <f>20824000*70%</f>
        <v>14576800</v>
      </c>
      <c r="N46" s="284">
        <f>20824000*70%</f>
        <v>14576800</v>
      </c>
      <c r="O46" s="284">
        <v>0</v>
      </c>
      <c r="P46" s="284">
        <f t="shared" si="0"/>
        <v>-14576800</v>
      </c>
    </row>
    <row r="47" spans="1:16" ht="21.6" customHeight="1">
      <c r="A47" s="283"/>
      <c r="B47" s="292" t="s">
        <v>119</v>
      </c>
      <c r="C47" s="284"/>
      <c r="D47" s="284"/>
      <c r="E47" s="284"/>
      <c r="F47" s="284"/>
      <c r="G47" s="284"/>
      <c r="H47" s="284"/>
      <c r="I47" s="284"/>
      <c r="J47" s="292">
        <f t="shared" ref="J47:O47" si="2">SUM(J46)</f>
        <v>0</v>
      </c>
      <c r="K47" s="292">
        <f t="shared" si="2"/>
        <v>0</v>
      </c>
      <c r="L47" s="292">
        <f t="shared" si="2"/>
        <v>20824000</v>
      </c>
      <c r="M47" s="292">
        <f t="shared" si="2"/>
        <v>14576800</v>
      </c>
      <c r="N47" s="292">
        <f t="shared" si="2"/>
        <v>14576800</v>
      </c>
      <c r="O47" s="292">
        <f t="shared" si="2"/>
        <v>0</v>
      </c>
      <c r="P47" s="292">
        <f t="shared" si="0"/>
        <v>-14576800</v>
      </c>
    </row>
    <row r="48" spans="1:16" ht="21.6" customHeight="1">
      <c r="A48" s="283" t="s">
        <v>338</v>
      </c>
      <c r="B48" s="292" t="s">
        <v>731</v>
      </c>
      <c r="C48" s="424"/>
      <c r="D48" s="424"/>
      <c r="E48" s="424"/>
      <c r="F48" s="424"/>
      <c r="G48" s="424"/>
      <c r="H48" s="424"/>
      <c r="I48" s="424"/>
      <c r="J48" s="413"/>
      <c r="K48" s="413"/>
      <c r="L48" s="292"/>
      <c r="M48" s="284">
        <v>0</v>
      </c>
      <c r="N48" s="284"/>
      <c r="O48" s="284"/>
      <c r="P48" s="284">
        <f t="shared" si="0"/>
        <v>0</v>
      </c>
    </row>
    <row r="49" spans="1:16" ht="21.6" customHeight="1">
      <c r="A49" s="283" t="s">
        <v>446</v>
      </c>
      <c r="B49" s="284" t="s">
        <v>741</v>
      </c>
      <c r="C49" s="424"/>
      <c r="D49" s="424"/>
      <c r="E49" s="424"/>
      <c r="F49" s="424"/>
      <c r="G49" s="424"/>
      <c r="H49" s="424"/>
      <c r="I49" s="424"/>
      <c r="J49" s="413"/>
      <c r="K49" s="413"/>
      <c r="L49" s="292"/>
      <c r="M49" s="284">
        <v>0</v>
      </c>
      <c r="N49" s="284">
        <v>4200000000</v>
      </c>
      <c r="O49" s="284">
        <v>1650000000</v>
      </c>
      <c r="P49" s="284">
        <f t="shared" si="0"/>
        <v>-2550000000</v>
      </c>
    </row>
    <row r="50" spans="1:16" ht="21.6" customHeight="1">
      <c r="A50" s="283" t="s">
        <v>825</v>
      </c>
      <c r="B50" s="284" t="s">
        <v>826</v>
      </c>
      <c r="C50" s="424"/>
      <c r="D50" s="424"/>
      <c r="E50" s="424"/>
      <c r="F50" s="424"/>
      <c r="G50" s="424"/>
      <c r="H50" s="424"/>
      <c r="I50" s="424"/>
      <c r="J50" s="413"/>
      <c r="K50" s="413"/>
      <c r="L50" s="292"/>
      <c r="M50" s="284">
        <v>0</v>
      </c>
      <c r="N50" s="284">
        <v>720000000</v>
      </c>
      <c r="O50" s="284"/>
      <c r="P50" s="284">
        <f t="shared" si="0"/>
        <v>-720000000</v>
      </c>
    </row>
    <row r="51" spans="1:16" ht="21.6" customHeight="1">
      <c r="A51" s="283"/>
      <c r="B51" s="292" t="s">
        <v>119</v>
      </c>
      <c r="C51" s="424"/>
      <c r="D51" s="424"/>
      <c r="E51" s="424"/>
      <c r="F51" s="424"/>
      <c r="G51" s="424"/>
      <c r="H51" s="424"/>
      <c r="I51" s="424"/>
      <c r="J51" s="413"/>
      <c r="K51" s="413"/>
      <c r="L51" s="292"/>
      <c r="M51" s="292"/>
      <c r="N51" s="292">
        <f>SUM(N49:N50)</f>
        <v>4920000000</v>
      </c>
      <c r="O51" s="292">
        <f>SUM(O49:O50)</f>
        <v>1650000000</v>
      </c>
      <c r="P51" s="292">
        <f t="shared" si="0"/>
        <v>-3270000000</v>
      </c>
    </row>
    <row r="52" spans="1:16" ht="21.6" customHeight="1">
      <c r="A52" s="284"/>
      <c r="B52" s="292" t="s">
        <v>42</v>
      </c>
      <c r="C52" s="379"/>
      <c r="D52" s="379"/>
      <c r="E52" s="379"/>
      <c r="F52" s="379"/>
      <c r="G52" s="379"/>
      <c r="H52" s="379"/>
      <c r="I52" s="379"/>
      <c r="J52" s="379"/>
      <c r="K52" s="379"/>
      <c r="L52" s="383">
        <f>L47+L44+L38+L32+L25+L11</f>
        <v>1897482544</v>
      </c>
      <c r="M52" s="383">
        <f>M47+M44+M38+M32+M25+M11</f>
        <v>2917731880.8000002</v>
      </c>
      <c r="N52" s="292">
        <f>N51+N47+N44+N38+N32+N25+N11</f>
        <v>8638011360.7999992</v>
      </c>
      <c r="O52" s="292">
        <f>O51+O47+O44+O38+O32+O25+O11</f>
        <v>5942058560.8000002</v>
      </c>
      <c r="P52" s="292">
        <f t="shared" si="0"/>
        <v>-2695952799.999999</v>
      </c>
    </row>
  </sheetData>
  <pageMargins left="0.7" right="0.42" top="1.01" bottom="0.64" header="0.36" footer="0.22"/>
  <pageSetup scale="60" orientation="portrait" r:id="rId1"/>
  <headerFooter>
    <oddHeader>&amp;C&amp;"Times New Roman,Bold"&amp;24Wasaaradda Duulista Hawadda.</oddHeader>
    <oddFooter>&amp;R&amp;"Times New Roman,Bold"&amp;14 38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8"/>
  <dimension ref="A1:Q50"/>
  <sheetViews>
    <sheetView view="pageBreakPreview" topLeftCell="B1" zoomScale="66" zoomScaleNormal="75" zoomScaleSheetLayoutView="66" workbookViewId="0">
      <selection activeCell="B1" sqref="A1:XFD1048576"/>
    </sheetView>
  </sheetViews>
  <sheetFormatPr defaultRowHeight="12.75"/>
  <cols>
    <col min="1" max="1" width="18.6640625" style="155" bestFit="1" customWidth="1"/>
    <col min="2" max="2" width="100.1640625" style="155" bestFit="1" customWidth="1"/>
    <col min="3" max="3" width="17.1640625" style="155" hidden="1" customWidth="1"/>
    <col min="4" max="4" width="13.5" style="155" hidden="1" customWidth="1"/>
    <col min="5" max="5" width="18" style="155" hidden="1" customWidth="1"/>
    <col min="6" max="6" width="15.33203125" style="155" hidden="1" customWidth="1"/>
    <col min="7" max="7" width="18.6640625" style="155" hidden="1" customWidth="1"/>
    <col min="8" max="9" width="17.1640625" style="155" hidden="1" customWidth="1"/>
    <col min="10" max="10" width="0.33203125" style="155" hidden="1" customWidth="1"/>
    <col min="11" max="11" width="3.33203125" style="155" hidden="1" customWidth="1"/>
    <col min="12" max="12" width="21.83203125" style="155" hidden="1" customWidth="1"/>
    <col min="13" max="13" width="23.33203125" style="155" hidden="1" customWidth="1"/>
    <col min="14" max="15" width="30.1640625" style="399" bestFit="1" customWidth="1"/>
    <col min="16" max="16" width="28.1640625" style="399" bestFit="1" customWidth="1"/>
    <col min="17" max="17" width="18.6640625" style="155" customWidth="1"/>
    <col min="18" max="18" width="18.5" style="155" customWidth="1"/>
    <col min="19" max="19" width="15.83203125" style="155" customWidth="1"/>
    <col min="20" max="16384" width="9.33203125" style="155"/>
  </cols>
  <sheetData>
    <row r="1" spans="1:17" ht="27.6" customHeight="1">
      <c r="A1" s="373" t="s">
        <v>44</v>
      </c>
      <c r="B1" s="443" t="s">
        <v>1101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284"/>
      <c r="O1" s="284"/>
      <c r="P1" s="284"/>
    </row>
    <row r="2" spans="1:17" ht="27.6" customHeight="1">
      <c r="A2" s="371" t="s">
        <v>28</v>
      </c>
      <c r="B2" s="371" t="s">
        <v>29</v>
      </c>
      <c r="C2" s="446" t="s">
        <v>29</v>
      </c>
      <c r="D2" s="446" t="s">
        <v>2</v>
      </c>
      <c r="E2" s="446" t="s">
        <v>48</v>
      </c>
      <c r="F2" s="446" t="s">
        <v>52</v>
      </c>
      <c r="G2" s="378" t="s">
        <v>62</v>
      </c>
      <c r="H2" s="378" t="s">
        <v>69</v>
      </c>
      <c r="I2" s="378" t="s">
        <v>128</v>
      </c>
      <c r="J2" s="378" t="s">
        <v>135</v>
      </c>
      <c r="K2" s="378" t="s">
        <v>146</v>
      </c>
      <c r="L2" s="378" t="s">
        <v>180</v>
      </c>
      <c r="M2" s="378" t="s">
        <v>297</v>
      </c>
      <c r="N2" s="271" t="s">
        <v>643</v>
      </c>
      <c r="O2" s="271" t="s">
        <v>1111</v>
      </c>
      <c r="P2" s="271" t="s">
        <v>63</v>
      </c>
    </row>
    <row r="3" spans="1:17" ht="27.6" customHeight="1">
      <c r="A3" s="292" t="s">
        <v>248</v>
      </c>
      <c r="B3" s="292" t="s">
        <v>165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284"/>
      <c r="O3" s="284"/>
      <c r="P3" s="284"/>
    </row>
    <row r="4" spans="1:17" ht="27.6" customHeight="1">
      <c r="A4" s="292" t="s">
        <v>249</v>
      </c>
      <c r="B4" s="292" t="s">
        <v>250</v>
      </c>
      <c r="C4" s="284">
        <v>68778000</v>
      </c>
      <c r="D4" s="284">
        <v>118728000</v>
      </c>
      <c r="E4" s="284">
        <v>97620000</v>
      </c>
      <c r="F4" s="284">
        <v>100812000</v>
      </c>
      <c r="G4" s="284">
        <f>100812000+3192000</f>
        <v>104004000</v>
      </c>
      <c r="H4" s="284">
        <v>104004000</v>
      </c>
      <c r="I4" s="284">
        <v>136156800</v>
      </c>
      <c r="J4" s="284">
        <v>140306400</v>
      </c>
      <c r="K4" s="284">
        <v>140306400</v>
      </c>
      <c r="L4" s="284"/>
      <c r="M4" s="284"/>
      <c r="N4" s="284"/>
      <c r="O4" s="284"/>
      <c r="P4" s="284"/>
      <c r="Q4" s="399"/>
    </row>
    <row r="5" spans="1:17" ht="27.6" customHeight="1">
      <c r="A5" s="284" t="s">
        <v>247</v>
      </c>
      <c r="B5" s="284" t="s">
        <v>32</v>
      </c>
      <c r="C5" s="284">
        <v>4228000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84">
        <v>0</v>
      </c>
      <c r="K5" s="284">
        <v>0</v>
      </c>
      <c r="L5" s="284">
        <v>140306400</v>
      </c>
      <c r="M5" s="284">
        <f>'shaq,3'!H41+36000000</f>
        <v>251124000</v>
      </c>
      <c r="N5" s="284">
        <v>285979200</v>
      </c>
      <c r="O5" s="284">
        <v>282235200</v>
      </c>
      <c r="P5" s="284">
        <f>O5-N5</f>
        <v>-3744000</v>
      </c>
    </row>
    <row r="6" spans="1:17" ht="27.6" customHeight="1">
      <c r="A6" s="284" t="s">
        <v>251</v>
      </c>
      <c r="B6" s="284" t="s">
        <v>33</v>
      </c>
      <c r="C6" s="284">
        <v>10800000</v>
      </c>
      <c r="D6" s="284">
        <v>10800000</v>
      </c>
      <c r="E6" s="284">
        <v>10800000</v>
      </c>
      <c r="F6" s="284">
        <v>21288000</v>
      </c>
      <c r="G6" s="284">
        <v>26088000</v>
      </c>
      <c r="H6" s="284">
        <v>26088000</v>
      </c>
      <c r="I6" s="284">
        <v>26088000</v>
      </c>
      <c r="J6" s="284">
        <v>26088000</v>
      </c>
      <c r="K6" s="284">
        <v>26088000</v>
      </c>
      <c r="L6" s="284">
        <v>0</v>
      </c>
      <c r="M6" s="284">
        <v>0</v>
      </c>
      <c r="N6" s="284">
        <v>54000000</v>
      </c>
      <c r="O6" s="284">
        <v>54000000</v>
      </c>
      <c r="P6" s="284">
        <f t="shared" ref="P6:P49" si="0">O6-N6</f>
        <v>0</v>
      </c>
    </row>
    <row r="7" spans="1:17" ht="27.6" customHeight="1">
      <c r="A7" s="284" t="s">
        <v>649</v>
      </c>
      <c r="B7" s="284" t="s">
        <v>1140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>
        <v>0</v>
      </c>
      <c r="N7" s="284">
        <v>18730545600</v>
      </c>
      <c r="O7" s="284">
        <v>19234425600</v>
      </c>
      <c r="P7" s="284">
        <f t="shared" si="0"/>
        <v>503880000</v>
      </c>
    </row>
    <row r="8" spans="1:17" ht="27.6" customHeight="1">
      <c r="A8" s="284" t="s">
        <v>708</v>
      </c>
      <c r="B8" s="284" t="s">
        <v>1141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>
        <v>0</v>
      </c>
      <c r="N8" s="284">
        <v>3449721600</v>
      </c>
      <c r="O8" s="284">
        <v>4608115200</v>
      </c>
      <c r="P8" s="284">
        <f t="shared" si="0"/>
        <v>1158393600</v>
      </c>
    </row>
    <row r="9" spans="1:17" ht="27.6" customHeight="1">
      <c r="A9" s="284" t="s">
        <v>252</v>
      </c>
      <c r="B9" s="284" t="s">
        <v>828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f>26088000+2400000</f>
        <v>28488000</v>
      </c>
      <c r="M9" s="284">
        <f>26088000+2400000</f>
        <v>28488000</v>
      </c>
      <c r="N9" s="284">
        <v>75600000</v>
      </c>
      <c r="O9" s="284">
        <v>75600000</v>
      </c>
      <c r="P9" s="284">
        <f t="shared" si="0"/>
        <v>0</v>
      </c>
    </row>
    <row r="10" spans="1:17" ht="27.6" customHeight="1">
      <c r="A10" s="284" t="s">
        <v>676</v>
      </c>
      <c r="B10" s="284" t="s">
        <v>1184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>
        <v>24000000</v>
      </c>
      <c r="N10" s="284">
        <v>35160000</v>
      </c>
      <c r="O10" s="284">
        <v>24000000</v>
      </c>
      <c r="P10" s="284">
        <f t="shared" si="0"/>
        <v>-11160000</v>
      </c>
    </row>
    <row r="11" spans="1:17" ht="27.6" customHeight="1">
      <c r="A11" s="284"/>
      <c r="B11" s="292" t="s">
        <v>119</v>
      </c>
      <c r="C11" s="284">
        <v>4492260</v>
      </c>
      <c r="D11" s="284">
        <v>5300000</v>
      </c>
      <c r="E11" s="284">
        <v>5300000</v>
      </c>
      <c r="F11" s="284">
        <v>5300000</v>
      </c>
      <c r="G11" s="284">
        <v>12000000</v>
      </c>
      <c r="H11" s="284">
        <v>15000000</v>
      </c>
      <c r="I11" s="284">
        <v>11172000</v>
      </c>
      <c r="J11" s="284">
        <v>15000000</v>
      </c>
      <c r="K11" s="284">
        <v>8365594</v>
      </c>
      <c r="L11" s="292">
        <f>SUM(L5:L9)</f>
        <v>168794400</v>
      </c>
      <c r="M11" s="292">
        <f>M10+M9+M7+M6+M5</f>
        <v>303612000</v>
      </c>
      <c r="N11" s="292">
        <f>SUM(N5:N10)</f>
        <v>22631006400</v>
      </c>
      <c r="O11" s="292">
        <f>SUM(O5:O10)</f>
        <v>24278376000</v>
      </c>
      <c r="P11" s="292">
        <f t="shared" si="0"/>
        <v>1647369600</v>
      </c>
    </row>
    <row r="12" spans="1:17" ht="27.6" customHeight="1">
      <c r="A12" s="292" t="s">
        <v>262</v>
      </c>
      <c r="B12" s="292" t="s">
        <v>263</v>
      </c>
      <c r="C12" s="284"/>
      <c r="D12" s="284"/>
      <c r="E12" s="284"/>
      <c r="F12" s="284"/>
      <c r="G12" s="284"/>
      <c r="H12" s="284"/>
      <c r="I12" s="284"/>
      <c r="J12" s="284"/>
      <c r="K12" s="284">
        <v>0</v>
      </c>
      <c r="L12" s="284"/>
      <c r="M12" s="284"/>
      <c r="N12" s="284"/>
      <c r="O12" s="284"/>
      <c r="P12" s="284">
        <f t="shared" si="0"/>
        <v>0</v>
      </c>
    </row>
    <row r="13" spans="1:17" ht="27.6" customHeight="1">
      <c r="A13" s="292" t="s">
        <v>265</v>
      </c>
      <c r="B13" s="292" t="s">
        <v>264</v>
      </c>
      <c r="C13" s="284"/>
      <c r="D13" s="284">
        <v>0</v>
      </c>
      <c r="E13" s="284">
        <v>0</v>
      </c>
      <c r="F13" s="284">
        <v>2394000</v>
      </c>
      <c r="G13" s="284">
        <v>4000000</v>
      </c>
      <c r="H13" s="284">
        <v>5000000</v>
      </c>
      <c r="I13" s="284">
        <v>5213600</v>
      </c>
      <c r="J13" s="284">
        <v>6000000</v>
      </c>
      <c r="K13" s="284">
        <v>1117200</v>
      </c>
      <c r="L13" s="284"/>
      <c r="M13" s="284"/>
      <c r="N13" s="284"/>
      <c r="O13" s="284"/>
      <c r="P13" s="284">
        <f t="shared" si="0"/>
        <v>0</v>
      </c>
    </row>
    <row r="14" spans="1:17" ht="27.6" customHeight="1">
      <c r="A14" s="284" t="s">
        <v>266</v>
      </c>
      <c r="B14" s="284" t="s">
        <v>38</v>
      </c>
      <c r="C14" s="284"/>
      <c r="D14" s="284"/>
      <c r="E14" s="284"/>
      <c r="F14" s="284"/>
      <c r="G14" s="284"/>
      <c r="H14" s="284"/>
      <c r="I14" s="284">
        <v>0</v>
      </c>
      <c r="J14" s="284">
        <v>6000000</v>
      </c>
      <c r="K14" s="284">
        <v>2979200</v>
      </c>
      <c r="L14" s="284">
        <v>11172000</v>
      </c>
      <c r="M14" s="284">
        <f>11172000*70%</f>
        <v>7820399.9999999991</v>
      </c>
      <c r="N14" s="284">
        <f>11172000*70%</f>
        <v>7820399.9999999991</v>
      </c>
      <c r="O14" s="284">
        <f>11172000*70%</f>
        <v>7820399.9999999991</v>
      </c>
      <c r="P14" s="284">
        <f t="shared" si="0"/>
        <v>0</v>
      </c>
    </row>
    <row r="15" spans="1:17" s="427" customFormat="1" ht="27.6" customHeight="1">
      <c r="A15" s="284" t="s">
        <v>267</v>
      </c>
      <c r="B15" s="284" t="s">
        <v>152</v>
      </c>
      <c r="C15" s="292">
        <f>SUM(C11:C11)</f>
        <v>4492260</v>
      </c>
      <c r="D15" s="292">
        <f>SUM(D11:D11)</f>
        <v>5300000</v>
      </c>
      <c r="E15" s="292">
        <f>SUM(E11:E13)</f>
        <v>5300000</v>
      </c>
      <c r="F15" s="292">
        <f>SUM(F11:F13)</f>
        <v>7694000</v>
      </c>
      <c r="G15" s="292">
        <f>SUM(G11:G13)</f>
        <v>16000000</v>
      </c>
      <c r="H15" s="292">
        <f>SUM(H11:H13)</f>
        <v>20000000</v>
      </c>
      <c r="I15" s="292">
        <f>SUM(I11:I14)</f>
        <v>16385600</v>
      </c>
      <c r="J15" s="292">
        <f>SUM(J11:J14)</f>
        <v>27000000</v>
      </c>
      <c r="K15" s="284">
        <v>11172000</v>
      </c>
      <c r="L15" s="284">
        <v>13705000</v>
      </c>
      <c r="M15" s="284">
        <f>13705000*70%</f>
        <v>9593500</v>
      </c>
      <c r="N15" s="284">
        <v>38100000</v>
      </c>
      <c r="O15" s="284">
        <v>38100000</v>
      </c>
      <c r="P15" s="284">
        <f t="shared" si="0"/>
        <v>0</v>
      </c>
    </row>
    <row r="16" spans="1:17" ht="27.6" customHeight="1">
      <c r="A16" s="284" t="s">
        <v>268</v>
      </c>
      <c r="B16" s="284" t="s">
        <v>153</v>
      </c>
      <c r="C16" s="284"/>
      <c r="D16" s="284"/>
      <c r="E16" s="284"/>
      <c r="F16" s="284"/>
      <c r="G16" s="284"/>
      <c r="H16" s="284"/>
      <c r="I16" s="284"/>
      <c r="J16" s="284"/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f t="shared" si="0"/>
        <v>0</v>
      </c>
    </row>
    <row r="17" spans="1:16" ht="27.6" customHeight="1">
      <c r="A17" s="284" t="s">
        <v>269</v>
      </c>
      <c r="B17" s="284" t="s">
        <v>186</v>
      </c>
      <c r="C17" s="284"/>
      <c r="D17" s="335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15000000</v>
      </c>
      <c r="M17" s="284">
        <v>10500000</v>
      </c>
      <c r="N17" s="284">
        <v>10500000</v>
      </c>
      <c r="O17" s="284">
        <v>10500000</v>
      </c>
      <c r="P17" s="284">
        <f t="shared" si="0"/>
        <v>0</v>
      </c>
    </row>
    <row r="18" spans="1:16" ht="27.6" customHeight="1">
      <c r="A18" s="284" t="s">
        <v>270</v>
      </c>
      <c r="B18" s="284" t="s">
        <v>163</v>
      </c>
      <c r="C18" s="284"/>
      <c r="D18" s="335"/>
      <c r="E18" s="284"/>
      <c r="F18" s="284"/>
      <c r="G18" s="284"/>
      <c r="H18" s="284"/>
      <c r="I18" s="284"/>
      <c r="J18" s="284"/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f t="shared" si="0"/>
        <v>0</v>
      </c>
    </row>
    <row r="19" spans="1:16" ht="27.6" customHeight="1">
      <c r="A19" s="284" t="s">
        <v>271</v>
      </c>
      <c r="B19" s="284" t="s">
        <v>154</v>
      </c>
      <c r="C19" s="284"/>
      <c r="D19" s="284"/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92">
        <f>SUM(K11:K18)</f>
        <v>23633994</v>
      </c>
      <c r="L19" s="292">
        <v>0</v>
      </c>
      <c r="M19" s="292">
        <v>0</v>
      </c>
      <c r="N19" s="292">
        <v>0</v>
      </c>
      <c r="O19" s="292">
        <v>0</v>
      </c>
      <c r="P19" s="292">
        <f t="shared" si="0"/>
        <v>0</v>
      </c>
    </row>
    <row r="20" spans="1:16" ht="27.6" customHeight="1">
      <c r="A20" s="284" t="s">
        <v>272</v>
      </c>
      <c r="B20" s="284" t="s">
        <v>54</v>
      </c>
      <c r="C20" s="284"/>
      <c r="D20" s="284"/>
      <c r="E20" s="284">
        <v>0</v>
      </c>
      <c r="F20" s="284">
        <v>0</v>
      </c>
      <c r="G20" s="284">
        <v>0</v>
      </c>
      <c r="H20" s="284">
        <v>45500000</v>
      </c>
      <c r="I20" s="284">
        <v>0</v>
      </c>
      <c r="J20" s="284">
        <v>0</v>
      </c>
      <c r="K20" s="284"/>
      <c r="L20" s="284">
        <v>8205500</v>
      </c>
      <c r="M20" s="284">
        <v>5743850</v>
      </c>
      <c r="N20" s="284">
        <f>M20*70%</f>
        <v>4020694.9999999995</v>
      </c>
      <c r="O20" s="284">
        <f>N20</f>
        <v>4020694.9999999995</v>
      </c>
      <c r="P20" s="284">
        <f t="shared" si="0"/>
        <v>0</v>
      </c>
    </row>
    <row r="21" spans="1:16" ht="27.6" customHeight="1">
      <c r="A21" s="284" t="s">
        <v>274</v>
      </c>
      <c r="B21" s="284" t="s">
        <v>164</v>
      </c>
      <c r="C21" s="284">
        <v>2500000</v>
      </c>
      <c r="D21" s="284">
        <v>3274130</v>
      </c>
      <c r="E21" s="284">
        <v>3274130</v>
      </c>
      <c r="F21" s="284">
        <v>3274130</v>
      </c>
      <c r="G21" s="284">
        <v>2400000</v>
      </c>
      <c r="H21" s="284">
        <v>3000000</v>
      </c>
      <c r="I21" s="284">
        <v>2234400</v>
      </c>
      <c r="J21" s="284">
        <v>4000000</v>
      </c>
      <c r="K21" s="284">
        <v>84125000</v>
      </c>
      <c r="L21" s="284">
        <v>10468800</v>
      </c>
      <c r="M21" s="284">
        <f>10468800*70%</f>
        <v>7328160</v>
      </c>
      <c r="N21" s="284">
        <f>10468800*70%</f>
        <v>7328160</v>
      </c>
      <c r="O21" s="284">
        <f>10468800*70%</f>
        <v>7328160</v>
      </c>
      <c r="P21" s="284">
        <f t="shared" si="0"/>
        <v>0</v>
      </c>
    </row>
    <row r="22" spans="1:16" s="427" customFormat="1" ht="27.6" customHeight="1">
      <c r="A22" s="284" t="s">
        <v>275</v>
      </c>
      <c r="B22" s="284" t="s">
        <v>40</v>
      </c>
      <c r="C22" s="292">
        <f>SUM(C21:C21)</f>
        <v>2500000</v>
      </c>
      <c r="D22" s="292">
        <f>SUM(D21:D21)</f>
        <v>3274130</v>
      </c>
      <c r="E22" s="292">
        <f t="shared" ref="E22:J22" si="1">SUM(E17:E21)</f>
        <v>3274130</v>
      </c>
      <c r="F22" s="292">
        <f t="shared" si="1"/>
        <v>3274130</v>
      </c>
      <c r="G22" s="292">
        <f t="shared" si="1"/>
        <v>2400000</v>
      </c>
      <c r="H22" s="292">
        <f t="shared" si="1"/>
        <v>48500000</v>
      </c>
      <c r="I22" s="292">
        <f t="shared" si="1"/>
        <v>2234400</v>
      </c>
      <c r="J22" s="292">
        <f t="shared" si="1"/>
        <v>4000000</v>
      </c>
      <c r="K22" s="284">
        <v>11172000</v>
      </c>
      <c r="L22" s="284">
        <v>28758400</v>
      </c>
      <c r="M22" s="284">
        <f>20130880*70%</f>
        <v>14091616</v>
      </c>
      <c r="N22" s="284">
        <f>20130880*70%</f>
        <v>14091616</v>
      </c>
      <c r="O22" s="284">
        <f>20130880*70%</f>
        <v>14091616</v>
      </c>
      <c r="P22" s="284">
        <f t="shared" si="0"/>
        <v>0</v>
      </c>
    </row>
    <row r="23" spans="1:16" ht="27.6" customHeight="1">
      <c r="A23" s="284" t="s">
        <v>330</v>
      </c>
      <c r="B23" s="284" t="s">
        <v>171</v>
      </c>
      <c r="C23" s="284">
        <v>900000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/>
      <c r="L23" s="284">
        <v>3000000</v>
      </c>
      <c r="M23" s="284">
        <f>3000000*70%</f>
        <v>2100000</v>
      </c>
      <c r="N23" s="284">
        <v>0</v>
      </c>
      <c r="O23" s="284">
        <v>0</v>
      </c>
      <c r="P23" s="284">
        <f t="shared" si="0"/>
        <v>0</v>
      </c>
    </row>
    <row r="24" spans="1:16" ht="27.6" customHeight="1">
      <c r="A24" s="284" t="s">
        <v>321</v>
      </c>
      <c r="B24" s="284" t="s">
        <v>322</v>
      </c>
      <c r="C24" s="284"/>
      <c r="D24" s="284"/>
      <c r="E24" s="284"/>
      <c r="F24" s="284"/>
      <c r="G24" s="284"/>
      <c r="H24" s="284"/>
      <c r="I24" s="284"/>
      <c r="J24" s="284"/>
      <c r="K24" s="284">
        <v>0</v>
      </c>
      <c r="L24" s="284">
        <v>18000000</v>
      </c>
      <c r="M24" s="284">
        <f>18000000*70%</f>
        <v>12600000</v>
      </c>
      <c r="N24" s="284">
        <v>30600000</v>
      </c>
      <c r="O24" s="284">
        <v>30600000</v>
      </c>
      <c r="P24" s="284">
        <f t="shared" si="0"/>
        <v>0</v>
      </c>
    </row>
    <row r="25" spans="1:16" ht="27.6" customHeight="1">
      <c r="A25" s="284" t="s">
        <v>733</v>
      </c>
      <c r="B25" s="284" t="s">
        <v>1283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>
        <v>0</v>
      </c>
      <c r="N25" s="284">
        <v>562984800</v>
      </c>
      <c r="O25" s="284">
        <v>3957844800</v>
      </c>
      <c r="P25" s="284">
        <f t="shared" si="0"/>
        <v>3394860000</v>
      </c>
    </row>
    <row r="26" spans="1:16" ht="27.6" customHeight="1">
      <c r="A26" s="284"/>
      <c r="B26" s="292" t="s">
        <v>119</v>
      </c>
      <c r="C26" s="284">
        <v>3563000</v>
      </c>
      <c r="D26" s="284">
        <v>0</v>
      </c>
      <c r="E26" s="284">
        <v>3600000</v>
      </c>
      <c r="F26" s="284">
        <v>3600000</v>
      </c>
      <c r="G26" s="284">
        <v>4000000</v>
      </c>
      <c r="H26" s="284">
        <v>10000000</v>
      </c>
      <c r="I26" s="284">
        <v>11172000</v>
      </c>
      <c r="J26" s="284">
        <v>15000000</v>
      </c>
      <c r="K26" s="284">
        <v>1489600</v>
      </c>
      <c r="L26" s="292">
        <f>SUM(L14:L24)</f>
        <v>108309700</v>
      </c>
      <c r="M26" s="292">
        <f>SUM(M14:M24)</f>
        <v>69777526</v>
      </c>
      <c r="N26" s="292">
        <f>SUM(N14:N25)</f>
        <v>675445671</v>
      </c>
      <c r="O26" s="292">
        <f>SUM(O14:O25)</f>
        <v>4070305671</v>
      </c>
      <c r="P26" s="292">
        <f t="shared" si="0"/>
        <v>3394860000</v>
      </c>
    </row>
    <row r="27" spans="1:16" ht="27.6" customHeight="1">
      <c r="A27" s="292" t="s">
        <v>279</v>
      </c>
      <c r="B27" s="292" t="s">
        <v>278</v>
      </c>
      <c r="C27" s="284">
        <v>0</v>
      </c>
      <c r="D27" s="284">
        <v>0</v>
      </c>
      <c r="E27" s="284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2234400</v>
      </c>
      <c r="L27" s="284"/>
      <c r="M27" s="284"/>
      <c r="N27" s="284"/>
      <c r="O27" s="284"/>
      <c r="P27" s="284">
        <f t="shared" si="0"/>
        <v>0</v>
      </c>
    </row>
    <row r="28" spans="1:16" ht="27.6" customHeight="1">
      <c r="A28" s="284" t="s">
        <v>280</v>
      </c>
      <c r="B28" s="284" t="s">
        <v>160</v>
      </c>
      <c r="C28" s="284">
        <v>2500000</v>
      </c>
      <c r="D28" s="284">
        <v>6400000</v>
      </c>
      <c r="E28" s="284">
        <v>6400000</v>
      </c>
      <c r="F28" s="284">
        <v>6400000</v>
      </c>
      <c r="G28" s="284">
        <v>8985600</v>
      </c>
      <c r="H28" s="284">
        <v>11232000</v>
      </c>
      <c r="I28" s="284">
        <v>8365594</v>
      </c>
      <c r="J28" s="284">
        <v>10000000</v>
      </c>
      <c r="K28" s="292">
        <f>SUM(K24:K27)</f>
        <v>3724000</v>
      </c>
      <c r="L28" s="292">
        <v>0</v>
      </c>
      <c r="M28" s="292">
        <v>0</v>
      </c>
      <c r="N28" s="292">
        <v>0</v>
      </c>
      <c r="O28" s="292">
        <v>0</v>
      </c>
      <c r="P28" s="292">
        <f t="shared" si="0"/>
        <v>0</v>
      </c>
    </row>
    <row r="29" spans="1:16" ht="27.6" customHeight="1">
      <c r="A29" s="284" t="s">
        <v>281</v>
      </c>
      <c r="B29" s="284" t="s">
        <v>161</v>
      </c>
      <c r="C29" s="284">
        <v>9750000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/>
      <c r="L29" s="284">
        <v>147218750</v>
      </c>
      <c r="M29" s="284">
        <v>103053125</v>
      </c>
      <c r="N29" s="284">
        <f>M29</f>
        <v>103053125</v>
      </c>
      <c r="O29" s="284">
        <f>N29</f>
        <v>103053125</v>
      </c>
      <c r="P29" s="284">
        <f t="shared" si="0"/>
        <v>0</v>
      </c>
    </row>
    <row r="30" spans="1:16" ht="27.6" customHeight="1">
      <c r="A30" s="284" t="s">
        <v>282</v>
      </c>
      <c r="B30" s="284" t="s">
        <v>750</v>
      </c>
      <c r="C30" s="284">
        <v>1082500</v>
      </c>
      <c r="D30" s="284">
        <v>0</v>
      </c>
      <c r="E30" s="284">
        <v>0</v>
      </c>
      <c r="F30" s="284"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11916800</v>
      </c>
      <c r="L30" s="284">
        <v>16758000</v>
      </c>
      <c r="M30" s="284">
        <v>11730600</v>
      </c>
      <c r="N30" s="284">
        <v>43703660</v>
      </c>
      <c r="O30" s="284">
        <v>13703660</v>
      </c>
      <c r="P30" s="284">
        <f t="shared" si="0"/>
        <v>-30000000</v>
      </c>
    </row>
    <row r="31" spans="1:16" ht="27.6" customHeight="1">
      <c r="A31" s="284" t="s">
        <v>283</v>
      </c>
      <c r="B31" s="284" t="s">
        <v>156</v>
      </c>
      <c r="C31" s="284"/>
      <c r="D31" s="284"/>
      <c r="E31" s="284"/>
      <c r="F31" s="284">
        <v>0</v>
      </c>
      <c r="G31" s="284">
        <v>1200000</v>
      </c>
      <c r="H31" s="284">
        <v>1500000</v>
      </c>
      <c r="I31" s="284">
        <v>1117200</v>
      </c>
      <c r="J31" s="284">
        <v>2000000</v>
      </c>
      <c r="K31" s="284">
        <v>0</v>
      </c>
      <c r="L31" s="284">
        <v>7820600</v>
      </c>
      <c r="M31" s="284">
        <f>7820600*70%</f>
        <v>5474420</v>
      </c>
      <c r="N31" s="284">
        <f>7820600*70%</f>
        <v>5474420</v>
      </c>
      <c r="O31" s="284">
        <f>7820600*70%</f>
        <v>5474420</v>
      </c>
      <c r="P31" s="284">
        <f t="shared" si="0"/>
        <v>0</v>
      </c>
    </row>
    <row r="32" spans="1:16" ht="27.6" customHeight="1">
      <c r="A32" s="284" t="s">
        <v>603</v>
      </c>
      <c r="B32" s="284" t="s">
        <v>1143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>
        <v>0</v>
      </c>
      <c r="N32" s="284">
        <v>1337088520</v>
      </c>
      <c r="O32" s="284">
        <v>4569687080</v>
      </c>
      <c r="P32" s="284">
        <f t="shared" si="0"/>
        <v>3232598560</v>
      </c>
    </row>
    <row r="33" spans="1:16" ht="27.6" customHeight="1">
      <c r="A33" s="284" t="s">
        <v>653</v>
      </c>
      <c r="B33" s="284" t="s">
        <v>1142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>
        <v>0</v>
      </c>
      <c r="N33" s="284">
        <v>267021720</v>
      </c>
      <c r="O33" s="284">
        <v>1080389400</v>
      </c>
      <c r="P33" s="284">
        <f t="shared" si="0"/>
        <v>813367680</v>
      </c>
    </row>
    <row r="34" spans="1:16" ht="27.6" customHeight="1">
      <c r="A34" s="284" t="s">
        <v>298</v>
      </c>
      <c r="B34" s="284" t="s">
        <v>484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>
        <v>9000000</v>
      </c>
      <c r="M34" s="284">
        <f>9000000*70%</f>
        <v>6300000</v>
      </c>
      <c r="N34" s="284">
        <v>0</v>
      </c>
      <c r="O34" s="284">
        <v>0</v>
      </c>
      <c r="P34" s="284">
        <f t="shared" si="0"/>
        <v>0</v>
      </c>
    </row>
    <row r="35" spans="1:16" ht="27.6" customHeight="1" thickBot="1">
      <c r="A35" s="284"/>
      <c r="B35" s="292" t="s">
        <v>119</v>
      </c>
      <c r="C35" s="404"/>
      <c r="D35" s="404"/>
      <c r="E35" s="404">
        <v>0</v>
      </c>
      <c r="F35" s="404">
        <v>14632818</v>
      </c>
      <c r="G35" s="404">
        <v>0</v>
      </c>
      <c r="H35" s="404">
        <v>0</v>
      </c>
      <c r="I35" s="404">
        <v>0</v>
      </c>
      <c r="J35" s="404">
        <v>8000000</v>
      </c>
      <c r="K35" s="405" t="e">
        <f>K34+K28+#REF!+K19+#REF!</f>
        <v>#REF!</v>
      </c>
      <c r="L35" s="394">
        <f>SUM(L28:L34)</f>
        <v>180797350</v>
      </c>
      <c r="M35" s="394">
        <f>SUM(M28:M34)</f>
        <v>126558145</v>
      </c>
      <c r="N35" s="394">
        <f>SUM(N28:N34)</f>
        <v>1756341445</v>
      </c>
      <c r="O35" s="394">
        <f>SUM(O28:O34)</f>
        <v>5772307685</v>
      </c>
      <c r="P35" s="394">
        <f t="shared" si="0"/>
        <v>4015966240</v>
      </c>
    </row>
    <row r="36" spans="1:16" ht="27.6" customHeight="1">
      <c r="A36" s="292" t="s">
        <v>285</v>
      </c>
      <c r="B36" s="292" t="s">
        <v>158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60"/>
      <c r="M36" s="360"/>
      <c r="N36" s="284"/>
      <c r="O36" s="284"/>
      <c r="P36" s="284">
        <f t="shared" si="0"/>
        <v>0</v>
      </c>
    </row>
    <row r="37" spans="1:16" ht="27.6" customHeight="1">
      <c r="A37" s="284" t="s">
        <v>286</v>
      </c>
      <c r="B37" s="284" t="s">
        <v>55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60">
        <v>58575000</v>
      </c>
      <c r="M37" s="360">
        <v>41002500</v>
      </c>
      <c r="N37" s="284">
        <v>41002500</v>
      </c>
      <c r="O37" s="284">
        <v>41002500</v>
      </c>
      <c r="P37" s="284">
        <f t="shared" si="0"/>
        <v>0</v>
      </c>
    </row>
    <row r="38" spans="1:16" ht="27.6" customHeight="1">
      <c r="A38" s="284" t="s">
        <v>288</v>
      </c>
      <c r="B38" s="284" t="s">
        <v>287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60">
        <v>0</v>
      </c>
      <c r="M38" s="360">
        <v>0</v>
      </c>
      <c r="N38" s="284">
        <v>0</v>
      </c>
      <c r="O38" s="284">
        <v>0</v>
      </c>
      <c r="P38" s="284">
        <f t="shared" si="0"/>
        <v>0</v>
      </c>
    </row>
    <row r="39" spans="1:16" ht="27.6" customHeight="1">
      <c r="A39" s="284" t="s">
        <v>326</v>
      </c>
      <c r="B39" s="284" t="s">
        <v>327</v>
      </c>
      <c r="C39" s="379"/>
      <c r="D39" s="379"/>
      <c r="E39" s="379"/>
      <c r="F39" s="379">
        <v>0</v>
      </c>
      <c r="G39" s="379"/>
      <c r="H39" s="379"/>
      <c r="I39" s="379"/>
      <c r="J39" s="379"/>
      <c r="K39" s="379"/>
      <c r="L39" s="360">
        <v>0</v>
      </c>
      <c r="M39" s="360">
        <v>0</v>
      </c>
      <c r="N39" s="284">
        <v>0</v>
      </c>
      <c r="O39" s="284">
        <v>0</v>
      </c>
      <c r="P39" s="284">
        <f t="shared" si="0"/>
        <v>0</v>
      </c>
    </row>
    <row r="40" spans="1:16" ht="27.6" customHeight="1">
      <c r="A40" s="284" t="s">
        <v>289</v>
      </c>
      <c r="B40" s="284" t="s">
        <v>290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60">
        <v>4575000</v>
      </c>
      <c r="M40" s="360">
        <f>4575000*70%</f>
        <v>3202500</v>
      </c>
      <c r="N40" s="284">
        <f>4575000*70%</f>
        <v>3202500</v>
      </c>
      <c r="O40" s="284">
        <f>4575000*70%</f>
        <v>3202500</v>
      </c>
      <c r="P40" s="284">
        <f t="shared" si="0"/>
        <v>0</v>
      </c>
    </row>
    <row r="41" spans="1:16" ht="27.6" customHeight="1">
      <c r="A41" s="284"/>
      <c r="B41" s="292" t="s">
        <v>119</v>
      </c>
      <c r="C41" s="379"/>
      <c r="D41" s="379"/>
      <c r="E41" s="379"/>
      <c r="F41" s="467">
        <f>SUM(F24:F40)</f>
        <v>24632818</v>
      </c>
      <c r="G41" s="467"/>
      <c r="H41" s="467"/>
      <c r="I41" s="467"/>
      <c r="J41" s="467"/>
      <c r="K41" s="467"/>
      <c r="L41" s="383">
        <f>SUM(L37:L40)</f>
        <v>63150000</v>
      </c>
      <c r="M41" s="383">
        <f>SUM(M37:M40)</f>
        <v>44205000</v>
      </c>
      <c r="N41" s="292">
        <f>SUM(N37:N40)</f>
        <v>44205000</v>
      </c>
      <c r="O41" s="292">
        <f>SUM(O37:O40)</f>
        <v>44205000</v>
      </c>
      <c r="P41" s="292">
        <f t="shared" si="0"/>
        <v>0</v>
      </c>
    </row>
    <row r="42" spans="1:16" ht="27.6" customHeight="1">
      <c r="A42" s="292" t="s">
        <v>293</v>
      </c>
      <c r="B42" s="292" t="s">
        <v>292</v>
      </c>
      <c r="C42" s="379"/>
      <c r="D42" s="379"/>
      <c r="E42" s="379"/>
      <c r="F42" s="379"/>
      <c r="G42" s="379"/>
      <c r="H42" s="379"/>
      <c r="I42" s="379"/>
      <c r="J42" s="379"/>
      <c r="K42" s="379"/>
      <c r="L42" s="360"/>
      <c r="M42" s="360"/>
      <c r="N42" s="284"/>
      <c r="O42" s="284"/>
      <c r="P42" s="284">
        <f t="shared" si="0"/>
        <v>0</v>
      </c>
    </row>
    <row r="43" spans="1:16" ht="27.6" customHeight="1">
      <c r="A43" s="292" t="s">
        <v>294</v>
      </c>
      <c r="B43" s="292" t="s">
        <v>291</v>
      </c>
      <c r="C43" s="379"/>
      <c r="D43" s="379"/>
      <c r="E43" s="379"/>
      <c r="F43" s="379"/>
      <c r="G43" s="379"/>
      <c r="H43" s="379"/>
      <c r="I43" s="379"/>
      <c r="J43" s="379"/>
      <c r="K43" s="379"/>
      <c r="L43" s="360"/>
      <c r="M43" s="360"/>
      <c r="N43" s="284"/>
      <c r="O43" s="284"/>
      <c r="P43" s="284">
        <f t="shared" si="0"/>
        <v>0</v>
      </c>
    </row>
    <row r="44" spans="1:16" ht="27.6" customHeight="1">
      <c r="A44" s="284" t="s">
        <v>389</v>
      </c>
      <c r="B44" s="284" t="s">
        <v>307</v>
      </c>
      <c r="C44" s="379"/>
      <c r="D44" s="379"/>
      <c r="E44" s="379"/>
      <c r="F44" s="379">
        <f>1386274192-71600000-798000-176160000-12600000</f>
        <v>1125116192</v>
      </c>
      <c r="G44" s="379"/>
      <c r="H44" s="379"/>
      <c r="I44" s="379"/>
      <c r="J44" s="379"/>
      <c r="K44" s="379"/>
      <c r="L44" s="360">
        <v>15120800</v>
      </c>
      <c r="M44" s="360"/>
      <c r="N44" s="284">
        <v>15000000</v>
      </c>
      <c r="O44" s="284">
        <v>0</v>
      </c>
      <c r="P44" s="284">
        <f t="shared" si="0"/>
        <v>-15000000</v>
      </c>
    </row>
    <row r="45" spans="1:16" ht="27.6" customHeight="1">
      <c r="A45" s="284" t="s">
        <v>388</v>
      </c>
      <c r="B45" s="284" t="s">
        <v>864</v>
      </c>
      <c r="C45" s="379"/>
      <c r="D45" s="379"/>
      <c r="E45" s="379"/>
      <c r="F45" s="379"/>
      <c r="G45" s="379"/>
      <c r="H45" s="379"/>
      <c r="I45" s="379"/>
      <c r="J45" s="379"/>
      <c r="K45" s="379"/>
      <c r="L45" s="360">
        <v>0</v>
      </c>
      <c r="M45" s="360">
        <v>54000000</v>
      </c>
      <c r="N45" s="284">
        <v>78000000</v>
      </c>
      <c r="O45" s="284">
        <f>N45</f>
        <v>78000000</v>
      </c>
      <c r="P45" s="284">
        <f t="shared" si="0"/>
        <v>0</v>
      </c>
    </row>
    <row r="46" spans="1:16" ht="27.6" customHeight="1">
      <c r="A46" s="284" t="s">
        <v>295</v>
      </c>
      <c r="B46" s="284" t="s">
        <v>176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60">
        <v>5958400</v>
      </c>
      <c r="M46" s="360">
        <f>5958400*70%</f>
        <v>4170879.9999999995</v>
      </c>
      <c r="N46" s="284">
        <v>0</v>
      </c>
      <c r="O46" s="284">
        <v>0</v>
      </c>
      <c r="P46" s="284">
        <f t="shared" si="0"/>
        <v>0</v>
      </c>
    </row>
    <row r="47" spans="1:16" ht="27.6" customHeight="1">
      <c r="A47" s="284" t="s">
        <v>296</v>
      </c>
      <c r="B47" s="284" t="s">
        <v>177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60">
        <v>47916000</v>
      </c>
      <c r="M47" s="360">
        <f>47916000*70%</f>
        <v>33541199.999999996</v>
      </c>
      <c r="N47" s="284">
        <v>0</v>
      </c>
      <c r="O47" s="284">
        <v>0</v>
      </c>
      <c r="P47" s="284">
        <f t="shared" si="0"/>
        <v>0</v>
      </c>
    </row>
    <row r="48" spans="1:16" ht="27.6" customHeight="1">
      <c r="A48" s="284"/>
      <c r="B48" s="292" t="s">
        <v>119</v>
      </c>
      <c r="C48" s="379"/>
      <c r="D48" s="379"/>
      <c r="E48" s="379"/>
      <c r="F48" s="379"/>
      <c r="G48" s="379"/>
      <c r="H48" s="379"/>
      <c r="I48" s="379"/>
      <c r="J48" s="379"/>
      <c r="K48" s="379"/>
      <c r="L48" s="383">
        <f>SUM(L44:L47)</f>
        <v>68995200</v>
      </c>
      <c r="M48" s="383">
        <f>SUM(M44:M47)</f>
        <v>91712080</v>
      </c>
      <c r="N48" s="292">
        <f>SUM(N44:N47)</f>
        <v>93000000</v>
      </c>
      <c r="O48" s="292">
        <f>SUM(O44:O47)</f>
        <v>78000000</v>
      </c>
      <c r="P48" s="292">
        <f t="shared" si="0"/>
        <v>-15000000</v>
      </c>
    </row>
    <row r="49" spans="1:16" ht="27.6" customHeight="1">
      <c r="A49" s="284"/>
      <c r="B49" s="292" t="s">
        <v>42</v>
      </c>
      <c r="C49" s="379"/>
      <c r="D49" s="379"/>
      <c r="E49" s="379"/>
      <c r="F49" s="379"/>
      <c r="G49" s="379"/>
      <c r="H49" s="379"/>
      <c r="I49" s="379"/>
      <c r="J49" s="379"/>
      <c r="K49" s="379"/>
      <c r="L49" s="383">
        <f>L48+L41+L35+L26+L11</f>
        <v>590046650</v>
      </c>
      <c r="M49" s="383">
        <f>M48+M41+M35+M26+M11</f>
        <v>635864751</v>
      </c>
      <c r="N49" s="292">
        <f>N48+N41+N35+N26+N11</f>
        <v>25199998516</v>
      </c>
      <c r="O49" s="292">
        <f>O48+O41+O35+O26+O11</f>
        <v>34243194356</v>
      </c>
      <c r="P49" s="292">
        <f t="shared" si="0"/>
        <v>9043195840</v>
      </c>
    </row>
    <row r="50" spans="1:16">
      <c r="P50" s="399">
        <f>N50-O50</f>
        <v>0</v>
      </c>
    </row>
  </sheetData>
  <phoneticPr fontId="0" type="noConversion"/>
  <printOptions gridLines="1"/>
  <pageMargins left="0.41" right="0.28000000000000003" top="0.91" bottom="0.62" header="0.33" footer="0.17"/>
  <pageSetup scale="50" orientation="portrait" r:id="rId1"/>
  <headerFooter alignWithMargins="0">
    <oddHeader>&amp;C&amp;"Algerian,Bold"&amp;28Hay'adda N.D.R.C.</oddHeader>
    <oddFooter>&amp;R&amp;"Times New Roman,Bold"&amp;14 39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5"/>
  <dimension ref="A1:P2235"/>
  <sheetViews>
    <sheetView view="pageBreakPreview" zoomScale="67" zoomScaleNormal="75" zoomScaleSheetLayoutView="67" workbookViewId="0">
      <selection sqref="A1:XFD1048576"/>
    </sheetView>
  </sheetViews>
  <sheetFormatPr defaultRowHeight="18"/>
  <cols>
    <col min="1" max="1" width="18.33203125" style="657" bestFit="1" customWidth="1"/>
    <col min="2" max="2" width="76" style="657" bestFit="1" customWidth="1"/>
    <col min="3" max="3" width="17.1640625" style="155" hidden="1" customWidth="1"/>
    <col min="4" max="4" width="16.83203125" style="155" hidden="1" customWidth="1"/>
    <col min="5" max="5" width="18" style="155" hidden="1" customWidth="1"/>
    <col min="6" max="6" width="15.6640625" style="155" hidden="1" customWidth="1"/>
    <col min="7" max="7" width="18.83203125" style="155" hidden="1" customWidth="1"/>
    <col min="8" max="8" width="17.5" style="155" hidden="1" customWidth="1"/>
    <col min="9" max="10" width="1.5" style="155" hidden="1" customWidth="1"/>
    <col min="11" max="11" width="2" style="155" hidden="1" customWidth="1"/>
    <col min="12" max="12" width="21.1640625" style="657" hidden="1" customWidth="1"/>
    <col min="13" max="13" width="20.1640625" style="657" hidden="1" customWidth="1"/>
    <col min="14" max="14" width="24.33203125" style="657" bestFit="1" customWidth="1"/>
    <col min="15" max="15" width="24.5" style="657" bestFit="1" customWidth="1"/>
    <col min="16" max="16" width="23.5" style="657" bestFit="1" customWidth="1"/>
    <col min="17" max="17" width="13.83203125" style="155" customWidth="1"/>
    <col min="18" max="16384" width="9.33203125" style="155"/>
  </cols>
  <sheetData>
    <row r="1" spans="1:16" ht="24.95" customHeight="1">
      <c r="A1" s="373" t="s">
        <v>44</v>
      </c>
      <c r="B1" s="443" t="s">
        <v>522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24.95" customHeight="1">
      <c r="A2" s="373" t="s">
        <v>28</v>
      </c>
      <c r="B2" s="443" t="s">
        <v>28</v>
      </c>
      <c r="C2" s="378" t="s">
        <v>29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130</v>
      </c>
      <c r="J2" s="378" t="s">
        <v>135</v>
      </c>
      <c r="K2" s="378" t="s">
        <v>143</v>
      </c>
      <c r="L2" s="378" t="s">
        <v>180</v>
      </c>
      <c r="M2" s="378" t="s">
        <v>299</v>
      </c>
      <c r="N2" s="378" t="s">
        <v>643</v>
      </c>
      <c r="O2" s="378" t="s">
        <v>1111</v>
      </c>
      <c r="P2" s="378" t="s">
        <v>63</v>
      </c>
    </row>
    <row r="3" spans="1:16" ht="24.95" customHeight="1">
      <c r="A3" s="292" t="s">
        <v>249</v>
      </c>
      <c r="B3" s="373" t="s">
        <v>31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16" ht="24.95" customHeight="1">
      <c r="A4" s="284" t="s">
        <v>247</v>
      </c>
      <c r="B4" s="284" t="s">
        <v>32</v>
      </c>
      <c r="C4" s="284">
        <v>1157000</v>
      </c>
      <c r="D4" s="284">
        <v>0</v>
      </c>
      <c r="E4" s="284">
        <v>0</v>
      </c>
      <c r="F4" s="284">
        <v>0</v>
      </c>
      <c r="G4" s="284">
        <v>0</v>
      </c>
      <c r="H4" s="284">
        <v>0</v>
      </c>
      <c r="I4" s="284">
        <v>0</v>
      </c>
      <c r="J4" s="284">
        <v>0</v>
      </c>
      <c r="K4" s="284">
        <v>73429200</v>
      </c>
      <c r="L4" s="284">
        <f>73429200+16598400</f>
        <v>90027600</v>
      </c>
      <c r="M4" s="284">
        <f>'shaq,3'!H42+3600000</f>
        <v>186276000</v>
      </c>
      <c r="N4" s="284">
        <v>196279200</v>
      </c>
      <c r="O4" s="284">
        <v>189103200</v>
      </c>
      <c r="P4" s="284">
        <f>O4-N4</f>
        <v>-7176000</v>
      </c>
    </row>
    <row r="5" spans="1:16" ht="24.95" customHeight="1">
      <c r="A5" s="284" t="s">
        <v>251</v>
      </c>
      <c r="B5" s="284" t="s">
        <v>33</v>
      </c>
      <c r="C5" s="284">
        <v>10800000</v>
      </c>
      <c r="D5" s="284">
        <v>8400000</v>
      </c>
      <c r="E5" s="284">
        <v>8400000</v>
      </c>
      <c r="F5" s="284">
        <v>8400000</v>
      </c>
      <c r="G5" s="284">
        <v>26088000</v>
      </c>
      <c r="H5" s="284">
        <v>26088000</v>
      </c>
      <c r="I5" s="284">
        <v>26088000</v>
      </c>
      <c r="J5" s="284">
        <v>26088000</v>
      </c>
      <c r="K5" s="284">
        <v>0</v>
      </c>
      <c r="L5" s="284">
        <v>0</v>
      </c>
      <c r="M5" s="284">
        <v>0</v>
      </c>
      <c r="N5" s="284">
        <v>54000000</v>
      </c>
      <c r="O5" s="284">
        <v>54000000</v>
      </c>
      <c r="P5" s="284">
        <f t="shared" ref="P5:P43" si="0">O5-N5</f>
        <v>0</v>
      </c>
    </row>
    <row r="6" spans="1:16" ht="24.95" customHeight="1">
      <c r="A6" s="284" t="s">
        <v>252</v>
      </c>
      <c r="B6" s="284" t="s">
        <v>142</v>
      </c>
      <c r="C6" s="284"/>
      <c r="D6" s="284"/>
      <c r="E6" s="284"/>
      <c r="F6" s="284"/>
      <c r="G6" s="284"/>
      <c r="H6" s="284"/>
      <c r="I6" s="284"/>
      <c r="J6" s="284">
        <v>0</v>
      </c>
      <c r="K6" s="284">
        <v>26088000</v>
      </c>
      <c r="L6" s="284">
        <f>26088000+2400000</f>
        <v>28488000</v>
      </c>
      <c r="M6" s="284">
        <f>26088000+2400000</f>
        <v>28488000</v>
      </c>
      <c r="N6" s="284">
        <v>35688000</v>
      </c>
      <c r="O6" s="284">
        <v>57600000</v>
      </c>
      <c r="P6" s="284">
        <f t="shared" si="0"/>
        <v>21912000</v>
      </c>
    </row>
    <row r="7" spans="1:16" ht="24.95" customHeight="1">
      <c r="A7" s="284" t="s">
        <v>676</v>
      </c>
      <c r="B7" s="284" t="s">
        <v>674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>
        <v>36000000</v>
      </c>
      <c r="N7" s="284">
        <f>M7</f>
        <v>36000000</v>
      </c>
      <c r="O7" s="284">
        <f>N7</f>
        <v>36000000</v>
      </c>
      <c r="P7" s="284">
        <f t="shared" si="0"/>
        <v>0</v>
      </c>
    </row>
    <row r="8" spans="1:16" ht="24.95" customHeight="1">
      <c r="A8" s="292" t="s">
        <v>255</v>
      </c>
      <c r="B8" s="292" t="s">
        <v>5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92">
        <f>SUM(K4:K6)</f>
        <v>99517200</v>
      </c>
      <c r="L8" s="292">
        <f>SUM(L4:L6)</f>
        <v>118515600</v>
      </c>
      <c r="M8" s="292">
        <f>M7+M6+M5+M4</f>
        <v>250764000</v>
      </c>
      <c r="N8" s="292">
        <f>N7+N6+N5+N4</f>
        <v>321967200</v>
      </c>
      <c r="O8" s="292">
        <f>SUM(O4:O7)</f>
        <v>336703200</v>
      </c>
      <c r="P8" s="292">
        <f t="shared" si="0"/>
        <v>14736000</v>
      </c>
    </row>
    <row r="9" spans="1:16" s="655" customFormat="1" ht="24.95" customHeight="1">
      <c r="A9" s="284" t="s">
        <v>477</v>
      </c>
      <c r="B9" s="292" t="s">
        <v>539</v>
      </c>
      <c r="C9" s="292">
        <f t="shared" ref="C9:J9" si="1">SUM(C4:C8)</f>
        <v>11957000</v>
      </c>
      <c r="D9" s="292">
        <f t="shared" si="1"/>
        <v>8400000</v>
      </c>
      <c r="E9" s="292">
        <f t="shared" si="1"/>
        <v>8400000</v>
      </c>
      <c r="F9" s="292">
        <f t="shared" si="1"/>
        <v>8400000</v>
      </c>
      <c r="G9" s="292">
        <f t="shared" si="1"/>
        <v>26088000</v>
      </c>
      <c r="H9" s="292">
        <f t="shared" si="1"/>
        <v>26088000</v>
      </c>
      <c r="I9" s="292">
        <f t="shared" si="1"/>
        <v>26088000</v>
      </c>
      <c r="J9" s="292">
        <f t="shared" si="1"/>
        <v>26088000</v>
      </c>
      <c r="K9" s="292"/>
      <c r="L9" s="292"/>
      <c r="M9" s="292"/>
      <c r="N9" s="292" t="s">
        <v>4</v>
      </c>
      <c r="O9" s="292" t="s">
        <v>4</v>
      </c>
      <c r="P9" s="292"/>
    </row>
    <row r="10" spans="1:16" s="655" customFormat="1" ht="24.95" customHeight="1">
      <c r="A10" s="284" t="s">
        <v>478</v>
      </c>
      <c r="B10" s="292" t="s">
        <v>540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>
        <f t="shared" si="0"/>
        <v>0</v>
      </c>
    </row>
    <row r="11" spans="1:16" ht="24.95" customHeight="1">
      <c r="A11" s="284" t="s">
        <v>306</v>
      </c>
      <c r="B11" s="284" t="s">
        <v>188</v>
      </c>
      <c r="C11" s="284"/>
      <c r="D11" s="284"/>
      <c r="E11" s="284"/>
      <c r="F11" s="284"/>
      <c r="G11" s="284"/>
      <c r="H11" s="284"/>
      <c r="I11" s="284"/>
      <c r="J11" s="284"/>
      <c r="K11" s="284">
        <v>14896000</v>
      </c>
      <c r="L11" s="284">
        <v>14896000</v>
      </c>
      <c r="M11" s="284">
        <f>14896000*70%</f>
        <v>10427200</v>
      </c>
      <c r="N11" s="284">
        <v>0</v>
      </c>
      <c r="O11" s="284">
        <v>0</v>
      </c>
      <c r="P11" s="284">
        <f t="shared" si="0"/>
        <v>0</v>
      </c>
    </row>
    <row r="12" spans="1:16" ht="24.95" customHeight="1">
      <c r="A12" s="284" t="s">
        <v>308</v>
      </c>
      <c r="B12" s="284" t="s">
        <v>152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f t="shared" si="0"/>
        <v>0</v>
      </c>
    </row>
    <row r="13" spans="1:16" ht="24.95" customHeight="1">
      <c r="A13" s="284" t="s">
        <v>479</v>
      </c>
      <c r="B13" s="284" t="s">
        <v>187</v>
      </c>
      <c r="C13" s="284">
        <v>35246000</v>
      </c>
      <c r="D13" s="284">
        <v>23700000</v>
      </c>
      <c r="E13" s="284">
        <v>23700000</v>
      </c>
      <c r="F13" s="284">
        <v>23700000</v>
      </c>
      <c r="G13" s="284">
        <v>35985600</v>
      </c>
      <c r="H13" s="284">
        <v>44982000</v>
      </c>
      <c r="I13" s="284">
        <v>44982000</v>
      </c>
      <c r="J13" s="284">
        <v>62000000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f t="shared" si="0"/>
        <v>0</v>
      </c>
    </row>
    <row r="14" spans="1:16" ht="24.95" customHeight="1">
      <c r="A14" s="284" t="s">
        <v>480</v>
      </c>
      <c r="B14" s="284" t="s">
        <v>186</v>
      </c>
      <c r="C14" s="284">
        <v>6388200</v>
      </c>
      <c r="D14" s="284">
        <v>4411000</v>
      </c>
      <c r="E14" s="284">
        <v>4411000</v>
      </c>
      <c r="F14" s="284">
        <v>4411000</v>
      </c>
      <c r="G14" s="284">
        <v>14400000</v>
      </c>
      <c r="H14" s="284">
        <v>18000000</v>
      </c>
      <c r="I14" s="284">
        <v>13406400</v>
      </c>
      <c r="J14" s="284">
        <v>13406400</v>
      </c>
      <c r="K14" s="284">
        <v>10427200</v>
      </c>
      <c r="L14" s="284">
        <v>16025200</v>
      </c>
      <c r="M14" s="284">
        <v>11217640</v>
      </c>
      <c r="N14" s="284">
        <v>7000000</v>
      </c>
      <c r="O14" s="284">
        <v>7000000</v>
      </c>
      <c r="P14" s="284">
        <f t="shared" si="0"/>
        <v>0</v>
      </c>
    </row>
    <row r="15" spans="1:16" ht="24.95" customHeight="1">
      <c r="A15" s="292" t="s">
        <v>488</v>
      </c>
      <c r="B15" s="284" t="s">
        <v>191</v>
      </c>
      <c r="C15" s="284">
        <v>0</v>
      </c>
      <c r="D15" s="284">
        <v>4000000</v>
      </c>
      <c r="E15" s="284">
        <v>4000000</v>
      </c>
      <c r="F15" s="284">
        <v>4000000</v>
      </c>
      <c r="G15" s="284">
        <v>5600000</v>
      </c>
      <c r="H15" s="284">
        <v>7000000</v>
      </c>
      <c r="I15" s="284">
        <v>5213600</v>
      </c>
      <c r="J15" s="284">
        <v>5213600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f t="shared" si="0"/>
        <v>0</v>
      </c>
    </row>
    <row r="16" spans="1:16" ht="24.95" customHeight="1">
      <c r="A16" s="292" t="s">
        <v>434</v>
      </c>
      <c r="B16" s="284" t="s">
        <v>154</v>
      </c>
      <c r="C16" s="284"/>
      <c r="D16" s="284"/>
      <c r="E16" s="284"/>
      <c r="F16" s="284"/>
      <c r="G16" s="284"/>
      <c r="H16" s="284"/>
      <c r="I16" s="284"/>
      <c r="J16" s="284"/>
      <c r="K16" s="284">
        <v>18620000</v>
      </c>
      <c r="L16" s="284">
        <v>20620000</v>
      </c>
      <c r="M16" s="284">
        <f>20620000*70%</f>
        <v>14434000</v>
      </c>
      <c r="N16" s="284">
        <v>0</v>
      </c>
      <c r="O16" s="284">
        <v>0</v>
      </c>
      <c r="P16" s="284">
        <f t="shared" si="0"/>
        <v>0</v>
      </c>
    </row>
    <row r="17" spans="1:16" ht="24.95" customHeight="1">
      <c r="A17" s="284" t="s">
        <v>438</v>
      </c>
      <c r="B17" s="284" t="s">
        <v>185</v>
      </c>
      <c r="C17" s="284">
        <v>0</v>
      </c>
      <c r="D17" s="284">
        <v>0</v>
      </c>
      <c r="E17" s="335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7000000</v>
      </c>
      <c r="K17" s="284">
        <v>4468800</v>
      </c>
      <c r="L17" s="284">
        <v>7468800</v>
      </c>
      <c r="M17" s="284">
        <f>L17*70%</f>
        <v>5228160</v>
      </c>
      <c r="N17" s="284">
        <v>0</v>
      </c>
      <c r="O17" s="284">
        <v>0</v>
      </c>
      <c r="P17" s="284">
        <f t="shared" si="0"/>
        <v>0</v>
      </c>
    </row>
    <row r="18" spans="1:16" s="655" customFormat="1" ht="24.95" customHeight="1">
      <c r="A18" s="284" t="s">
        <v>489</v>
      </c>
      <c r="B18" s="284" t="s">
        <v>184</v>
      </c>
      <c r="C18" s="292">
        <f>SUM(C12:C17)</f>
        <v>41634200</v>
      </c>
      <c r="D18" s="292">
        <f>SUM(D12:D17)</f>
        <v>32111000</v>
      </c>
      <c r="E18" s="292">
        <f>SUM(E12:E15)</f>
        <v>32111000</v>
      </c>
      <c r="F18" s="292">
        <f>SUM(F12:F17)</f>
        <v>32111000</v>
      </c>
      <c r="G18" s="292">
        <f>SUM(G12:G17)</f>
        <v>55985600</v>
      </c>
      <c r="H18" s="292">
        <f>SUM(H12:H17)</f>
        <v>69982000</v>
      </c>
      <c r="I18" s="292">
        <f>SUM(I12:I17)</f>
        <v>63602000</v>
      </c>
      <c r="J18" s="292">
        <f>SUM(J12:J17)</f>
        <v>87620000</v>
      </c>
      <c r="K18" s="284">
        <v>1489600</v>
      </c>
      <c r="L18" s="284">
        <v>1489600</v>
      </c>
      <c r="M18" s="284">
        <v>1489600</v>
      </c>
      <c r="N18" s="284">
        <v>0</v>
      </c>
      <c r="O18" s="284">
        <v>0</v>
      </c>
      <c r="P18" s="284">
        <f t="shared" si="0"/>
        <v>0</v>
      </c>
    </row>
    <row r="19" spans="1:16" s="655" customFormat="1" ht="24.95" customHeight="1">
      <c r="A19" s="284" t="s">
        <v>490</v>
      </c>
      <c r="B19" s="284" t="s">
        <v>195</v>
      </c>
      <c r="C19" s="292"/>
      <c r="D19" s="292"/>
      <c r="E19" s="292"/>
      <c r="F19" s="292"/>
      <c r="G19" s="292"/>
      <c r="H19" s="292"/>
      <c r="I19" s="292"/>
      <c r="J19" s="292"/>
      <c r="K19" s="284">
        <v>5958400</v>
      </c>
      <c r="L19" s="284">
        <v>7958400</v>
      </c>
      <c r="M19" s="284">
        <f>L19*70%</f>
        <v>5570880</v>
      </c>
      <c r="N19" s="284">
        <v>0</v>
      </c>
      <c r="O19" s="284">
        <v>5000000</v>
      </c>
      <c r="P19" s="284">
        <f t="shared" si="0"/>
        <v>5000000</v>
      </c>
    </row>
    <row r="20" spans="1:16" ht="24.95" customHeight="1">
      <c r="A20" s="284" t="s">
        <v>541</v>
      </c>
      <c r="B20" s="284" t="s">
        <v>194</v>
      </c>
      <c r="C20" s="284"/>
      <c r="D20" s="284"/>
      <c r="E20" s="284"/>
      <c r="F20" s="284"/>
      <c r="G20" s="284"/>
      <c r="H20" s="284"/>
      <c r="I20" s="284"/>
      <c r="J20" s="284"/>
      <c r="K20" s="284">
        <v>44688000</v>
      </c>
      <c r="L20" s="284">
        <v>100000000</v>
      </c>
      <c r="M20" s="284">
        <f>100000000*70%</f>
        <v>70000000</v>
      </c>
      <c r="N20" s="284">
        <v>0</v>
      </c>
      <c r="O20" s="284">
        <v>10000000</v>
      </c>
      <c r="P20" s="284">
        <f t="shared" si="0"/>
        <v>10000000</v>
      </c>
    </row>
    <row r="21" spans="1:16" ht="24.95" customHeight="1">
      <c r="A21" s="284" t="s">
        <v>330</v>
      </c>
      <c r="B21" s="284" t="s">
        <v>192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f t="shared" si="0"/>
        <v>0</v>
      </c>
    </row>
    <row r="22" spans="1:16" ht="24.95" customHeight="1">
      <c r="A22" s="284" t="s">
        <v>335</v>
      </c>
      <c r="B22" s="284" t="s">
        <v>193</v>
      </c>
      <c r="C22" s="284">
        <v>0</v>
      </c>
      <c r="D22" s="284">
        <v>0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f t="shared" si="0"/>
        <v>0</v>
      </c>
    </row>
    <row r="23" spans="1:16" ht="24.95" customHeight="1">
      <c r="A23" s="284" t="s">
        <v>733</v>
      </c>
      <c r="B23" s="284" t="s">
        <v>777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>
        <v>57575000</v>
      </c>
      <c r="O23" s="284"/>
      <c r="P23" s="284">
        <f t="shared" si="0"/>
        <v>-57575000</v>
      </c>
    </row>
    <row r="24" spans="1:16" ht="24.95" customHeight="1">
      <c r="A24" s="284"/>
      <c r="B24" s="292" t="s">
        <v>5</v>
      </c>
      <c r="C24" s="284"/>
      <c r="D24" s="284"/>
      <c r="E24" s="284"/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92">
        <f>SUM(K11:K22)</f>
        <v>100548000</v>
      </c>
      <c r="L24" s="292">
        <f>SUM(L11:L22)</f>
        <v>168458000</v>
      </c>
      <c r="M24" s="292">
        <f>SUM(M11:M22)</f>
        <v>118367480</v>
      </c>
      <c r="N24" s="292">
        <f>SUM(N11:N23)</f>
        <v>64575000</v>
      </c>
      <c r="O24" s="292">
        <f>SUM(O11:O23)</f>
        <v>22000000</v>
      </c>
      <c r="P24" s="292">
        <f>O24-N24</f>
        <v>-42575000</v>
      </c>
    </row>
    <row r="25" spans="1:16" s="655" customFormat="1" ht="24.95" customHeight="1">
      <c r="A25" s="292" t="s">
        <v>279</v>
      </c>
      <c r="B25" s="292" t="s">
        <v>159</v>
      </c>
      <c r="C25" s="292">
        <f>SUM(C21:C22)</f>
        <v>0</v>
      </c>
      <c r="D25" s="292">
        <f>SUM(D21:D22)</f>
        <v>0</v>
      </c>
      <c r="E25" s="292">
        <f>SUM(E21:E22)</f>
        <v>0</v>
      </c>
      <c r="F25" s="292">
        <v>0</v>
      </c>
      <c r="G25" s="292">
        <f>SUM(G21:G24)</f>
        <v>0</v>
      </c>
      <c r="H25" s="292">
        <f>SUM(H21:H24)</f>
        <v>0</v>
      </c>
      <c r="I25" s="292">
        <v>0</v>
      </c>
      <c r="J25" s="292">
        <v>0</v>
      </c>
      <c r="K25" s="292"/>
      <c r="L25" s="292"/>
      <c r="M25" s="292"/>
      <c r="N25" s="292"/>
      <c r="O25" s="292"/>
      <c r="P25" s="292">
        <f t="shared" si="0"/>
        <v>0</v>
      </c>
    </row>
    <row r="26" spans="1:16" ht="24.95" customHeight="1">
      <c r="A26" s="284" t="s">
        <v>280</v>
      </c>
      <c r="B26" s="284" t="s">
        <v>160</v>
      </c>
      <c r="C26" s="284"/>
      <c r="D26" s="284"/>
      <c r="E26" s="284"/>
      <c r="F26" s="284"/>
      <c r="G26" s="284"/>
      <c r="H26" s="284"/>
      <c r="I26" s="284"/>
      <c r="J26" s="284"/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f t="shared" si="0"/>
        <v>0</v>
      </c>
    </row>
    <row r="27" spans="1:16" ht="24.95" customHeight="1">
      <c r="A27" s="284" t="s">
        <v>281</v>
      </c>
      <c r="B27" s="284" t="s">
        <v>161</v>
      </c>
      <c r="C27" s="284">
        <v>2475000</v>
      </c>
      <c r="D27" s="284">
        <v>4000000</v>
      </c>
      <c r="E27" s="284">
        <v>4000000</v>
      </c>
      <c r="F27" s="284">
        <v>7000000</v>
      </c>
      <c r="G27" s="284">
        <v>12000000</v>
      </c>
      <c r="H27" s="284">
        <v>15000000</v>
      </c>
      <c r="I27" s="284">
        <v>14896000</v>
      </c>
      <c r="J27" s="284">
        <v>38000000</v>
      </c>
      <c r="K27" s="284">
        <v>44982000</v>
      </c>
      <c r="L27" s="284">
        <v>120000000</v>
      </c>
      <c r="M27" s="284">
        <f>L27*70%</f>
        <v>84000000</v>
      </c>
      <c r="N27" s="284">
        <f>M27*80%</f>
        <v>67200000</v>
      </c>
      <c r="O27" s="284">
        <v>70000000</v>
      </c>
      <c r="P27" s="284">
        <f t="shared" si="0"/>
        <v>2800000</v>
      </c>
    </row>
    <row r="28" spans="1:16" ht="24.95" customHeight="1">
      <c r="A28" s="284" t="s">
        <v>282</v>
      </c>
      <c r="B28" s="284" t="s">
        <v>155</v>
      </c>
      <c r="C28" s="284">
        <v>990000</v>
      </c>
      <c r="D28" s="284">
        <v>3000000</v>
      </c>
      <c r="E28" s="284">
        <v>3000000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284">
        <v>13406400</v>
      </c>
      <c r="L28" s="284">
        <v>13406400</v>
      </c>
      <c r="M28" s="284">
        <f>L28*70%</f>
        <v>9384480</v>
      </c>
      <c r="N28" s="284">
        <f>M28</f>
        <v>9384480</v>
      </c>
      <c r="O28" s="284">
        <f>N28</f>
        <v>9384480</v>
      </c>
      <c r="P28" s="284">
        <f t="shared" si="0"/>
        <v>0</v>
      </c>
    </row>
    <row r="29" spans="1:16" ht="24.95" customHeight="1">
      <c r="A29" s="284" t="s">
        <v>283</v>
      </c>
      <c r="B29" s="284" t="s">
        <v>156</v>
      </c>
      <c r="C29" s="284">
        <v>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5213600</v>
      </c>
      <c r="L29" s="284">
        <v>5213600</v>
      </c>
      <c r="M29" s="284">
        <f>5213600*70%</f>
        <v>3649520</v>
      </c>
      <c r="N29" s="284">
        <v>0</v>
      </c>
      <c r="O29" s="284">
        <v>0</v>
      </c>
      <c r="P29" s="284">
        <f t="shared" si="0"/>
        <v>0</v>
      </c>
    </row>
    <row r="30" spans="1:16" ht="24.95" customHeight="1">
      <c r="A30" s="284" t="s">
        <v>492</v>
      </c>
      <c r="B30" s="284" t="s">
        <v>542</v>
      </c>
      <c r="C30" s="284"/>
      <c r="D30" s="284"/>
      <c r="E30" s="284"/>
      <c r="F30" s="284"/>
      <c r="G30" s="284"/>
      <c r="H30" s="284"/>
      <c r="I30" s="284"/>
      <c r="J30" s="284"/>
      <c r="K30" s="284"/>
      <c r="L30" s="284" t="s">
        <v>543</v>
      </c>
      <c r="M30" s="284" t="s">
        <v>544</v>
      </c>
      <c r="N30" s="284">
        <v>0</v>
      </c>
      <c r="O30" s="284">
        <v>0</v>
      </c>
      <c r="P30" s="284">
        <f t="shared" si="0"/>
        <v>0</v>
      </c>
    </row>
    <row r="31" spans="1:16" ht="24.95" customHeight="1">
      <c r="A31" s="284"/>
      <c r="B31" s="292" t="s">
        <v>119</v>
      </c>
      <c r="C31" s="284">
        <v>0</v>
      </c>
      <c r="D31" s="284">
        <v>0</v>
      </c>
      <c r="E31" s="284">
        <v>0</v>
      </c>
      <c r="F31" s="284">
        <v>0</v>
      </c>
      <c r="G31" s="284">
        <v>0</v>
      </c>
      <c r="H31" s="284">
        <v>0</v>
      </c>
      <c r="I31" s="284">
        <v>0</v>
      </c>
      <c r="J31" s="284">
        <v>0</v>
      </c>
      <c r="K31" s="292">
        <f>SUM(K26:K29)</f>
        <v>63602000</v>
      </c>
      <c r="L31" s="292">
        <f>SUM(L26:L29)</f>
        <v>138620000</v>
      </c>
      <c r="M31" s="292">
        <f>SUM(M26:M29)</f>
        <v>97034000</v>
      </c>
      <c r="N31" s="292">
        <f>SUM(N26:N29)</f>
        <v>76584480</v>
      </c>
      <c r="O31" s="292">
        <f>SUM(O26:O30)</f>
        <v>79384480</v>
      </c>
      <c r="P31" s="292">
        <f t="shared" si="0"/>
        <v>2800000</v>
      </c>
    </row>
    <row r="32" spans="1:16" ht="24.95" customHeight="1">
      <c r="A32" s="284" t="s">
        <v>495</v>
      </c>
      <c r="B32" s="292" t="s">
        <v>545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/>
      <c r="L32" s="284"/>
      <c r="M32" s="284"/>
      <c r="N32" s="284"/>
      <c r="O32" s="284"/>
      <c r="P32" s="284">
        <f t="shared" si="0"/>
        <v>0</v>
      </c>
    </row>
    <row r="33" spans="1:16" ht="24.95" customHeight="1">
      <c r="A33" s="292" t="s">
        <v>497</v>
      </c>
      <c r="B33" s="292" t="s">
        <v>546</v>
      </c>
      <c r="C33" s="284">
        <v>0</v>
      </c>
      <c r="D33" s="284">
        <v>0</v>
      </c>
      <c r="E33" s="284">
        <v>0</v>
      </c>
      <c r="F33" s="284">
        <v>0</v>
      </c>
      <c r="G33" s="284">
        <v>0</v>
      </c>
      <c r="H33" s="284">
        <v>0</v>
      </c>
      <c r="I33" s="284">
        <v>0</v>
      </c>
      <c r="J33" s="284">
        <v>0</v>
      </c>
      <c r="K33" s="284"/>
      <c r="L33" s="284"/>
      <c r="M33" s="284"/>
      <c r="N33" s="284"/>
      <c r="O33" s="284"/>
      <c r="P33" s="284">
        <f t="shared" si="0"/>
        <v>0</v>
      </c>
    </row>
    <row r="34" spans="1:16" s="655" customFormat="1" ht="24.95" customHeight="1">
      <c r="A34" s="284" t="s">
        <v>499</v>
      </c>
      <c r="B34" s="284" t="s">
        <v>174</v>
      </c>
      <c r="C34" s="292">
        <f t="shared" ref="C34:H34" si="2">SUM(C27:C33)</f>
        <v>3465000</v>
      </c>
      <c r="D34" s="292">
        <f t="shared" si="2"/>
        <v>7000000</v>
      </c>
      <c r="E34" s="292">
        <f t="shared" si="2"/>
        <v>7000000</v>
      </c>
      <c r="F34" s="292">
        <f t="shared" si="2"/>
        <v>7000000</v>
      </c>
      <c r="G34" s="292">
        <f t="shared" si="2"/>
        <v>12000000</v>
      </c>
      <c r="H34" s="292">
        <f t="shared" si="2"/>
        <v>15000000</v>
      </c>
      <c r="I34" s="292">
        <f>SUM(I27:I33)</f>
        <v>14896000</v>
      </c>
      <c r="J34" s="292">
        <f>SUM(J27:J33)</f>
        <v>38000000</v>
      </c>
      <c r="K34" s="292">
        <v>0</v>
      </c>
      <c r="L34" s="292">
        <v>0</v>
      </c>
      <c r="M34" s="292">
        <v>0</v>
      </c>
      <c r="N34" s="292">
        <v>0</v>
      </c>
      <c r="O34" s="292">
        <v>0</v>
      </c>
      <c r="P34" s="292">
        <f t="shared" si="0"/>
        <v>0</v>
      </c>
    </row>
    <row r="35" spans="1:16" ht="24.95" customHeight="1">
      <c r="A35" s="284" t="s">
        <v>388</v>
      </c>
      <c r="B35" s="284" t="s">
        <v>175</v>
      </c>
      <c r="C35" s="284"/>
      <c r="D35" s="284"/>
      <c r="E35" s="284"/>
      <c r="F35" s="284"/>
      <c r="G35" s="284"/>
      <c r="H35" s="284"/>
      <c r="I35" s="284"/>
      <c r="J35" s="284"/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284">
        <f t="shared" si="0"/>
        <v>0</v>
      </c>
    </row>
    <row r="36" spans="1:16" ht="24.95" customHeight="1">
      <c r="A36" s="284" t="s">
        <v>500</v>
      </c>
      <c r="B36" s="284" t="s">
        <v>176</v>
      </c>
      <c r="C36" s="284">
        <v>9789800</v>
      </c>
      <c r="D36" s="284">
        <v>10000000</v>
      </c>
      <c r="E36" s="284">
        <v>10000000</v>
      </c>
      <c r="F36" s="284">
        <v>10000000</v>
      </c>
      <c r="G36" s="284">
        <v>16000000</v>
      </c>
      <c r="H36" s="284">
        <v>20000000</v>
      </c>
      <c r="I36" s="284">
        <v>14896000</v>
      </c>
      <c r="J36" s="284">
        <v>14896000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f t="shared" si="0"/>
        <v>0</v>
      </c>
    </row>
    <row r="37" spans="1:16" ht="24.95" customHeight="1">
      <c r="A37" s="284" t="s">
        <v>501</v>
      </c>
      <c r="B37" s="284" t="s">
        <v>177</v>
      </c>
      <c r="C37" s="284">
        <v>0</v>
      </c>
      <c r="D37" s="284">
        <v>0</v>
      </c>
      <c r="E37" s="284">
        <v>0</v>
      </c>
      <c r="F37" s="284">
        <v>0</v>
      </c>
      <c r="G37" s="284">
        <v>0</v>
      </c>
      <c r="H37" s="284">
        <v>0</v>
      </c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f t="shared" si="0"/>
        <v>0</v>
      </c>
    </row>
    <row r="38" spans="1:16" ht="24.95" customHeight="1">
      <c r="A38" s="292"/>
      <c r="B38" s="292" t="s">
        <v>119</v>
      </c>
      <c r="C38" s="284">
        <v>1650000</v>
      </c>
      <c r="D38" s="284">
        <v>2520200</v>
      </c>
      <c r="E38" s="284">
        <v>2520200</v>
      </c>
      <c r="F38" s="284">
        <f>2520200+2520200</f>
        <v>5040400</v>
      </c>
      <c r="G38" s="284">
        <v>9216000</v>
      </c>
      <c r="H38" s="284">
        <v>11520000</v>
      </c>
      <c r="I38" s="284">
        <v>10427200</v>
      </c>
      <c r="J38" s="284">
        <v>10427200</v>
      </c>
      <c r="K38" s="292">
        <f>SUM(K34:K37)</f>
        <v>0</v>
      </c>
      <c r="L38" s="292">
        <f>SUM(L34:L37)</f>
        <v>0</v>
      </c>
      <c r="M38" s="292">
        <f>SUM(M34:M37)</f>
        <v>0</v>
      </c>
      <c r="N38" s="292">
        <f>SUM(N34:N37)</f>
        <v>0</v>
      </c>
      <c r="O38" s="292">
        <f>SUM(O34:O37)</f>
        <v>0</v>
      </c>
      <c r="P38" s="292">
        <f t="shared" si="0"/>
        <v>0</v>
      </c>
    </row>
    <row r="39" spans="1:16" ht="24.95" customHeight="1">
      <c r="A39" s="292" t="s">
        <v>285</v>
      </c>
      <c r="B39" s="292" t="s">
        <v>158</v>
      </c>
      <c r="C39" s="284">
        <v>8000000</v>
      </c>
      <c r="D39" s="284">
        <v>0</v>
      </c>
      <c r="E39" s="284">
        <v>0</v>
      </c>
      <c r="F39" s="284">
        <v>0</v>
      </c>
      <c r="G39" s="284">
        <v>0</v>
      </c>
      <c r="H39" s="284">
        <v>0</v>
      </c>
      <c r="I39" s="284">
        <v>0</v>
      </c>
      <c r="J39" s="284">
        <v>0</v>
      </c>
      <c r="K39" s="284"/>
      <c r="L39" s="284"/>
      <c r="M39" s="284"/>
      <c r="N39" s="284"/>
      <c r="O39" s="284"/>
      <c r="P39" s="284">
        <f t="shared" si="0"/>
        <v>0</v>
      </c>
    </row>
    <row r="40" spans="1:16" ht="24.95" customHeight="1">
      <c r="A40" s="284" t="s">
        <v>503</v>
      </c>
      <c r="B40" s="284" t="s">
        <v>178</v>
      </c>
      <c r="C40" s="284">
        <v>0</v>
      </c>
      <c r="D40" s="284">
        <v>0</v>
      </c>
      <c r="E40" s="284">
        <v>0</v>
      </c>
      <c r="F40" s="284">
        <v>0</v>
      </c>
      <c r="G40" s="284">
        <v>20000000</v>
      </c>
      <c r="H40" s="284">
        <v>25000000</v>
      </c>
      <c r="I40" s="284">
        <v>18620000</v>
      </c>
      <c r="J40" s="284">
        <v>18620000</v>
      </c>
      <c r="K40" s="284">
        <v>14896000</v>
      </c>
      <c r="L40" s="284">
        <v>18526072</v>
      </c>
      <c r="M40" s="284">
        <f>L40*70%</f>
        <v>12968250.399999999</v>
      </c>
      <c r="N40" s="284">
        <f>M40</f>
        <v>12968250.399999999</v>
      </c>
      <c r="O40" s="284">
        <v>17968250</v>
      </c>
      <c r="P40" s="284">
        <f t="shared" si="0"/>
        <v>4999999.6000000015</v>
      </c>
    </row>
    <row r="41" spans="1:16" ht="24.95" customHeight="1">
      <c r="A41" s="284" t="s">
        <v>504</v>
      </c>
      <c r="B41" s="284" t="s">
        <v>181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84">
        <v>0</v>
      </c>
      <c r="P41" s="284">
        <f t="shared" si="0"/>
        <v>0</v>
      </c>
    </row>
    <row r="42" spans="1:16" ht="24.95" customHeight="1">
      <c r="A42" s="284"/>
      <c r="B42" s="292" t="s">
        <v>5</v>
      </c>
      <c r="C42" s="284">
        <v>0</v>
      </c>
      <c r="D42" s="284">
        <v>0</v>
      </c>
      <c r="E42" s="284">
        <v>0</v>
      </c>
      <c r="F42" s="284">
        <v>0</v>
      </c>
      <c r="G42" s="284">
        <v>0</v>
      </c>
      <c r="H42" s="284">
        <v>0</v>
      </c>
      <c r="I42" s="284">
        <v>0</v>
      </c>
      <c r="J42" s="284">
        <v>0</v>
      </c>
      <c r="K42" s="292">
        <f>SUM(K40:K41)</f>
        <v>14896000</v>
      </c>
      <c r="L42" s="292">
        <f>SUM(L40:L41)</f>
        <v>18526072</v>
      </c>
      <c r="M42" s="292">
        <f>SUM(M40:M41)</f>
        <v>12968250.399999999</v>
      </c>
      <c r="N42" s="292">
        <f>SUM(N40:N41)</f>
        <v>12968250.399999999</v>
      </c>
      <c r="O42" s="292">
        <f>SUM(O40:O41)</f>
        <v>17968250</v>
      </c>
      <c r="P42" s="292">
        <f t="shared" si="0"/>
        <v>4999999.6000000015</v>
      </c>
    </row>
    <row r="43" spans="1:16" ht="24.95" customHeight="1">
      <c r="A43" s="284"/>
      <c r="B43" s="292" t="s">
        <v>42</v>
      </c>
      <c r="C43" s="284">
        <v>0</v>
      </c>
      <c r="D43" s="284">
        <v>0</v>
      </c>
      <c r="E43" s="284">
        <v>0</v>
      </c>
      <c r="F43" s="284">
        <v>0</v>
      </c>
      <c r="G43" s="284">
        <v>0</v>
      </c>
      <c r="H43" s="284">
        <v>0</v>
      </c>
      <c r="I43" s="284">
        <v>1489600</v>
      </c>
      <c r="J43" s="284">
        <v>1489600</v>
      </c>
      <c r="K43" s="292">
        <f>K42+K31+K24+K8</f>
        <v>278563200</v>
      </c>
      <c r="L43" s="292">
        <f>L42+L31+L24+L8</f>
        <v>444119672</v>
      </c>
      <c r="M43" s="292">
        <f>M42+M31+M24+M8</f>
        <v>479133730.39999998</v>
      </c>
      <c r="N43" s="292">
        <f>N42+N31+N24+N8</f>
        <v>476094930.39999998</v>
      </c>
      <c r="O43" s="292">
        <f>O42+O31+O24+O8+O38</f>
        <v>456055930</v>
      </c>
      <c r="P43" s="292">
        <f t="shared" si="0"/>
        <v>-20039000.399999976</v>
      </c>
    </row>
    <row r="44" spans="1:16">
      <c r="A44" s="656"/>
      <c r="F44" s="155" t="s">
        <v>4</v>
      </c>
      <c r="G44" s="399" t="s">
        <v>4</v>
      </c>
      <c r="H44" s="399"/>
      <c r="I44" s="399"/>
      <c r="J44" s="399"/>
      <c r="K44" s="399"/>
      <c r="L44" s="658"/>
      <c r="M44" s="658"/>
      <c r="N44" s="659"/>
      <c r="O44" s="659"/>
      <c r="P44" s="659"/>
    </row>
    <row r="45" spans="1:16">
      <c r="G45" s="455" t="s">
        <v>4</v>
      </c>
      <c r="H45" s="455"/>
      <c r="I45" s="455"/>
      <c r="J45" s="455"/>
      <c r="K45" s="455"/>
      <c r="L45" s="659"/>
      <c r="M45" s="659"/>
      <c r="N45" s="659"/>
      <c r="O45" s="659"/>
      <c r="P45" s="659"/>
    </row>
    <row r="46" spans="1:16">
      <c r="F46" s="455" t="s">
        <v>4</v>
      </c>
      <c r="G46" s="455"/>
      <c r="H46" s="455"/>
      <c r="I46" s="455"/>
      <c r="J46" s="455"/>
      <c r="K46" s="455"/>
      <c r="L46" s="659"/>
      <c r="M46" s="659"/>
      <c r="N46" s="659"/>
      <c r="O46" s="659"/>
      <c r="P46" s="659"/>
    </row>
    <row r="47" spans="1:16">
      <c r="N47" s="659"/>
      <c r="O47" s="659"/>
      <c r="P47" s="659"/>
    </row>
    <row r="48" spans="1:16">
      <c r="F48" s="155">
        <f>1386274192-71600000-798000-176160000-12600000</f>
        <v>1125116192</v>
      </c>
      <c r="N48" s="659"/>
      <c r="O48" s="659"/>
      <c r="P48" s="659"/>
    </row>
    <row r="49" spans="14:16" ht="10.5" customHeight="1">
      <c r="N49" s="659"/>
      <c r="O49" s="659"/>
      <c r="P49" s="659"/>
    </row>
    <row r="50" spans="14:16">
      <c r="N50" s="659"/>
      <c r="O50" s="659"/>
      <c r="P50" s="659"/>
    </row>
    <row r="51" spans="14:16">
      <c r="N51" s="659"/>
      <c r="O51" s="659"/>
      <c r="P51" s="659"/>
    </row>
    <row r="52" spans="14:16">
      <c r="N52" s="659"/>
      <c r="O52" s="659"/>
      <c r="P52" s="659"/>
    </row>
    <row r="53" spans="14:16">
      <c r="N53" s="659"/>
      <c r="O53" s="659"/>
      <c r="P53" s="659"/>
    </row>
    <row r="54" spans="14:16">
      <c r="N54" s="659"/>
      <c r="O54" s="659"/>
      <c r="P54" s="659"/>
    </row>
    <row r="55" spans="14:16">
      <c r="N55" s="659"/>
      <c r="O55" s="659"/>
      <c r="P55" s="659"/>
    </row>
    <row r="56" spans="14:16">
      <c r="N56" s="659"/>
      <c r="O56" s="659"/>
      <c r="P56" s="659"/>
    </row>
    <row r="57" spans="14:16">
      <c r="N57" s="659"/>
      <c r="O57" s="659"/>
      <c r="P57" s="659"/>
    </row>
    <row r="58" spans="14:16">
      <c r="N58" s="659"/>
      <c r="O58" s="659"/>
      <c r="P58" s="659"/>
    </row>
    <row r="59" spans="14:16">
      <c r="N59" s="659"/>
      <c r="O59" s="659"/>
      <c r="P59" s="659"/>
    </row>
    <row r="60" spans="14:16">
      <c r="N60" s="659"/>
      <c r="O60" s="659"/>
      <c r="P60" s="659"/>
    </row>
    <row r="61" spans="14:16">
      <c r="N61" s="659"/>
      <c r="O61" s="659"/>
      <c r="P61" s="659"/>
    </row>
    <row r="62" spans="14:16">
      <c r="N62" s="659"/>
      <c r="O62" s="659"/>
      <c r="P62" s="659"/>
    </row>
    <row r="63" spans="14:16">
      <c r="N63" s="659"/>
      <c r="O63" s="659"/>
      <c r="P63" s="659"/>
    </row>
    <row r="64" spans="14:16">
      <c r="N64" s="659"/>
      <c r="O64" s="659"/>
      <c r="P64" s="659"/>
    </row>
    <row r="65" spans="14:16">
      <c r="N65" s="659"/>
      <c r="O65" s="659"/>
      <c r="P65" s="659"/>
    </row>
    <row r="66" spans="14:16">
      <c r="N66" s="659"/>
      <c r="O66" s="659"/>
      <c r="P66" s="659"/>
    </row>
    <row r="67" spans="14:16">
      <c r="N67" s="659"/>
      <c r="O67" s="659"/>
      <c r="P67" s="659"/>
    </row>
    <row r="68" spans="14:16">
      <c r="N68" s="659"/>
      <c r="O68" s="659"/>
      <c r="P68" s="659"/>
    </row>
    <row r="69" spans="14:16">
      <c r="N69" s="659"/>
      <c r="O69" s="659"/>
      <c r="P69" s="659"/>
    </row>
    <row r="70" spans="14:16">
      <c r="N70" s="659"/>
      <c r="O70" s="659"/>
      <c r="P70" s="659"/>
    </row>
    <row r="71" spans="14:16">
      <c r="N71" s="659"/>
      <c r="O71" s="659"/>
      <c r="P71" s="659"/>
    </row>
    <row r="72" spans="14:16">
      <c r="N72" s="659"/>
      <c r="O72" s="659"/>
      <c r="P72" s="659"/>
    </row>
    <row r="73" spans="14:16">
      <c r="N73" s="659"/>
      <c r="O73" s="659"/>
      <c r="P73" s="659"/>
    </row>
    <row r="74" spans="14:16">
      <c r="N74" s="659"/>
      <c r="O74" s="659"/>
      <c r="P74" s="659"/>
    </row>
    <row r="75" spans="14:16">
      <c r="N75" s="659"/>
      <c r="O75" s="659"/>
      <c r="P75" s="659"/>
    </row>
    <row r="76" spans="14:16">
      <c r="N76" s="659"/>
      <c r="O76" s="659"/>
      <c r="P76" s="659"/>
    </row>
    <row r="77" spans="14:16">
      <c r="N77" s="659"/>
      <c r="O77" s="659"/>
      <c r="P77" s="659"/>
    </row>
    <row r="78" spans="14:16">
      <c r="N78" s="659"/>
      <c r="O78" s="659"/>
      <c r="P78" s="659"/>
    </row>
    <row r="79" spans="14:16">
      <c r="N79" s="659"/>
      <c r="O79" s="659"/>
      <c r="P79" s="659"/>
    </row>
    <row r="80" spans="14:16">
      <c r="N80" s="659"/>
      <c r="O80" s="659"/>
      <c r="P80" s="659"/>
    </row>
    <row r="81" spans="14:16">
      <c r="N81" s="659"/>
      <c r="O81" s="659"/>
      <c r="P81" s="659"/>
    </row>
    <row r="82" spans="14:16">
      <c r="N82" s="659"/>
      <c r="O82" s="659"/>
      <c r="P82" s="659"/>
    </row>
    <row r="83" spans="14:16">
      <c r="N83" s="659"/>
      <c r="O83" s="659"/>
      <c r="P83" s="659"/>
    </row>
    <row r="84" spans="14:16">
      <c r="N84" s="659"/>
      <c r="O84" s="659"/>
      <c r="P84" s="659"/>
    </row>
    <row r="85" spans="14:16">
      <c r="N85" s="659"/>
      <c r="O85" s="659"/>
      <c r="P85" s="659"/>
    </row>
    <row r="86" spans="14:16">
      <c r="N86" s="659"/>
      <c r="O86" s="659"/>
      <c r="P86" s="659"/>
    </row>
    <row r="87" spans="14:16">
      <c r="N87" s="659"/>
      <c r="O87" s="659"/>
      <c r="P87" s="659"/>
    </row>
    <row r="88" spans="14:16">
      <c r="N88" s="659"/>
      <c r="O88" s="659"/>
      <c r="P88" s="659"/>
    </row>
    <row r="89" spans="14:16">
      <c r="N89" s="659"/>
      <c r="O89" s="659"/>
      <c r="P89" s="659"/>
    </row>
    <row r="90" spans="14:16">
      <c r="N90" s="659"/>
      <c r="O90" s="659"/>
      <c r="P90" s="659"/>
    </row>
    <row r="91" spans="14:16">
      <c r="N91" s="659"/>
      <c r="O91" s="659"/>
      <c r="P91" s="659"/>
    </row>
    <row r="92" spans="14:16">
      <c r="N92" s="659"/>
      <c r="O92" s="659"/>
      <c r="P92" s="659"/>
    </row>
    <row r="93" spans="14:16">
      <c r="N93" s="659"/>
      <c r="O93" s="659"/>
      <c r="P93" s="659"/>
    </row>
    <row r="94" spans="14:16">
      <c r="N94" s="659"/>
      <c r="O94" s="659"/>
      <c r="P94" s="659"/>
    </row>
    <row r="95" spans="14:16">
      <c r="N95" s="659"/>
      <c r="O95" s="659"/>
      <c r="P95" s="659"/>
    </row>
    <row r="96" spans="14:16">
      <c r="N96" s="659"/>
      <c r="O96" s="659"/>
      <c r="P96" s="659"/>
    </row>
    <row r="97" spans="14:16">
      <c r="N97" s="659"/>
      <c r="O97" s="659"/>
      <c r="P97" s="659"/>
    </row>
    <row r="98" spans="14:16">
      <c r="N98" s="659"/>
      <c r="O98" s="659"/>
      <c r="P98" s="659"/>
    </row>
    <row r="99" spans="14:16">
      <c r="N99" s="659"/>
      <c r="O99" s="659"/>
      <c r="P99" s="659"/>
    </row>
    <row r="100" spans="14:16">
      <c r="N100" s="659"/>
      <c r="O100" s="659"/>
      <c r="P100" s="659"/>
    </row>
    <row r="101" spans="14:16">
      <c r="N101" s="659"/>
      <c r="O101" s="659"/>
      <c r="P101" s="659"/>
    </row>
    <row r="102" spans="14:16">
      <c r="N102" s="659"/>
      <c r="O102" s="659"/>
      <c r="P102" s="659"/>
    </row>
    <row r="103" spans="14:16">
      <c r="N103" s="659"/>
      <c r="O103" s="659"/>
      <c r="P103" s="659"/>
    </row>
    <row r="104" spans="14:16">
      <c r="N104" s="659"/>
      <c r="O104" s="659"/>
      <c r="P104" s="659"/>
    </row>
    <row r="105" spans="14:16">
      <c r="N105" s="659"/>
      <c r="O105" s="659"/>
      <c r="P105" s="659"/>
    </row>
    <row r="106" spans="14:16">
      <c r="N106" s="659"/>
      <c r="O106" s="659"/>
      <c r="P106" s="659"/>
    </row>
    <row r="107" spans="14:16">
      <c r="N107" s="659"/>
      <c r="O107" s="659"/>
      <c r="P107" s="659"/>
    </row>
    <row r="108" spans="14:16">
      <c r="N108" s="659"/>
      <c r="O108" s="659"/>
      <c r="P108" s="659"/>
    </row>
    <row r="109" spans="14:16">
      <c r="N109" s="659"/>
      <c r="O109" s="659"/>
      <c r="P109" s="659"/>
    </row>
    <row r="110" spans="14:16">
      <c r="N110" s="659"/>
      <c r="O110" s="659"/>
      <c r="P110" s="659"/>
    </row>
    <row r="111" spans="14:16">
      <c r="N111" s="659"/>
      <c r="O111" s="659"/>
      <c r="P111" s="659"/>
    </row>
    <row r="112" spans="14:16">
      <c r="N112" s="659"/>
      <c r="O112" s="659"/>
      <c r="P112" s="659"/>
    </row>
    <row r="113" spans="14:16">
      <c r="N113" s="659"/>
      <c r="O113" s="659"/>
      <c r="P113" s="659"/>
    </row>
    <row r="114" spans="14:16">
      <c r="N114" s="659"/>
      <c r="O114" s="659"/>
      <c r="P114" s="659"/>
    </row>
    <row r="115" spans="14:16">
      <c r="N115" s="659"/>
      <c r="O115" s="659"/>
      <c r="P115" s="659"/>
    </row>
    <row r="116" spans="14:16">
      <c r="N116" s="659"/>
      <c r="O116" s="659"/>
      <c r="P116" s="659"/>
    </row>
    <row r="117" spans="14:16">
      <c r="N117" s="659"/>
      <c r="O117" s="659"/>
      <c r="P117" s="659"/>
    </row>
    <row r="118" spans="14:16">
      <c r="N118" s="659"/>
      <c r="O118" s="659"/>
      <c r="P118" s="659"/>
    </row>
    <row r="119" spans="14:16">
      <c r="N119" s="659"/>
      <c r="O119" s="659"/>
      <c r="P119" s="659"/>
    </row>
    <row r="120" spans="14:16">
      <c r="N120" s="659"/>
      <c r="O120" s="659"/>
      <c r="P120" s="659"/>
    </row>
    <row r="121" spans="14:16">
      <c r="N121" s="659"/>
      <c r="O121" s="659"/>
      <c r="P121" s="659"/>
    </row>
    <row r="122" spans="14:16">
      <c r="N122" s="659"/>
      <c r="O122" s="659"/>
      <c r="P122" s="659"/>
    </row>
    <row r="123" spans="14:16">
      <c r="N123" s="659"/>
      <c r="O123" s="659"/>
      <c r="P123" s="659"/>
    </row>
    <row r="124" spans="14:16">
      <c r="N124" s="659"/>
      <c r="O124" s="659"/>
      <c r="P124" s="659"/>
    </row>
    <row r="125" spans="14:16">
      <c r="N125" s="659"/>
      <c r="O125" s="659"/>
      <c r="P125" s="659"/>
    </row>
    <row r="126" spans="14:16">
      <c r="N126" s="659"/>
      <c r="O126" s="659"/>
      <c r="P126" s="659"/>
    </row>
    <row r="127" spans="14:16">
      <c r="N127" s="659"/>
      <c r="O127" s="659"/>
      <c r="P127" s="659"/>
    </row>
    <row r="128" spans="14:16">
      <c r="N128" s="659"/>
      <c r="O128" s="659"/>
      <c r="P128" s="659"/>
    </row>
    <row r="129" spans="14:16">
      <c r="N129" s="659"/>
      <c r="O129" s="659"/>
      <c r="P129" s="659"/>
    </row>
    <row r="130" spans="14:16">
      <c r="N130" s="659"/>
      <c r="O130" s="659"/>
      <c r="P130" s="659"/>
    </row>
    <row r="131" spans="14:16">
      <c r="N131" s="659"/>
      <c r="O131" s="659"/>
      <c r="P131" s="659"/>
    </row>
    <row r="132" spans="14:16">
      <c r="N132" s="659"/>
      <c r="O132" s="659"/>
      <c r="P132" s="659"/>
    </row>
    <row r="133" spans="14:16">
      <c r="N133" s="659"/>
      <c r="O133" s="659"/>
      <c r="P133" s="659"/>
    </row>
    <row r="134" spans="14:16">
      <c r="N134" s="659"/>
      <c r="O134" s="659"/>
      <c r="P134" s="659"/>
    </row>
    <row r="135" spans="14:16">
      <c r="N135" s="659"/>
      <c r="O135" s="659"/>
      <c r="P135" s="659"/>
    </row>
    <row r="136" spans="14:16">
      <c r="N136" s="659"/>
      <c r="O136" s="659"/>
      <c r="P136" s="659"/>
    </row>
    <row r="137" spans="14:16">
      <c r="N137" s="659"/>
      <c r="O137" s="659"/>
      <c r="P137" s="659"/>
    </row>
    <row r="138" spans="14:16">
      <c r="N138" s="659"/>
      <c r="O138" s="659"/>
      <c r="P138" s="659"/>
    </row>
    <row r="139" spans="14:16">
      <c r="N139" s="659"/>
      <c r="O139" s="659"/>
      <c r="P139" s="659"/>
    </row>
    <row r="140" spans="14:16">
      <c r="N140" s="659"/>
      <c r="O140" s="659"/>
      <c r="P140" s="659"/>
    </row>
    <row r="141" spans="14:16">
      <c r="N141" s="659"/>
      <c r="O141" s="659"/>
      <c r="P141" s="659"/>
    </row>
    <row r="142" spans="14:16">
      <c r="N142" s="659"/>
      <c r="O142" s="659"/>
      <c r="P142" s="659"/>
    </row>
    <row r="143" spans="14:16">
      <c r="N143" s="659"/>
      <c r="O143" s="659"/>
      <c r="P143" s="659"/>
    </row>
    <row r="144" spans="14:16">
      <c r="N144" s="659"/>
      <c r="O144" s="659"/>
      <c r="P144" s="659"/>
    </row>
    <row r="145" spans="14:16">
      <c r="N145" s="659"/>
      <c r="O145" s="659"/>
      <c r="P145" s="659"/>
    </row>
    <row r="146" spans="14:16">
      <c r="N146" s="659"/>
      <c r="O146" s="659"/>
      <c r="P146" s="659"/>
    </row>
    <row r="147" spans="14:16">
      <c r="N147" s="659"/>
      <c r="O147" s="659"/>
      <c r="P147" s="659"/>
    </row>
    <row r="148" spans="14:16">
      <c r="N148" s="659"/>
      <c r="O148" s="659"/>
      <c r="P148" s="659"/>
    </row>
    <row r="149" spans="14:16">
      <c r="N149" s="659"/>
      <c r="O149" s="659"/>
      <c r="P149" s="659"/>
    </row>
    <row r="150" spans="14:16">
      <c r="N150" s="659"/>
      <c r="O150" s="659"/>
      <c r="P150" s="659"/>
    </row>
    <row r="151" spans="14:16">
      <c r="N151" s="659"/>
      <c r="O151" s="659"/>
      <c r="P151" s="659"/>
    </row>
    <row r="152" spans="14:16">
      <c r="N152" s="659"/>
      <c r="O152" s="659"/>
      <c r="P152" s="659"/>
    </row>
    <row r="153" spans="14:16">
      <c r="N153" s="659"/>
      <c r="O153" s="659"/>
      <c r="P153" s="659"/>
    </row>
    <row r="154" spans="14:16">
      <c r="N154" s="659"/>
      <c r="O154" s="659"/>
      <c r="P154" s="659"/>
    </row>
    <row r="155" spans="14:16">
      <c r="N155" s="659"/>
      <c r="O155" s="659"/>
      <c r="P155" s="659"/>
    </row>
    <row r="156" spans="14:16">
      <c r="N156" s="659"/>
      <c r="O156" s="659"/>
      <c r="P156" s="659"/>
    </row>
    <row r="157" spans="14:16">
      <c r="N157" s="659"/>
      <c r="O157" s="659"/>
      <c r="P157" s="659"/>
    </row>
    <row r="158" spans="14:16">
      <c r="N158" s="659"/>
      <c r="O158" s="659"/>
      <c r="P158" s="659"/>
    </row>
    <row r="159" spans="14:16">
      <c r="N159" s="659"/>
      <c r="O159" s="659"/>
      <c r="P159" s="659"/>
    </row>
    <row r="160" spans="14:16">
      <c r="N160" s="659"/>
      <c r="O160" s="659"/>
      <c r="P160" s="659"/>
    </row>
    <row r="161" spans="14:16">
      <c r="N161" s="659"/>
      <c r="O161" s="659"/>
      <c r="P161" s="659"/>
    </row>
    <row r="162" spans="14:16">
      <c r="N162" s="659"/>
      <c r="O162" s="659"/>
      <c r="P162" s="659"/>
    </row>
    <row r="163" spans="14:16">
      <c r="N163" s="659"/>
      <c r="O163" s="659"/>
      <c r="P163" s="659"/>
    </row>
    <row r="164" spans="14:16">
      <c r="N164" s="659"/>
      <c r="O164" s="659"/>
      <c r="P164" s="659"/>
    </row>
    <row r="165" spans="14:16">
      <c r="N165" s="659"/>
      <c r="O165" s="659"/>
      <c r="P165" s="659"/>
    </row>
    <row r="166" spans="14:16">
      <c r="N166" s="659"/>
      <c r="O166" s="659"/>
      <c r="P166" s="659"/>
    </row>
    <row r="167" spans="14:16">
      <c r="N167" s="659"/>
      <c r="O167" s="659"/>
      <c r="P167" s="659"/>
    </row>
    <row r="168" spans="14:16">
      <c r="N168" s="659"/>
      <c r="O168" s="659"/>
      <c r="P168" s="659"/>
    </row>
    <row r="169" spans="14:16">
      <c r="N169" s="659"/>
      <c r="O169" s="659"/>
      <c r="P169" s="659"/>
    </row>
    <row r="170" spans="14:16">
      <c r="N170" s="659"/>
      <c r="O170" s="659"/>
      <c r="P170" s="659"/>
    </row>
    <row r="171" spans="14:16">
      <c r="N171" s="659"/>
      <c r="O171" s="659"/>
      <c r="P171" s="659"/>
    </row>
    <row r="172" spans="14:16">
      <c r="N172" s="659"/>
      <c r="O172" s="659"/>
      <c r="P172" s="659"/>
    </row>
    <row r="173" spans="14:16">
      <c r="N173" s="659"/>
      <c r="O173" s="659"/>
      <c r="P173" s="659"/>
    </row>
    <row r="174" spans="14:16">
      <c r="N174" s="659"/>
      <c r="O174" s="659"/>
      <c r="P174" s="659"/>
    </row>
    <row r="175" spans="14:16">
      <c r="N175" s="659"/>
      <c r="O175" s="659"/>
      <c r="P175" s="659"/>
    </row>
    <row r="176" spans="14:16">
      <c r="N176" s="659"/>
      <c r="O176" s="659"/>
      <c r="P176" s="659"/>
    </row>
    <row r="177" spans="14:16">
      <c r="N177" s="659"/>
      <c r="O177" s="659"/>
      <c r="P177" s="659"/>
    </row>
    <row r="178" spans="14:16">
      <c r="N178" s="659"/>
      <c r="O178" s="659"/>
      <c r="P178" s="659"/>
    </row>
    <row r="179" spans="14:16">
      <c r="N179" s="659"/>
      <c r="O179" s="659"/>
      <c r="P179" s="659"/>
    </row>
    <row r="180" spans="14:16">
      <c r="N180" s="659"/>
      <c r="O180" s="659"/>
      <c r="P180" s="659"/>
    </row>
    <row r="181" spans="14:16">
      <c r="N181" s="659"/>
      <c r="O181" s="659"/>
      <c r="P181" s="659"/>
    </row>
    <row r="182" spans="14:16">
      <c r="N182" s="659"/>
      <c r="O182" s="659"/>
      <c r="P182" s="659"/>
    </row>
    <row r="183" spans="14:16">
      <c r="N183" s="659"/>
      <c r="O183" s="659"/>
      <c r="P183" s="659"/>
    </row>
    <row r="184" spans="14:16">
      <c r="N184" s="659"/>
      <c r="O184" s="659"/>
      <c r="P184" s="659"/>
    </row>
    <row r="185" spans="14:16">
      <c r="N185" s="659"/>
      <c r="O185" s="659"/>
      <c r="P185" s="659"/>
    </row>
    <row r="186" spans="14:16">
      <c r="N186" s="659"/>
      <c r="O186" s="659"/>
      <c r="P186" s="659"/>
    </row>
    <row r="187" spans="14:16">
      <c r="N187" s="659"/>
      <c r="O187" s="659"/>
      <c r="P187" s="659"/>
    </row>
    <row r="188" spans="14:16">
      <c r="N188" s="659"/>
      <c r="O188" s="659"/>
      <c r="P188" s="659"/>
    </row>
    <row r="189" spans="14:16">
      <c r="N189" s="659"/>
      <c r="O189" s="659"/>
      <c r="P189" s="659"/>
    </row>
    <row r="190" spans="14:16">
      <c r="N190" s="659"/>
      <c r="O190" s="659"/>
      <c r="P190" s="659"/>
    </row>
    <row r="191" spans="14:16">
      <c r="N191" s="659"/>
      <c r="O191" s="659"/>
      <c r="P191" s="659"/>
    </row>
    <row r="192" spans="14:16">
      <c r="N192" s="659"/>
      <c r="O192" s="659"/>
      <c r="P192" s="659"/>
    </row>
    <row r="193" spans="14:16">
      <c r="N193" s="659"/>
      <c r="O193" s="659"/>
      <c r="P193" s="659"/>
    </row>
    <row r="194" spans="14:16">
      <c r="N194" s="659"/>
      <c r="O194" s="659"/>
      <c r="P194" s="659"/>
    </row>
    <row r="195" spans="14:16">
      <c r="N195" s="659"/>
      <c r="O195" s="659"/>
      <c r="P195" s="659"/>
    </row>
    <row r="196" spans="14:16">
      <c r="N196" s="659"/>
      <c r="O196" s="659"/>
      <c r="P196" s="659"/>
    </row>
    <row r="197" spans="14:16">
      <c r="N197" s="659"/>
      <c r="O197" s="659"/>
      <c r="P197" s="659"/>
    </row>
    <row r="198" spans="14:16">
      <c r="N198" s="659"/>
      <c r="O198" s="659"/>
      <c r="P198" s="659"/>
    </row>
    <row r="199" spans="14:16">
      <c r="N199" s="659"/>
      <c r="O199" s="659"/>
      <c r="P199" s="659"/>
    </row>
    <row r="200" spans="14:16">
      <c r="N200" s="659"/>
      <c r="O200" s="659"/>
      <c r="P200" s="659"/>
    </row>
    <row r="201" spans="14:16">
      <c r="N201" s="659"/>
      <c r="O201" s="659"/>
      <c r="P201" s="659"/>
    </row>
    <row r="202" spans="14:16">
      <c r="N202" s="659"/>
      <c r="O202" s="659"/>
      <c r="P202" s="659"/>
    </row>
    <row r="203" spans="14:16">
      <c r="N203" s="659"/>
      <c r="O203" s="659"/>
      <c r="P203" s="659"/>
    </row>
    <row r="204" spans="14:16">
      <c r="N204" s="659"/>
      <c r="O204" s="659"/>
      <c r="P204" s="659"/>
    </row>
    <row r="205" spans="14:16">
      <c r="N205" s="659"/>
      <c r="O205" s="659"/>
      <c r="P205" s="659"/>
    </row>
    <row r="206" spans="14:16">
      <c r="N206" s="659"/>
      <c r="O206" s="659"/>
      <c r="P206" s="659"/>
    </row>
    <row r="207" spans="14:16">
      <c r="N207" s="659"/>
      <c r="O207" s="659"/>
      <c r="P207" s="659"/>
    </row>
    <row r="208" spans="14:16">
      <c r="N208" s="659"/>
      <c r="O208" s="659"/>
      <c r="P208" s="659"/>
    </row>
    <row r="209" spans="14:16">
      <c r="N209" s="659"/>
      <c r="O209" s="659"/>
      <c r="P209" s="659"/>
    </row>
    <row r="210" spans="14:16">
      <c r="N210" s="659"/>
      <c r="O210" s="659"/>
      <c r="P210" s="659"/>
    </row>
    <row r="211" spans="14:16">
      <c r="N211" s="659"/>
      <c r="O211" s="659"/>
      <c r="P211" s="659"/>
    </row>
    <row r="212" spans="14:16">
      <c r="N212" s="659"/>
      <c r="O212" s="659"/>
      <c r="P212" s="659"/>
    </row>
    <row r="213" spans="14:16">
      <c r="N213" s="659"/>
      <c r="O213" s="659"/>
      <c r="P213" s="659"/>
    </row>
    <row r="214" spans="14:16">
      <c r="N214" s="659"/>
      <c r="O214" s="659"/>
      <c r="P214" s="659"/>
    </row>
    <row r="215" spans="14:16">
      <c r="N215" s="659"/>
      <c r="O215" s="659"/>
      <c r="P215" s="659"/>
    </row>
    <row r="216" spans="14:16">
      <c r="N216" s="659"/>
      <c r="O216" s="659"/>
      <c r="P216" s="659"/>
    </row>
    <row r="217" spans="14:16">
      <c r="N217" s="659"/>
      <c r="O217" s="659"/>
      <c r="P217" s="659"/>
    </row>
    <row r="218" spans="14:16">
      <c r="N218" s="659"/>
      <c r="O218" s="659"/>
      <c r="P218" s="659"/>
    </row>
    <row r="219" spans="14:16">
      <c r="N219" s="659"/>
      <c r="O219" s="659"/>
      <c r="P219" s="659"/>
    </row>
    <row r="220" spans="14:16">
      <c r="N220" s="659"/>
      <c r="O220" s="659"/>
      <c r="P220" s="659"/>
    </row>
    <row r="221" spans="14:16">
      <c r="N221" s="659"/>
      <c r="O221" s="659"/>
      <c r="P221" s="659"/>
    </row>
    <row r="222" spans="14:16">
      <c r="N222" s="659"/>
      <c r="O222" s="659"/>
      <c r="P222" s="659"/>
    </row>
    <row r="223" spans="14:16">
      <c r="N223" s="659"/>
      <c r="O223" s="659"/>
      <c r="P223" s="659"/>
    </row>
    <row r="224" spans="14:16">
      <c r="N224" s="659"/>
      <c r="O224" s="659"/>
      <c r="P224" s="659"/>
    </row>
    <row r="225" spans="14:16">
      <c r="N225" s="659"/>
      <c r="O225" s="659"/>
      <c r="P225" s="659"/>
    </row>
    <row r="226" spans="14:16">
      <c r="N226" s="659"/>
      <c r="O226" s="659"/>
      <c r="P226" s="659"/>
    </row>
    <row r="227" spans="14:16">
      <c r="N227" s="659"/>
      <c r="O227" s="659"/>
      <c r="P227" s="659"/>
    </row>
    <row r="228" spans="14:16">
      <c r="N228" s="659"/>
      <c r="O228" s="659"/>
      <c r="P228" s="659"/>
    </row>
    <row r="229" spans="14:16">
      <c r="N229" s="659"/>
      <c r="O229" s="659"/>
      <c r="P229" s="659"/>
    </row>
    <row r="230" spans="14:16">
      <c r="N230" s="659"/>
      <c r="O230" s="659"/>
      <c r="P230" s="659"/>
    </row>
    <row r="231" spans="14:16">
      <c r="N231" s="659"/>
      <c r="O231" s="659"/>
      <c r="P231" s="659"/>
    </row>
    <row r="232" spans="14:16">
      <c r="N232" s="659"/>
      <c r="O232" s="659"/>
      <c r="P232" s="659"/>
    </row>
    <row r="233" spans="14:16">
      <c r="N233" s="659"/>
      <c r="O233" s="659"/>
      <c r="P233" s="659"/>
    </row>
    <row r="234" spans="14:16">
      <c r="N234" s="659"/>
      <c r="O234" s="659"/>
      <c r="P234" s="659"/>
    </row>
    <row r="235" spans="14:16">
      <c r="N235" s="659"/>
      <c r="O235" s="659"/>
      <c r="P235" s="659"/>
    </row>
    <row r="236" spans="14:16">
      <c r="N236" s="659"/>
      <c r="O236" s="659"/>
      <c r="P236" s="659"/>
    </row>
    <row r="237" spans="14:16">
      <c r="N237" s="659"/>
      <c r="O237" s="659"/>
      <c r="P237" s="659"/>
    </row>
    <row r="238" spans="14:16">
      <c r="N238" s="659"/>
      <c r="O238" s="659"/>
      <c r="P238" s="659"/>
    </row>
    <row r="239" spans="14:16">
      <c r="N239" s="659"/>
      <c r="O239" s="659"/>
      <c r="P239" s="659"/>
    </row>
    <row r="240" spans="14:16">
      <c r="N240" s="659"/>
      <c r="O240" s="659"/>
      <c r="P240" s="659"/>
    </row>
    <row r="241" spans="14:16">
      <c r="N241" s="659"/>
      <c r="O241" s="659"/>
      <c r="P241" s="659"/>
    </row>
    <row r="242" spans="14:16">
      <c r="N242" s="659"/>
      <c r="O242" s="659"/>
      <c r="P242" s="659"/>
    </row>
    <row r="243" spans="14:16">
      <c r="N243" s="659"/>
      <c r="O243" s="659"/>
      <c r="P243" s="659"/>
    </row>
    <row r="244" spans="14:16">
      <c r="N244" s="659"/>
      <c r="O244" s="659"/>
      <c r="P244" s="659"/>
    </row>
    <row r="245" spans="14:16">
      <c r="N245" s="659"/>
      <c r="O245" s="659"/>
      <c r="P245" s="659"/>
    </row>
    <row r="246" spans="14:16">
      <c r="N246" s="659"/>
      <c r="O246" s="659"/>
      <c r="P246" s="659"/>
    </row>
    <row r="247" spans="14:16">
      <c r="N247" s="659"/>
      <c r="O247" s="659"/>
      <c r="P247" s="659"/>
    </row>
    <row r="248" spans="14:16">
      <c r="N248" s="659"/>
      <c r="O248" s="659"/>
      <c r="P248" s="659"/>
    </row>
    <row r="249" spans="14:16">
      <c r="N249" s="659"/>
      <c r="O249" s="659"/>
      <c r="P249" s="659"/>
    </row>
    <row r="250" spans="14:16">
      <c r="N250" s="659"/>
      <c r="O250" s="659"/>
      <c r="P250" s="659"/>
    </row>
    <row r="251" spans="14:16">
      <c r="N251" s="659"/>
      <c r="O251" s="659"/>
      <c r="P251" s="659"/>
    </row>
    <row r="252" spans="14:16">
      <c r="N252" s="659"/>
      <c r="O252" s="659"/>
      <c r="P252" s="659"/>
    </row>
    <row r="253" spans="14:16">
      <c r="N253" s="659"/>
      <c r="O253" s="659"/>
      <c r="P253" s="659"/>
    </row>
    <row r="254" spans="14:16">
      <c r="N254" s="659"/>
      <c r="O254" s="659"/>
      <c r="P254" s="659"/>
    </row>
    <row r="255" spans="14:16">
      <c r="N255" s="659"/>
      <c r="O255" s="659"/>
      <c r="P255" s="659"/>
    </row>
    <row r="256" spans="14:16">
      <c r="N256" s="659"/>
      <c r="O256" s="659"/>
      <c r="P256" s="659"/>
    </row>
    <row r="257" spans="14:16">
      <c r="N257" s="659"/>
      <c r="O257" s="659"/>
      <c r="P257" s="659"/>
    </row>
    <row r="258" spans="14:16">
      <c r="N258" s="659"/>
      <c r="O258" s="659"/>
      <c r="P258" s="659"/>
    </row>
    <row r="259" spans="14:16">
      <c r="N259" s="659"/>
      <c r="O259" s="659"/>
      <c r="P259" s="659"/>
    </row>
    <row r="260" spans="14:16">
      <c r="N260" s="659"/>
      <c r="O260" s="659"/>
      <c r="P260" s="659"/>
    </row>
    <row r="261" spans="14:16">
      <c r="N261" s="659"/>
      <c r="O261" s="659"/>
      <c r="P261" s="659"/>
    </row>
    <row r="262" spans="14:16">
      <c r="N262" s="659"/>
      <c r="O262" s="659"/>
      <c r="P262" s="659"/>
    </row>
    <row r="263" spans="14:16">
      <c r="N263" s="659"/>
      <c r="O263" s="659"/>
      <c r="P263" s="659"/>
    </row>
    <row r="264" spans="14:16">
      <c r="N264" s="659"/>
      <c r="O264" s="659"/>
      <c r="P264" s="659"/>
    </row>
    <row r="265" spans="14:16">
      <c r="N265" s="659"/>
      <c r="O265" s="659"/>
      <c r="P265" s="659"/>
    </row>
    <row r="266" spans="14:16">
      <c r="N266" s="659"/>
      <c r="O266" s="659"/>
      <c r="P266" s="659"/>
    </row>
    <row r="267" spans="14:16">
      <c r="N267" s="659"/>
      <c r="O267" s="659"/>
      <c r="P267" s="659"/>
    </row>
    <row r="268" spans="14:16">
      <c r="N268" s="659"/>
      <c r="O268" s="659"/>
      <c r="P268" s="659"/>
    </row>
    <row r="269" spans="14:16">
      <c r="N269" s="659"/>
      <c r="O269" s="659"/>
      <c r="P269" s="659"/>
    </row>
    <row r="270" spans="14:16">
      <c r="N270" s="659"/>
      <c r="O270" s="659"/>
      <c r="P270" s="659"/>
    </row>
    <row r="271" spans="14:16">
      <c r="N271" s="659"/>
      <c r="O271" s="659"/>
      <c r="P271" s="659"/>
    </row>
    <row r="272" spans="14:16">
      <c r="N272" s="659"/>
      <c r="O272" s="659"/>
      <c r="P272" s="659"/>
    </row>
    <row r="273" spans="14:16">
      <c r="N273" s="659"/>
      <c r="O273" s="659"/>
      <c r="P273" s="659"/>
    </row>
    <row r="274" spans="14:16">
      <c r="N274" s="659"/>
      <c r="O274" s="659"/>
      <c r="P274" s="659"/>
    </row>
    <row r="275" spans="14:16">
      <c r="N275" s="659"/>
      <c r="O275" s="659"/>
      <c r="P275" s="659"/>
    </row>
    <row r="276" spans="14:16">
      <c r="N276" s="659"/>
      <c r="O276" s="659"/>
      <c r="P276" s="659"/>
    </row>
    <row r="277" spans="14:16">
      <c r="N277" s="659"/>
      <c r="O277" s="659"/>
      <c r="P277" s="659"/>
    </row>
    <row r="278" spans="14:16">
      <c r="N278" s="659"/>
      <c r="O278" s="659"/>
      <c r="P278" s="659"/>
    </row>
    <row r="279" spans="14:16">
      <c r="N279" s="659"/>
      <c r="O279" s="659"/>
      <c r="P279" s="659"/>
    </row>
    <row r="280" spans="14:16">
      <c r="N280" s="659"/>
      <c r="O280" s="659"/>
      <c r="P280" s="659"/>
    </row>
    <row r="281" spans="14:16">
      <c r="N281" s="659"/>
      <c r="O281" s="659"/>
      <c r="P281" s="659"/>
    </row>
    <row r="282" spans="14:16">
      <c r="N282" s="659"/>
      <c r="O282" s="659"/>
      <c r="P282" s="659"/>
    </row>
    <row r="283" spans="14:16">
      <c r="N283" s="659"/>
      <c r="O283" s="659"/>
      <c r="P283" s="659"/>
    </row>
    <row r="284" spans="14:16">
      <c r="N284" s="659"/>
      <c r="O284" s="659"/>
      <c r="P284" s="659"/>
    </row>
    <row r="285" spans="14:16">
      <c r="N285" s="659"/>
      <c r="O285" s="659"/>
      <c r="P285" s="659"/>
    </row>
    <row r="286" spans="14:16">
      <c r="N286" s="659"/>
      <c r="O286" s="659"/>
      <c r="P286" s="659"/>
    </row>
    <row r="287" spans="14:16">
      <c r="N287" s="659"/>
      <c r="O287" s="659"/>
      <c r="P287" s="659"/>
    </row>
    <row r="288" spans="14:16">
      <c r="N288" s="659"/>
      <c r="O288" s="659"/>
      <c r="P288" s="659"/>
    </row>
    <row r="289" spans="14:16">
      <c r="N289" s="659"/>
      <c r="O289" s="659"/>
      <c r="P289" s="659"/>
    </row>
    <row r="290" spans="14:16">
      <c r="N290" s="659"/>
      <c r="O290" s="659"/>
      <c r="P290" s="659"/>
    </row>
    <row r="291" spans="14:16">
      <c r="N291" s="659"/>
      <c r="O291" s="659"/>
      <c r="P291" s="659"/>
    </row>
    <row r="292" spans="14:16">
      <c r="N292" s="659"/>
      <c r="O292" s="659"/>
      <c r="P292" s="659"/>
    </row>
    <row r="293" spans="14:16">
      <c r="N293" s="659"/>
      <c r="O293" s="659"/>
      <c r="P293" s="659"/>
    </row>
    <row r="294" spans="14:16">
      <c r="N294" s="659"/>
      <c r="O294" s="659"/>
      <c r="P294" s="659"/>
    </row>
    <row r="295" spans="14:16">
      <c r="N295" s="659"/>
      <c r="O295" s="659"/>
      <c r="P295" s="659"/>
    </row>
    <row r="296" spans="14:16">
      <c r="N296" s="659"/>
      <c r="O296" s="659"/>
      <c r="P296" s="659"/>
    </row>
    <row r="297" spans="14:16">
      <c r="N297" s="659"/>
      <c r="O297" s="659"/>
      <c r="P297" s="659"/>
    </row>
    <row r="298" spans="14:16">
      <c r="N298" s="659"/>
      <c r="O298" s="659"/>
      <c r="P298" s="659"/>
    </row>
    <row r="299" spans="14:16">
      <c r="N299" s="659"/>
      <c r="O299" s="659"/>
      <c r="P299" s="659"/>
    </row>
    <row r="300" spans="14:16">
      <c r="N300" s="659"/>
      <c r="O300" s="659"/>
      <c r="P300" s="659"/>
    </row>
    <row r="301" spans="14:16">
      <c r="N301" s="659"/>
      <c r="O301" s="659"/>
      <c r="P301" s="659"/>
    </row>
    <row r="302" spans="14:16">
      <c r="N302" s="659"/>
      <c r="O302" s="659"/>
      <c r="P302" s="659"/>
    </row>
    <row r="303" spans="14:16">
      <c r="N303" s="659"/>
      <c r="O303" s="659"/>
      <c r="P303" s="659"/>
    </row>
    <row r="304" spans="14:16">
      <c r="N304" s="659"/>
      <c r="O304" s="659"/>
      <c r="P304" s="659"/>
    </row>
    <row r="305" spans="14:16">
      <c r="N305" s="659"/>
      <c r="O305" s="659"/>
      <c r="P305" s="659"/>
    </row>
    <row r="306" spans="14:16">
      <c r="N306" s="659"/>
      <c r="O306" s="659"/>
      <c r="P306" s="659"/>
    </row>
    <row r="307" spans="14:16">
      <c r="N307" s="659"/>
      <c r="O307" s="659"/>
      <c r="P307" s="659"/>
    </row>
    <row r="308" spans="14:16">
      <c r="N308" s="659"/>
      <c r="O308" s="659"/>
      <c r="P308" s="659"/>
    </row>
    <row r="309" spans="14:16">
      <c r="N309" s="659"/>
      <c r="O309" s="659"/>
      <c r="P309" s="659"/>
    </row>
    <row r="310" spans="14:16">
      <c r="N310" s="659"/>
      <c r="O310" s="659"/>
      <c r="P310" s="659"/>
    </row>
    <row r="311" spans="14:16">
      <c r="N311" s="659"/>
      <c r="O311" s="659"/>
      <c r="P311" s="659"/>
    </row>
    <row r="312" spans="14:16">
      <c r="N312" s="659"/>
      <c r="O312" s="659"/>
      <c r="P312" s="659"/>
    </row>
    <row r="313" spans="14:16">
      <c r="N313" s="659"/>
      <c r="O313" s="659"/>
      <c r="P313" s="659"/>
    </row>
    <row r="314" spans="14:16">
      <c r="N314" s="659"/>
      <c r="O314" s="659"/>
      <c r="P314" s="659"/>
    </row>
    <row r="315" spans="14:16">
      <c r="N315" s="659"/>
      <c r="O315" s="659"/>
      <c r="P315" s="659"/>
    </row>
    <row r="316" spans="14:16">
      <c r="N316" s="659"/>
      <c r="O316" s="659"/>
      <c r="P316" s="659"/>
    </row>
    <row r="317" spans="14:16">
      <c r="N317" s="659"/>
      <c r="O317" s="659"/>
      <c r="P317" s="659"/>
    </row>
    <row r="318" spans="14:16">
      <c r="N318" s="659"/>
      <c r="O318" s="659"/>
      <c r="P318" s="659"/>
    </row>
    <row r="319" spans="14:16">
      <c r="N319" s="659"/>
      <c r="O319" s="659"/>
      <c r="P319" s="659"/>
    </row>
    <row r="320" spans="14:16">
      <c r="N320" s="659"/>
      <c r="O320" s="659"/>
      <c r="P320" s="659"/>
    </row>
    <row r="321" spans="14:16">
      <c r="N321" s="659"/>
      <c r="O321" s="659"/>
      <c r="P321" s="659"/>
    </row>
    <row r="322" spans="14:16">
      <c r="N322" s="659"/>
      <c r="O322" s="659"/>
      <c r="P322" s="659"/>
    </row>
    <row r="323" spans="14:16">
      <c r="N323" s="659"/>
      <c r="O323" s="659"/>
      <c r="P323" s="659"/>
    </row>
    <row r="324" spans="14:16">
      <c r="N324" s="659"/>
      <c r="O324" s="659"/>
      <c r="P324" s="659"/>
    </row>
    <row r="325" spans="14:16">
      <c r="N325" s="659"/>
      <c r="O325" s="659"/>
      <c r="P325" s="659"/>
    </row>
    <row r="326" spans="14:16">
      <c r="N326" s="659"/>
      <c r="O326" s="659"/>
      <c r="P326" s="659"/>
    </row>
    <row r="327" spans="14:16">
      <c r="N327" s="659"/>
      <c r="O327" s="659"/>
      <c r="P327" s="659"/>
    </row>
    <row r="328" spans="14:16">
      <c r="N328" s="659"/>
      <c r="O328" s="659"/>
      <c r="P328" s="659"/>
    </row>
    <row r="329" spans="14:16">
      <c r="N329" s="659"/>
      <c r="O329" s="659"/>
      <c r="P329" s="659"/>
    </row>
    <row r="330" spans="14:16">
      <c r="N330" s="659"/>
      <c r="O330" s="659"/>
      <c r="P330" s="659"/>
    </row>
    <row r="331" spans="14:16">
      <c r="N331" s="659"/>
      <c r="O331" s="659"/>
      <c r="P331" s="659"/>
    </row>
    <row r="332" spans="14:16">
      <c r="N332" s="659"/>
      <c r="O332" s="659"/>
      <c r="P332" s="659"/>
    </row>
    <row r="333" spans="14:16">
      <c r="N333" s="659"/>
      <c r="O333" s="659"/>
      <c r="P333" s="659"/>
    </row>
    <row r="334" spans="14:16">
      <c r="N334" s="659"/>
      <c r="O334" s="659"/>
      <c r="P334" s="659"/>
    </row>
    <row r="335" spans="14:16">
      <c r="N335" s="659"/>
      <c r="O335" s="659"/>
      <c r="P335" s="659"/>
    </row>
    <row r="336" spans="14:16">
      <c r="N336" s="659"/>
      <c r="O336" s="659"/>
      <c r="P336" s="659"/>
    </row>
    <row r="337" spans="14:16">
      <c r="N337" s="659"/>
      <c r="O337" s="659"/>
      <c r="P337" s="659"/>
    </row>
    <row r="338" spans="14:16">
      <c r="N338" s="659"/>
      <c r="O338" s="659"/>
      <c r="P338" s="659"/>
    </row>
    <row r="339" spans="14:16">
      <c r="N339" s="659"/>
      <c r="O339" s="659"/>
      <c r="P339" s="659"/>
    </row>
    <row r="340" spans="14:16">
      <c r="N340" s="659"/>
      <c r="O340" s="659"/>
      <c r="P340" s="659"/>
    </row>
    <row r="341" spans="14:16">
      <c r="N341" s="659"/>
      <c r="O341" s="659"/>
      <c r="P341" s="659"/>
    </row>
    <row r="342" spans="14:16">
      <c r="N342" s="659"/>
      <c r="O342" s="659"/>
      <c r="P342" s="659"/>
    </row>
    <row r="343" spans="14:16">
      <c r="N343" s="659"/>
      <c r="O343" s="659"/>
      <c r="P343" s="659"/>
    </row>
    <row r="344" spans="14:16">
      <c r="N344" s="659"/>
      <c r="O344" s="659"/>
      <c r="P344" s="659"/>
    </row>
    <row r="345" spans="14:16">
      <c r="N345" s="659"/>
      <c r="O345" s="659"/>
      <c r="P345" s="659"/>
    </row>
    <row r="346" spans="14:16">
      <c r="N346" s="659"/>
      <c r="O346" s="659"/>
      <c r="P346" s="659"/>
    </row>
    <row r="347" spans="14:16">
      <c r="N347" s="659"/>
      <c r="O347" s="659"/>
      <c r="P347" s="659"/>
    </row>
    <row r="348" spans="14:16">
      <c r="N348" s="659"/>
      <c r="O348" s="659"/>
      <c r="P348" s="659"/>
    </row>
    <row r="349" spans="14:16">
      <c r="N349" s="659"/>
      <c r="O349" s="659"/>
      <c r="P349" s="659"/>
    </row>
    <row r="350" spans="14:16">
      <c r="N350" s="659"/>
      <c r="O350" s="659"/>
      <c r="P350" s="659"/>
    </row>
    <row r="351" spans="14:16">
      <c r="N351" s="659"/>
      <c r="O351" s="659"/>
      <c r="P351" s="659"/>
    </row>
    <row r="352" spans="14:16">
      <c r="N352" s="659"/>
      <c r="O352" s="659"/>
      <c r="P352" s="659"/>
    </row>
    <row r="353" spans="14:16">
      <c r="N353" s="659"/>
      <c r="O353" s="659"/>
      <c r="P353" s="659"/>
    </row>
    <row r="354" spans="14:16">
      <c r="N354" s="659"/>
      <c r="O354" s="659"/>
      <c r="P354" s="659"/>
    </row>
    <row r="355" spans="14:16">
      <c r="N355" s="659"/>
      <c r="O355" s="659"/>
      <c r="P355" s="659"/>
    </row>
    <row r="356" spans="14:16">
      <c r="N356" s="659"/>
      <c r="O356" s="659"/>
      <c r="P356" s="659"/>
    </row>
    <row r="357" spans="14:16">
      <c r="N357" s="659"/>
      <c r="O357" s="659"/>
      <c r="P357" s="659"/>
    </row>
    <row r="358" spans="14:16">
      <c r="N358" s="659"/>
      <c r="O358" s="659"/>
      <c r="P358" s="659"/>
    </row>
    <row r="359" spans="14:16">
      <c r="N359" s="659"/>
      <c r="O359" s="659"/>
      <c r="P359" s="659"/>
    </row>
    <row r="360" spans="14:16">
      <c r="N360" s="659"/>
      <c r="O360" s="659"/>
      <c r="P360" s="659"/>
    </row>
    <row r="361" spans="14:16">
      <c r="N361" s="659"/>
      <c r="O361" s="659"/>
      <c r="P361" s="659"/>
    </row>
    <row r="362" spans="14:16">
      <c r="N362" s="659"/>
      <c r="O362" s="659"/>
      <c r="P362" s="659"/>
    </row>
    <row r="363" spans="14:16">
      <c r="N363" s="659"/>
      <c r="O363" s="659"/>
      <c r="P363" s="659"/>
    </row>
    <row r="364" spans="14:16">
      <c r="N364" s="659"/>
      <c r="O364" s="659"/>
      <c r="P364" s="659"/>
    </row>
    <row r="365" spans="14:16">
      <c r="N365" s="659"/>
      <c r="O365" s="659"/>
      <c r="P365" s="659"/>
    </row>
    <row r="366" spans="14:16">
      <c r="N366" s="659"/>
      <c r="O366" s="659"/>
      <c r="P366" s="659"/>
    </row>
    <row r="367" spans="14:16">
      <c r="N367" s="659"/>
      <c r="O367" s="659"/>
      <c r="P367" s="659"/>
    </row>
    <row r="368" spans="14:16">
      <c r="N368" s="659"/>
      <c r="O368" s="659"/>
      <c r="P368" s="659"/>
    </row>
    <row r="369" spans="14:16">
      <c r="N369" s="659"/>
      <c r="O369" s="659"/>
      <c r="P369" s="659"/>
    </row>
    <row r="370" spans="14:16">
      <c r="N370" s="659"/>
      <c r="O370" s="659"/>
      <c r="P370" s="659"/>
    </row>
    <row r="371" spans="14:16">
      <c r="N371" s="659"/>
      <c r="O371" s="659"/>
      <c r="P371" s="659"/>
    </row>
    <row r="372" spans="14:16">
      <c r="N372" s="659"/>
      <c r="O372" s="659"/>
      <c r="P372" s="659"/>
    </row>
    <row r="373" spans="14:16">
      <c r="N373" s="659"/>
      <c r="O373" s="659"/>
      <c r="P373" s="659"/>
    </row>
    <row r="374" spans="14:16">
      <c r="N374" s="659"/>
      <c r="O374" s="659"/>
      <c r="P374" s="659"/>
    </row>
    <row r="375" spans="14:16">
      <c r="N375" s="659"/>
      <c r="O375" s="659"/>
      <c r="P375" s="659"/>
    </row>
    <row r="376" spans="14:16">
      <c r="N376" s="659"/>
      <c r="O376" s="659"/>
      <c r="P376" s="659"/>
    </row>
    <row r="377" spans="14:16">
      <c r="N377" s="659"/>
      <c r="O377" s="659"/>
      <c r="P377" s="659"/>
    </row>
    <row r="378" spans="14:16">
      <c r="N378" s="659"/>
      <c r="O378" s="659"/>
      <c r="P378" s="659"/>
    </row>
    <row r="379" spans="14:16">
      <c r="N379" s="659"/>
      <c r="O379" s="659"/>
      <c r="P379" s="659"/>
    </row>
    <row r="380" spans="14:16">
      <c r="N380" s="659"/>
      <c r="O380" s="659"/>
      <c r="P380" s="659"/>
    </row>
    <row r="381" spans="14:16">
      <c r="N381" s="659"/>
      <c r="O381" s="659"/>
      <c r="P381" s="659"/>
    </row>
    <row r="382" spans="14:16">
      <c r="N382" s="659"/>
      <c r="O382" s="659"/>
      <c r="P382" s="659"/>
    </row>
    <row r="383" spans="14:16">
      <c r="N383" s="659"/>
      <c r="O383" s="659"/>
      <c r="P383" s="659"/>
    </row>
    <row r="384" spans="14:16">
      <c r="N384" s="659"/>
      <c r="O384" s="659"/>
      <c r="P384" s="659"/>
    </row>
    <row r="385" spans="14:16">
      <c r="N385" s="659"/>
      <c r="O385" s="659"/>
      <c r="P385" s="659"/>
    </row>
    <row r="386" spans="14:16">
      <c r="N386" s="659"/>
      <c r="O386" s="659"/>
      <c r="P386" s="659"/>
    </row>
    <row r="387" spans="14:16">
      <c r="N387" s="659"/>
      <c r="O387" s="659"/>
      <c r="P387" s="659"/>
    </row>
    <row r="388" spans="14:16">
      <c r="N388" s="659"/>
      <c r="O388" s="659"/>
      <c r="P388" s="659"/>
    </row>
    <row r="389" spans="14:16">
      <c r="N389" s="659"/>
      <c r="O389" s="659"/>
      <c r="P389" s="659"/>
    </row>
    <row r="390" spans="14:16">
      <c r="N390" s="659"/>
      <c r="O390" s="659"/>
      <c r="P390" s="659"/>
    </row>
    <row r="391" spans="14:16">
      <c r="N391" s="659"/>
      <c r="O391" s="659"/>
      <c r="P391" s="659"/>
    </row>
    <row r="392" spans="14:16">
      <c r="N392" s="659"/>
      <c r="O392" s="659"/>
      <c r="P392" s="659"/>
    </row>
    <row r="393" spans="14:16">
      <c r="N393" s="659"/>
      <c r="O393" s="659"/>
      <c r="P393" s="659"/>
    </row>
    <row r="394" spans="14:16">
      <c r="N394" s="659"/>
      <c r="O394" s="659"/>
      <c r="P394" s="659"/>
    </row>
    <row r="395" spans="14:16">
      <c r="N395" s="659"/>
      <c r="O395" s="659"/>
      <c r="P395" s="659"/>
    </row>
    <row r="396" spans="14:16">
      <c r="N396" s="659"/>
      <c r="O396" s="659"/>
      <c r="P396" s="659"/>
    </row>
    <row r="397" spans="14:16">
      <c r="N397" s="659"/>
      <c r="O397" s="659"/>
      <c r="P397" s="659"/>
    </row>
    <row r="398" spans="14:16">
      <c r="N398" s="659"/>
      <c r="O398" s="659"/>
      <c r="P398" s="659"/>
    </row>
    <row r="399" spans="14:16">
      <c r="N399" s="659"/>
      <c r="O399" s="659"/>
      <c r="P399" s="659"/>
    </row>
    <row r="400" spans="14:16">
      <c r="N400" s="659"/>
      <c r="O400" s="659"/>
      <c r="P400" s="659"/>
    </row>
    <row r="401" spans="14:16">
      <c r="N401" s="659"/>
      <c r="O401" s="659"/>
      <c r="P401" s="659"/>
    </row>
    <row r="402" spans="14:16">
      <c r="N402" s="659"/>
      <c r="O402" s="659"/>
      <c r="P402" s="659"/>
    </row>
    <row r="403" spans="14:16">
      <c r="N403" s="659"/>
      <c r="O403" s="659"/>
      <c r="P403" s="659"/>
    </row>
    <row r="404" spans="14:16">
      <c r="N404" s="659"/>
      <c r="O404" s="659"/>
      <c r="P404" s="659"/>
    </row>
    <row r="405" spans="14:16">
      <c r="N405" s="659"/>
      <c r="O405" s="659"/>
      <c r="P405" s="659"/>
    </row>
    <row r="406" spans="14:16">
      <c r="N406" s="659"/>
      <c r="O406" s="659"/>
      <c r="P406" s="659"/>
    </row>
    <row r="407" spans="14:16">
      <c r="N407" s="659"/>
      <c r="O407" s="659"/>
      <c r="P407" s="659"/>
    </row>
    <row r="408" spans="14:16">
      <c r="N408" s="659"/>
      <c r="O408" s="659"/>
      <c r="P408" s="659"/>
    </row>
    <row r="409" spans="14:16">
      <c r="N409" s="659"/>
      <c r="O409" s="659"/>
      <c r="P409" s="659"/>
    </row>
    <row r="410" spans="14:16">
      <c r="N410" s="659"/>
      <c r="O410" s="659"/>
      <c r="P410" s="659"/>
    </row>
    <row r="411" spans="14:16">
      <c r="N411" s="659"/>
      <c r="O411" s="659"/>
      <c r="P411" s="659"/>
    </row>
    <row r="412" spans="14:16">
      <c r="N412" s="659"/>
      <c r="O412" s="659"/>
      <c r="P412" s="659"/>
    </row>
    <row r="413" spans="14:16">
      <c r="N413" s="659"/>
      <c r="O413" s="659"/>
      <c r="P413" s="659"/>
    </row>
    <row r="414" spans="14:16">
      <c r="N414" s="659"/>
      <c r="O414" s="659"/>
      <c r="P414" s="659"/>
    </row>
    <row r="415" spans="14:16">
      <c r="N415" s="659"/>
      <c r="O415" s="659"/>
      <c r="P415" s="659"/>
    </row>
    <row r="416" spans="14:16">
      <c r="N416" s="659"/>
      <c r="O416" s="659"/>
      <c r="P416" s="659"/>
    </row>
    <row r="417" spans="14:16">
      <c r="N417" s="659"/>
      <c r="O417" s="659"/>
      <c r="P417" s="659"/>
    </row>
    <row r="418" spans="14:16">
      <c r="N418" s="659"/>
      <c r="O418" s="659"/>
      <c r="P418" s="659"/>
    </row>
    <row r="419" spans="14:16">
      <c r="N419" s="659"/>
      <c r="O419" s="659"/>
      <c r="P419" s="659"/>
    </row>
    <row r="420" spans="14:16">
      <c r="N420" s="659"/>
      <c r="O420" s="659"/>
      <c r="P420" s="659"/>
    </row>
    <row r="421" spans="14:16">
      <c r="N421" s="659"/>
      <c r="O421" s="659"/>
      <c r="P421" s="659"/>
    </row>
    <row r="422" spans="14:16">
      <c r="N422" s="659"/>
      <c r="O422" s="659"/>
      <c r="P422" s="659"/>
    </row>
    <row r="423" spans="14:16">
      <c r="N423" s="659"/>
      <c r="O423" s="659"/>
      <c r="P423" s="659"/>
    </row>
    <row r="424" spans="14:16">
      <c r="N424" s="659"/>
      <c r="O424" s="659"/>
      <c r="P424" s="659"/>
    </row>
    <row r="425" spans="14:16">
      <c r="N425" s="659"/>
      <c r="O425" s="659"/>
      <c r="P425" s="659"/>
    </row>
    <row r="426" spans="14:16">
      <c r="N426" s="659"/>
      <c r="O426" s="659"/>
      <c r="P426" s="659"/>
    </row>
    <row r="427" spans="14:16">
      <c r="N427" s="659"/>
      <c r="O427" s="659"/>
      <c r="P427" s="659"/>
    </row>
    <row r="428" spans="14:16">
      <c r="N428" s="659"/>
      <c r="O428" s="659"/>
      <c r="P428" s="659"/>
    </row>
    <row r="429" spans="14:16">
      <c r="N429" s="659"/>
      <c r="O429" s="659"/>
      <c r="P429" s="659"/>
    </row>
    <row r="430" spans="14:16">
      <c r="N430" s="659"/>
      <c r="O430" s="659"/>
      <c r="P430" s="659"/>
    </row>
    <row r="431" spans="14:16">
      <c r="N431" s="659"/>
      <c r="O431" s="659"/>
      <c r="P431" s="659"/>
    </row>
    <row r="432" spans="14:16">
      <c r="N432" s="659"/>
      <c r="O432" s="659"/>
      <c r="P432" s="659"/>
    </row>
    <row r="433" spans="14:16">
      <c r="N433" s="659"/>
      <c r="O433" s="659"/>
      <c r="P433" s="659"/>
    </row>
    <row r="434" spans="14:16">
      <c r="N434" s="659"/>
      <c r="O434" s="659"/>
      <c r="P434" s="659"/>
    </row>
    <row r="435" spans="14:16">
      <c r="N435" s="659"/>
      <c r="O435" s="659"/>
      <c r="P435" s="659"/>
    </row>
    <row r="436" spans="14:16">
      <c r="N436" s="659"/>
      <c r="O436" s="659"/>
      <c r="P436" s="659"/>
    </row>
    <row r="437" spans="14:16">
      <c r="N437" s="659"/>
      <c r="O437" s="659"/>
      <c r="P437" s="659"/>
    </row>
    <row r="438" spans="14:16">
      <c r="N438" s="659"/>
      <c r="O438" s="659"/>
      <c r="P438" s="659"/>
    </row>
    <row r="439" spans="14:16">
      <c r="N439" s="659"/>
      <c r="O439" s="659"/>
      <c r="P439" s="659"/>
    </row>
    <row r="440" spans="14:16">
      <c r="N440" s="659"/>
      <c r="O440" s="659"/>
      <c r="P440" s="659"/>
    </row>
    <row r="441" spans="14:16">
      <c r="N441" s="659"/>
      <c r="O441" s="659"/>
      <c r="P441" s="659"/>
    </row>
    <row r="442" spans="14:16">
      <c r="N442" s="659"/>
      <c r="O442" s="659"/>
      <c r="P442" s="659"/>
    </row>
    <row r="443" spans="14:16">
      <c r="N443" s="659"/>
      <c r="O443" s="659"/>
      <c r="P443" s="659"/>
    </row>
    <row r="444" spans="14:16">
      <c r="N444" s="659"/>
      <c r="O444" s="659"/>
      <c r="P444" s="659"/>
    </row>
    <row r="445" spans="14:16">
      <c r="N445" s="659"/>
      <c r="O445" s="659"/>
      <c r="P445" s="659"/>
    </row>
    <row r="446" spans="14:16">
      <c r="N446" s="659"/>
      <c r="O446" s="659"/>
      <c r="P446" s="659"/>
    </row>
    <row r="447" spans="14:16">
      <c r="N447" s="659"/>
      <c r="O447" s="659"/>
      <c r="P447" s="659"/>
    </row>
    <row r="448" spans="14:16">
      <c r="N448" s="659"/>
      <c r="O448" s="659"/>
      <c r="P448" s="659"/>
    </row>
    <row r="449" spans="14:16">
      <c r="N449" s="659"/>
      <c r="O449" s="659"/>
      <c r="P449" s="659"/>
    </row>
    <row r="450" spans="14:16">
      <c r="N450" s="659"/>
      <c r="O450" s="659"/>
      <c r="P450" s="659"/>
    </row>
    <row r="451" spans="14:16">
      <c r="N451" s="659"/>
      <c r="O451" s="659"/>
      <c r="P451" s="659"/>
    </row>
    <row r="452" spans="14:16">
      <c r="N452" s="659"/>
      <c r="O452" s="659"/>
      <c r="P452" s="659"/>
    </row>
    <row r="453" spans="14:16">
      <c r="N453" s="659"/>
      <c r="O453" s="659"/>
      <c r="P453" s="659"/>
    </row>
    <row r="454" spans="14:16">
      <c r="N454" s="659"/>
      <c r="O454" s="659"/>
      <c r="P454" s="659"/>
    </row>
    <row r="455" spans="14:16">
      <c r="N455" s="659"/>
      <c r="O455" s="659"/>
      <c r="P455" s="659"/>
    </row>
    <row r="456" spans="14:16">
      <c r="N456" s="659"/>
      <c r="O456" s="659"/>
      <c r="P456" s="659"/>
    </row>
    <row r="457" spans="14:16">
      <c r="N457" s="659"/>
      <c r="O457" s="659"/>
      <c r="P457" s="659"/>
    </row>
    <row r="458" spans="14:16">
      <c r="N458" s="659"/>
      <c r="O458" s="659"/>
      <c r="P458" s="659"/>
    </row>
    <row r="459" spans="14:16">
      <c r="N459" s="659"/>
      <c r="O459" s="659"/>
      <c r="P459" s="659"/>
    </row>
    <row r="460" spans="14:16">
      <c r="N460" s="659"/>
      <c r="O460" s="659"/>
      <c r="P460" s="659"/>
    </row>
    <row r="461" spans="14:16">
      <c r="N461" s="659"/>
      <c r="O461" s="659"/>
      <c r="P461" s="659"/>
    </row>
    <row r="462" spans="14:16">
      <c r="N462" s="659"/>
      <c r="O462" s="659"/>
      <c r="P462" s="659"/>
    </row>
    <row r="463" spans="14:16">
      <c r="N463" s="659"/>
      <c r="O463" s="659"/>
      <c r="P463" s="659"/>
    </row>
    <row r="464" spans="14:16">
      <c r="N464" s="659"/>
      <c r="O464" s="659"/>
      <c r="P464" s="659"/>
    </row>
    <row r="465" spans="14:16">
      <c r="N465" s="659"/>
      <c r="O465" s="659"/>
      <c r="P465" s="659"/>
    </row>
    <row r="466" spans="14:16">
      <c r="N466" s="659"/>
      <c r="O466" s="659"/>
      <c r="P466" s="659"/>
    </row>
    <row r="467" spans="14:16">
      <c r="N467" s="659"/>
      <c r="O467" s="659"/>
      <c r="P467" s="659"/>
    </row>
    <row r="468" spans="14:16">
      <c r="N468" s="659"/>
      <c r="O468" s="659"/>
      <c r="P468" s="659"/>
    </row>
    <row r="469" spans="14:16">
      <c r="N469" s="659"/>
      <c r="O469" s="659"/>
      <c r="P469" s="659"/>
    </row>
    <row r="470" spans="14:16">
      <c r="N470" s="659"/>
      <c r="O470" s="659"/>
      <c r="P470" s="659"/>
    </row>
    <row r="471" spans="14:16">
      <c r="N471" s="659"/>
      <c r="O471" s="659"/>
      <c r="P471" s="659"/>
    </row>
    <row r="472" spans="14:16">
      <c r="N472" s="659"/>
      <c r="O472" s="659"/>
      <c r="P472" s="659"/>
    </row>
    <row r="473" spans="14:16">
      <c r="N473" s="659"/>
      <c r="O473" s="659"/>
      <c r="P473" s="659"/>
    </row>
    <row r="474" spans="14:16">
      <c r="N474" s="659"/>
      <c r="O474" s="659"/>
      <c r="P474" s="659"/>
    </row>
    <row r="475" spans="14:16">
      <c r="N475" s="659"/>
      <c r="O475" s="659"/>
      <c r="P475" s="659"/>
    </row>
    <row r="476" spans="14:16">
      <c r="N476" s="659"/>
      <c r="O476" s="659"/>
      <c r="P476" s="659"/>
    </row>
    <row r="477" spans="14:16">
      <c r="N477" s="659"/>
      <c r="O477" s="659"/>
      <c r="P477" s="659"/>
    </row>
    <row r="478" spans="14:16">
      <c r="N478" s="659"/>
      <c r="O478" s="659"/>
      <c r="P478" s="659"/>
    </row>
    <row r="479" spans="14:16">
      <c r="N479" s="659"/>
      <c r="O479" s="659"/>
      <c r="P479" s="659"/>
    </row>
    <row r="480" spans="14:16">
      <c r="N480" s="659"/>
      <c r="O480" s="659"/>
      <c r="P480" s="659"/>
    </row>
    <row r="481" spans="14:16">
      <c r="N481" s="659"/>
      <c r="O481" s="659"/>
      <c r="P481" s="659"/>
    </row>
    <row r="482" spans="14:16">
      <c r="N482" s="659"/>
      <c r="O482" s="659"/>
      <c r="P482" s="659"/>
    </row>
    <row r="483" spans="14:16">
      <c r="N483" s="659"/>
      <c r="O483" s="659"/>
      <c r="P483" s="659"/>
    </row>
    <row r="484" spans="14:16">
      <c r="N484" s="659"/>
      <c r="O484" s="659"/>
      <c r="P484" s="659"/>
    </row>
    <row r="485" spans="14:16">
      <c r="N485" s="659"/>
      <c r="O485" s="659"/>
      <c r="P485" s="659"/>
    </row>
    <row r="486" spans="14:16">
      <c r="N486" s="659"/>
      <c r="O486" s="659"/>
      <c r="P486" s="659"/>
    </row>
    <row r="487" spans="14:16">
      <c r="N487" s="659"/>
      <c r="O487" s="659"/>
      <c r="P487" s="659"/>
    </row>
    <row r="488" spans="14:16">
      <c r="N488" s="659"/>
      <c r="O488" s="659"/>
      <c r="P488" s="659"/>
    </row>
    <row r="489" spans="14:16">
      <c r="N489" s="659"/>
      <c r="O489" s="659"/>
      <c r="P489" s="659"/>
    </row>
    <row r="490" spans="14:16">
      <c r="N490" s="659"/>
      <c r="O490" s="659"/>
      <c r="P490" s="659"/>
    </row>
    <row r="491" spans="14:16">
      <c r="N491" s="659"/>
      <c r="O491" s="659"/>
      <c r="P491" s="659"/>
    </row>
    <row r="492" spans="14:16">
      <c r="N492" s="659"/>
      <c r="O492" s="659"/>
      <c r="P492" s="659"/>
    </row>
    <row r="493" spans="14:16">
      <c r="N493" s="659"/>
      <c r="O493" s="659"/>
      <c r="P493" s="659"/>
    </row>
    <row r="494" spans="14:16">
      <c r="N494" s="659"/>
      <c r="O494" s="659"/>
      <c r="P494" s="659"/>
    </row>
    <row r="495" spans="14:16">
      <c r="N495" s="659"/>
      <c r="O495" s="659"/>
      <c r="P495" s="659"/>
    </row>
    <row r="496" spans="14:16">
      <c r="N496" s="659"/>
      <c r="O496" s="659"/>
      <c r="P496" s="659"/>
    </row>
    <row r="497" spans="14:16">
      <c r="N497" s="659"/>
      <c r="O497" s="659"/>
      <c r="P497" s="659"/>
    </row>
    <row r="498" spans="14:16">
      <c r="N498" s="659"/>
      <c r="O498" s="659"/>
      <c r="P498" s="659"/>
    </row>
    <row r="499" spans="14:16">
      <c r="N499" s="659"/>
      <c r="O499" s="659"/>
      <c r="P499" s="659"/>
    </row>
    <row r="500" spans="14:16">
      <c r="N500" s="659"/>
      <c r="O500" s="659"/>
      <c r="P500" s="659"/>
    </row>
    <row r="501" spans="14:16">
      <c r="N501" s="659"/>
      <c r="O501" s="659"/>
      <c r="P501" s="659"/>
    </row>
    <row r="502" spans="14:16">
      <c r="N502" s="659"/>
      <c r="O502" s="659"/>
      <c r="P502" s="659"/>
    </row>
    <row r="503" spans="14:16">
      <c r="N503" s="659"/>
      <c r="O503" s="659"/>
      <c r="P503" s="659"/>
    </row>
    <row r="504" spans="14:16">
      <c r="N504" s="659"/>
      <c r="O504" s="659"/>
      <c r="P504" s="659"/>
    </row>
    <row r="505" spans="14:16">
      <c r="N505" s="659"/>
      <c r="O505" s="659"/>
      <c r="P505" s="659"/>
    </row>
    <row r="506" spans="14:16">
      <c r="N506" s="659"/>
      <c r="O506" s="659"/>
      <c r="P506" s="659"/>
    </row>
    <row r="507" spans="14:16">
      <c r="N507" s="659"/>
      <c r="O507" s="659"/>
      <c r="P507" s="659"/>
    </row>
    <row r="508" spans="14:16">
      <c r="N508" s="659"/>
      <c r="O508" s="659"/>
      <c r="P508" s="659"/>
    </row>
    <row r="509" spans="14:16">
      <c r="N509" s="659"/>
      <c r="O509" s="659"/>
      <c r="P509" s="659"/>
    </row>
    <row r="510" spans="14:16">
      <c r="N510" s="659"/>
      <c r="O510" s="659"/>
      <c r="P510" s="659"/>
    </row>
    <row r="511" spans="14:16">
      <c r="N511" s="659"/>
      <c r="O511" s="659"/>
      <c r="P511" s="659"/>
    </row>
    <row r="512" spans="14:16">
      <c r="N512" s="659"/>
      <c r="O512" s="659"/>
      <c r="P512" s="659"/>
    </row>
    <row r="513" spans="14:16">
      <c r="N513" s="659"/>
      <c r="O513" s="659"/>
      <c r="P513" s="659"/>
    </row>
    <row r="514" spans="14:16">
      <c r="N514" s="659"/>
      <c r="O514" s="659"/>
      <c r="P514" s="659"/>
    </row>
    <row r="515" spans="14:16">
      <c r="N515" s="659"/>
      <c r="O515" s="659"/>
      <c r="P515" s="659"/>
    </row>
    <row r="516" spans="14:16">
      <c r="N516" s="659"/>
      <c r="O516" s="659"/>
      <c r="P516" s="659"/>
    </row>
    <row r="517" spans="14:16">
      <c r="N517" s="659"/>
      <c r="O517" s="659"/>
      <c r="P517" s="659"/>
    </row>
    <row r="518" spans="14:16">
      <c r="N518" s="659"/>
      <c r="O518" s="659"/>
      <c r="P518" s="659"/>
    </row>
    <row r="519" spans="14:16">
      <c r="N519" s="659"/>
      <c r="O519" s="659"/>
      <c r="P519" s="659"/>
    </row>
    <row r="520" spans="14:16">
      <c r="N520" s="659"/>
      <c r="O520" s="659"/>
      <c r="P520" s="659"/>
    </row>
    <row r="521" spans="14:16">
      <c r="N521" s="659"/>
      <c r="O521" s="659"/>
      <c r="P521" s="659"/>
    </row>
    <row r="522" spans="14:16">
      <c r="N522" s="659"/>
      <c r="O522" s="659"/>
      <c r="P522" s="659"/>
    </row>
    <row r="523" spans="14:16">
      <c r="N523" s="659"/>
      <c r="O523" s="659"/>
      <c r="P523" s="659"/>
    </row>
    <row r="524" spans="14:16">
      <c r="N524" s="659"/>
      <c r="O524" s="659"/>
      <c r="P524" s="659"/>
    </row>
    <row r="525" spans="14:16">
      <c r="N525" s="659"/>
      <c r="O525" s="659"/>
      <c r="P525" s="659"/>
    </row>
    <row r="526" spans="14:16">
      <c r="N526" s="659"/>
      <c r="O526" s="659"/>
      <c r="P526" s="659"/>
    </row>
    <row r="527" spans="14:16">
      <c r="N527" s="659"/>
      <c r="O527" s="659"/>
      <c r="P527" s="659"/>
    </row>
    <row r="528" spans="14:16">
      <c r="N528" s="659"/>
      <c r="O528" s="659"/>
      <c r="P528" s="659"/>
    </row>
    <row r="529" spans="14:16">
      <c r="N529" s="659"/>
      <c r="O529" s="659"/>
      <c r="P529" s="659"/>
    </row>
    <row r="530" spans="14:16">
      <c r="N530" s="659"/>
      <c r="O530" s="659"/>
      <c r="P530" s="659"/>
    </row>
    <row r="531" spans="14:16">
      <c r="N531" s="659"/>
      <c r="O531" s="659"/>
      <c r="P531" s="659"/>
    </row>
    <row r="532" spans="14:16">
      <c r="N532" s="659"/>
      <c r="O532" s="659"/>
      <c r="P532" s="659"/>
    </row>
    <row r="533" spans="14:16">
      <c r="N533" s="659"/>
      <c r="O533" s="659"/>
      <c r="P533" s="659"/>
    </row>
    <row r="534" spans="14:16">
      <c r="N534" s="659"/>
      <c r="O534" s="659"/>
      <c r="P534" s="659"/>
    </row>
    <row r="535" spans="14:16">
      <c r="N535" s="659"/>
      <c r="O535" s="659"/>
      <c r="P535" s="659"/>
    </row>
    <row r="536" spans="14:16">
      <c r="N536" s="659"/>
      <c r="O536" s="659"/>
      <c r="P536" s="659"/>
    </row>
    <row r="537" spans="14:16">
      <c r="N537" s="659"/>
      <c r="O537" s="659"/>
      <c r="P537" s="659"/>
    </row>
    <row r="538" spans="14:16">
      <c r="N538" s="659"/>
      <c r="O538" s="659"/>
      <c r="P538" s="659"/>
    </row>
    <row r="539" spans="14:16">
      <c r="N539" s="659"/>
      <c r="O539" s="659"/>
      <c r="P539" s="659"/>
    </row>
    <row r="540" spans="14:16">
      <c r="N540" s="659"/>
      <c r="O540" s="659"/>
      <c r="P540" s="659"/>
    </row>
    <row r="541" spans="14:16">
      <c r="N541" s="659"/>
      <c r="O541" s="659"/>
      <c r="P541" s="659"/>
    </row>
    <row r="542" spans="14:16">
      <c r="N542" s="659"/>
      <c r="O542" s="659"/>
      <c r="P542" s="659"/>
    </row>
    <row r="543" spans="14:16">
      <c r="N543" s="659"/>
      <c r="O543" s="659"/>
      <c r="P543" s="659"/>
    </row>
    <row r="544" spans="14:16">
      <c r="N544" s="659"/>
      <c r="O544" s="659"/>
      <c r="P544" s="659"/>
    </row>
    <row r="545" spans="14:16">
      <c r="N545" s="659"/>
      <c r="O545" s="659"/>
      <c r="P545" s="659"/>
    </row>
    <row r="546" spans="14:16">
      <c r="N546" s="659"/>
      <c r="O546" s="659"/>
      <c r="P546" s="659"/>
    </row>
    <row r="547" spans="14:16">
      <c r="N547" s="659"/>
      <c r="O547" s="659"/>
      <c r="P547" s="659"/>
    </row>
    <row r="548" spans="14:16">
      <c r="N548" s="659"/>
      <c r="O548" s="659"/>
      <c r="P548" s="659"/>
    </row>
    <row r="549" spans="14:16">
      <c r="N549" s="659"/>
      <c r="O549" s="659"/>
      <c r="P549" s="659"/>
    </row>
    <row r="550" spans="14:16">
      <c r="N550" s="659"/>
      <c r="O550" s="659"/>
      <c r="P550" s="659"/>
    </row>
    <row r="551" spans="14:16">
      <c r="N551" s="659"/>
      <c r="O551" s="659"/>
      <c r="P551" s="659"/>
    </row>
    <row r="552" spans="14:16">
      <c r="N552" s="659"/>
      <c r="O552" s="659"/>
      <c r="P552" s="659"/>
    </row>
    <row r="553" spans="14:16">
      <c r="N553" s="659"/>
      <c r="O553" s="659"/>
      <c r="P553" s="659"/>
    </row>
    <row r="554" spans="14:16">
      <c r="N554" s="659"/>
      <c r="O554" s="659"/>
      <c r="P554" s="659"/>
    </row>
    <row r="555" spans="14:16">
      <c r="N555" s="659"/>
      <c r="O555" s="659"/>
      <c r="P555" s="659"/>
    </row>
    <row r="556" spans="14:16">
      <c r="N556" s="659"/>
      <c r="O556" s="659"/>
      <c r="P556" s="659"/>
    </row>
    <row r="557" spans="14:16">
      <c r="N557" s="659"/>
      <c r="O557" s="659"/>
      <c r="P557" s="659"/>
    </row>
    <row r="558" spans="14:16">
      <c r="N558" s="659"/>
      <c r="O558" s="659"/>
      <c r="P558" s="659"/>
    </row>
    <row r="559" spans="14:16">
      <c r="N559" s="659"/>
      <c r="O559" s="659"/>
      <c r="P559" s="659"/>
    </row>
    <row r="560" spans="14:16">
      <c r="N560" s="659"/>
      <c r="O560" s="659"/>
      <c r="P560" s="659"/>
    </row>
    <row r="561" spans="14:16">
      <c r="N561" s="659"/>
      <c r="O561" s="659"/>
      <c r="P561" s="659"/>
    </row>
    <row r="562" spans="14:16">
      <c r="N562" s="659"/>
      <c r="O562" s="659"/>
      <c r="P562" s="659"/>
    </row>
    <row r="563" spans="14:16">
      <c r="N563" s="659"/>
      <c r="O563" s="659"/>
      <c r="P563" s="659"/>
    </row>
    <row r="564" spans="14:16">
      <c r="N564" s="659"/>
      <c r="O564" s="659"/>
      <c r="P564" s="659"/>
    </row>
    <row r="565" spans="14:16">
      <c r="N565" s="659"/>
      <c r="O565" s="659"/>
      <c r="P565" s="659"/>
    </row>
    <row r="566" spans="14:16">
      <c r="N566" s="659"/>
      <c r="O566" s="659"/>
      <c r="P566" s="659"/>
    </row>
    <row r="567" spans="14:16">
      <c r="N567" s="659"/>
      <c r="O567" s="659"/>
      <c r="P567" s="659"/>
    </row>
    <row r="568" spans="14:16">
      <c r="N568" s="659"/>
      <c r="O568" s="659"/>
      <c r="P568" s="659"/>
    </row>
    <row r="569" spans="14:16">
      <c r="N569" s="659"/>
      <c r="O569" s="659"/>
      <c r="P569" s="659"/>
    </row>
    <row r="570" spans="14:16">
      <c r="N570" s="659"/>
      <c r="O570" s="659"/>
      <c r="P570" s="659"/>
    </row>
    <row r="571" spans="14:16">
      <c r="N571" s="659"/>
      <c r="O571" s="659"/>
      <c r="P571" s="659"/>
    </row>
    <row r="572" spans="14:16">
      <c r="N572" s="659"/>
      <c r="O572" s="659"/>
      <c r="P572" s="659"/>
    </row>
    <row r="573" spans="14:16">
      <c r="N573" s="659"/>
      <c r="O573" s="659"/>
      <c r="P573" s="659"/>
    </row>
    <row r="574" spans="14:16">
      <c r="N574" s="659"/>
      <c r="O574" s="659"/>
      <c r="P574" s="659"/>
    </row>
    <row r="575" spans="14:16">
      <c r="N575" s="659"/>
      <c r="O575" s="659"/>
      <c r="P575" s="659"/>
    </row>
    <row r="576" spans="14:16">
      <c r="N576" s="659"/>
      <c r="O576" s="659"/>
      <c r="P576" s="659"/>
    </row>
    <row r="577" spans="14:16">
      <c r="N577" s="659"/>
      <c r="O577" s="659"/>
      <c r="P577" s="659"/>
    </row>
    <row r="578" spans="14:16">
      <c r="N578" s="659"/>
      <c r="O578" s="659"/>
      <c r="P578" s="659"/>
    </row>
    <row r="579" spans="14:16">
      <c r="N579" s="659"/>
      <c r="O579" s="659"/>
      <c r="P579" s="659"/>
    </row>
    <row r="580" spans="14:16">
      <c r="N580" s="659"/>
      <c r="O580" s="659"/>
      <c r="P580" s="659"/>
    </row>
    <row r="581" spans="14:16">
      <c r="N581" s="659"/>
      <c r="O581" s="659"/>
      <c r="P581" s="659"/>
    </row>
    <row r="582" spans="14:16">
      <c r="N582" s="659"/>
      <c r="O582" s="659"/>
      <c r="P582" s="659"/>
    </row>
    <row r="583" spans="14:16">
      <c r="N583" s="659"/>
      <c r="O583" s="659"/>
      <c r="P583" s="659"/>
    </row>
    <row r="584" spans="14:16">
      <c r="N584" s="659"/>
      <c r="O584" s="659"/>
      <c r="P584" s="659"/>
    </row>
    <row r="585" spans="14:16">
      <c r="N585" s="659"/>
      <c r="O585" s="659"/>
      <c r="P585" s="659"/>
    </row>
    <row r="586" spans="14:16">
      <c r="N586" s="659"/>
      <c r="O586" s="659"/>
      <c r="P586" s="659"/>
    </row>
    <row r="587" spans="14:16">
      <c r="N587" s="659"/>
      <c r="O587" s="659"/>
      <c r="P587" s="659"/>
    </row>
    <row r="588" spans="14:16">
      <c r="N588" s="659"/>
      <c r="O588" s="659"/>
      <c r="P588" s="659"/>
    </row>
    <row r="589" spans="14:16">
      <c r="N589" s="659"/>
      <c r="O589" s="659"/>
      <c r="P589" s="659"/>
    </row>
    <row r="590" spans="14:16">
      <c r="N590" s="659"/>
      <c r="O590" s="659"/>
      <c r="P590" s="659"/>
    </row>
    <row r="591" spans="14:16">
      <c r="N591" s="659"/>
      <c r="O591" s="659"/>
      <c r="P591" s="659"/>
    </row>
    <row r="592" spans="14:16">
      <c r="N592" s="659"/>
      <c r="O592" s="659"/>
      <c r="P592" s="659"/>
    </row>
    <row r="593" spans="14:16">
      <c r="N593" s="659"/>
      <c r="O593" s="659"/>
      <c r="P593" s="659"/>
    </row>
    <row r="594" spans="14:16">
      <c r="N594" s="659"/>
      <c r="O594" s="659"/>
      <c r="P594" s="659"/>
    </row>
    <row r="595" spans="14:16">
      <c r="N595" s="659"/>
      <c r="O595" s="659"/>
      <c r="P595" s="659"/>
    </row>
    <row r="596" spans="14:16">
      <c r="N596" s="659"/>
      <c r="O596" s="659"/>
      <c r="P596" s="659"/>
    </row>
    <row r="597" spans="14:16">
      <c r="N597" s="659"/>
      <c r="O597" s="659"/>
      <c r="P597" s="659"/>
    </row>
    <row r="598" spans="14:16">
      <c r="N598" s="659"/>
      <c r="O598" s="659"/>
      <c r="P598" s="659"/>
    </row>
    <row r="599" spans="14:16">
      <c r="N599" s="659"/>
      <c r="O599" s="659"/>
      <c r="P599" s="659"/>
    </row>
    <row r="600" spans="14:16">
      <c r="N600" s="659"/>
      <c r="O600" s="659"/>
      <c r="P600" s="659"/>
    </row>
    <row r="601" spans="14:16">
      <c r="N601" s="659"/>
      <c r="O601" s="659"/>
      <c r="P601" s="659"/>
    </row>
    <row r="602" spans="14:16">
      <c r="N602" s="659"/>
      <c r="O602" s="659"/>
      <c r="P602" s="659"/>
    </row>
    <row r="603" spans="14:16">
      <c r="N603" s="659"/>
      <c r="O603" s="659"/>
      <c r="P603" s="659"/>
    </row>
    <row r="604" spans="14:16">
      <c r="N604" s="659"/>
      <c r="O604" s="659"/>
      <c r="P604" s="659"/>
    </row>
    <row r="605" spans="14:16">
      <c r="N605" s="659"/>
      <c r="O605" s="659"/>
      <c r="P605" s="659"/>
    </row>
    <row r="606" spans="14:16">
      <c r="N606" s="659"/>
      <c r="O606" s="659"/>
      <c r="P606" s="659"/>
    </row>
    <row r="607" spans="14:16">
      <c r="N607" s="659"/>
      <c r="O607" s="659"/>
      <c r="P607" s="659"/>
    </row>
    <row r="608" spans="14:16">
      <c r="N608" s="659"/>
      <c r="O608" s="659"/>
      <c r="P608" s="659"/>
    </row>
    <row r="609" spans="14:16">
      <c r="N609" s="659"/>
      <c r="O609" s="659"/>
      <c r="P609" s="659"/>
    </row>
    <row r="610" spans="14:16">
      <c r="N610" s="659"/>
      <c r="O610" s="659"/>
      <c r="P610" s="659"/>
    </row>
    <row r="611" spans="14:16">
      <c r="N611" s="659"/>
      <c r="O611" s="659"/>
      <c r="P611" s="659"/>
    </row>
    <row r="612" spans="14:16">
      <c r="N612" s="659"/>
      <c r="O612" s="659"/>
      <c r="P612" s="659"/>
    </row>
    <row r="613" spans="14:16">
      <c r="N613" s="659"/>
      <c r="O613" s="659"/>
      <c r="P613" s="659"/>
    </row>
    <row r="614" spans="14:16">
      <c r="N614" s="659"/>
      <c r="O614" s="659"/>
      <c r="P614" s="659"/>
    </row>
    <row r="615" spans="14:16">
      <c r="N615" s="659"/>
      <c r="O615" s="659"/>
      <c r="P615" s="659"/>
    </row>
    <row r="616" spans="14:16">
      <c r="N616" s="659"/>
      <c r="O616" s="659"/>
      <c r="P616" s="659"/>
    </row>
    <row r="617" spans="14:16">
      <c r="N617" s="659"/>
      <c r="O617" s="659"/>
      <c r="P617" s="659"/>
    </row>
    <row r="618" spans="14:16">
      <c r="N618" s="659"/>
      <c r="O618" s="659"/>
      <c r="P618" s="659"/>
    </row>
    <row r="619" spans="14:16">
      <c r="N619" s="659"/>
      <c r="O619" s="659"/>
      <c r="P619" s="659"/>
    </row>
    <row r="620" spans="14:16">
      <c r="N620" s="659"/>
      <c r="O620" s="659"/>
      <c r="P620" s="659"/>
    </row>
    <row r="621" spans="14:16">
      <c r="N621" s="659"/>
      <c r="O621" s="659"/>
      <c r="P621" s="659"/>
    </row>
    <row r="622" spans="14:16">
      <c r="N622" s="659"/>
      <c r="O622" s="659"/>
      <c r="P622" s="659"/>
    </row>
    <row r="623" spans="14:16">
      <c r="N623" s="659"/>
      <c r="O623" s="659"/>
      <c r="P623" s="659"/>
    </row>
    <row r="624" spans="14:16">
      <c r="N624" s="659"/>
      <c r="O624" s="659"/>
      <c r="P624" s="659"/>
    </row>
    <row r="625" spans="14:16">
      <c r="N625" s="659"/>
      <c r="O625" s="659"/>
      <c r="P625" s="659"/>
    </row>
    <row r="626" spans="14:16">
      <c r="N626" s="659"/>
      <c r="O626" s="659"/>
      <c r="P626" s="659"/>
    </row>
    <row r="627" spans="14:16">
      <c r="N627" s="659"/>
      <c r="O627" s="659"/>
      <c r="P627" s="659"/>
    </row>
    <row r="628" spans="14:16">
      <c r="N628" s="659"/>
      <c r="O628" s="659"/>
      <c r="P628" s="659"/>
    </row>
    <row r="629" spans="14:16">
      <c r="N629" s="659"/>
      <c r="O629" s="659"/>
      <c r="P629" s="659"/>
    </row>
    <row r="630" spans="14:16">
      <c r="N630" s="659"/>
      <c r="O630" s="659"/>
      <c r="P630" s="659"/>
    </row>
    <row r="631" spans="14:16">
      <c r="N631" s="659"/>
      <c r="O631" s="659"/>
      <c r="P631" s="659"/>
    </row>
    <row r="632" spans="14:16">
      <c r="N632" s="659"/>
      <c r="O632" s="659"/>
      <c r="P632" s="659"/>
    </row>
    <row r="633" spans="14:16">
      <c r="N633" s="659"/>
      <c r="O633" s="659"/>
      <c r="P633" s="659"/>
    </row>
    <row r="634" spans="14:16">
      <c r="N634" s="659"/>
      <c r="O634" s="659"/>
      <c r="P634" s="659"/>
    </row>
    <row r="635" spans="14:16">
      <c r="N635" s="659"/>
      <c r="O635" s="659"/>
      <c r="P635" s="659"/>
    </row>
    <row r="636" spans="14:16">
      <c r="N636" s="659"/>
      <c r="O636" s="659"/>
      <c r="P636" s="659"/>
    </row>
    <row r="637" spans="14:16">
      <c r="N637" s="659"/>
      <c r="O637" s="659"/>
      <c r="P637" s="659"/>
    </row>
    <row r="638" spans="14:16">
      <c r="N638" s="659"/>
      <c r="O638" s="659"/>
      <c r="P638" s="659"/>
    </row>
    <row r="639" spans="14:16">
      <c r="N639" s="659"/>
      <c r="O639" s="659"/>
      <c r="P639" s="659"/>
    </row>
    <row r="640" spans="14:16">
      <c r="N640" s="659"/>
      <c r="O640" s="659"/>
      <c r="P640" s="659"/>
    </row>
    <row r="641" spans="14:16">
      <c r="N641" s="659"/>
      <c r="O641" s="659"/>
      <c r="P641" s="659"/>
    </row>
    <row r="642" spans="14:16">
      <c r="N642" s="659"/>
      <c r="O642" s="659"/>
      <c r="P642" s="659"/>
    </row>
    <row r="643" spans="14:16">
      <c r="N643" s="659"/>
      <c r="O643" s="659"/>
      <c r="P643" s="659"/>
    </row>
    <row r="644" spans="14:16">
      <c r="N644" s="659"/>
      <c r="O644" s="659"/>
      <c r="P644" s="659"/>
    </row>
    <row r="645" spans="14:16">
      <c r="N645" s="659"/>
      <c r="O645" s="659"/>
      <c r="P645" s="659"/>
    </row>
    <row r="646" spans="14:16">
      <c r="N646" s="659"/>
      <c r="O646" s="659"/>
      <c r="P646" s="659"/>
    </row>
    <row r="647" spans="14:16">
      <c r="N647" s="659"/>
      <c r="O647" s="659"/>
      <c r="P647" s="659"/>
    </row>
    <row r="648" spans="14:16">
      <c r="N648" s="659"/>
      <c r="O648" s="659"/>
      <c r="P648" s="659"/>
    </row>
    <row r="649" spans="14:16">
      <c r="N649" s="659"/>
      <c r="O649" s="659"/>
      <c r="P649" s="659"/>
    </row>
    <row r="650" spans="14:16">
      <c r="N650" s="659"/>
      <c r="O650" s="659"/>
      <c r="P650" s="659"/>
    </row>
    <row r="651" spans="14:16">
      <c r="N651" s="659"/>
      <c r="O651" s="659"/>
      <c r="P651" s="659"/>
    </row>
    <row r="652" spans="14:16">
      <c r="N652" s="659"/>
      <c r="O652" s="659"/>
      <c r="P652" s="659"/>
    </row>
    <row r="653" spans="14:16">
      <c r="N653" s="659"/>
      <c r="O653" s="659"/>
      <c r="P653" s="659"/>
    </row>
    <row r="654" spans="14:16">
      <c r="N654" s="659"/>
      <c r="O654" s="659"/>
      <c r="P654" s="659"/>
    </row>
    <row r="655" spans="14:16">
      <c r="N655" s="659"/>
      <c r="O655" s="659"/>
      <c r="P655" s="659"/>
    </row>
    <row r="656" spans="14:16">
      <c r="N656" s="659"/>
      <c r="O656" s="659"/>
      <c r="P656" s="659"/>
    </row>
    <row r="657" spans="14:16">
      <c r="N657" s="659"/>
      <c r="O657" s="659"/>
      <c r="P657" s="659"/>
    </row>
    <row r="658" spans="14:16">
      <c r="N658" s="659"/>
      <c r="O658" s="659"/>
      <c r="P658" s="659"/>
    </row>
    <row r="659" spans="14:16">
      <c r="N659" s="659"/>
      <c r="O659" s="659"/>
      <c r="P659" s="659"/>
    </row>
    <row r="660" spans="14:16">
      <c r="N660" s="659"/>
      <c r="O660" s="659"/>
      <c r="P660" s="659"/>
    </row>
    <row r="661" spans="14:16">
      <c r="N661" s="659"/>
      <c r="O661" s="659"/>
      <c r="P661" s="659"/>
    </row>
    <row r="662" spans="14:16">
      <c r="N662" s="659"/>
      <c r="O662" s="659"/>
      <c r="P662" s="659"/>
    </row>
    <row r="663" spans="14:16">
      <c r="N663" s="659"/>
      <c r="O663" s="659"/>
      <c r="P663" s="659"/>
    </row>
    <row r="664" spans="14:16">
      <c r="N664" s="659"/>
      <c r="O664" s="659"/>
      <c r="P664" s="659"/>
    </row>
    <row r="665" spans="14:16">
      <c r="N665" s="659"/>
      <c r="O665" s="659"/>
      <c r="P665" s="659"/>
    </row>
    <row r="666" spans="14:16">
      <c r="N666" s="659"/>
      <c r="O666" s="659"/>
      <c r="P666" s="659"/>
    </row>
    <row r="667" spans="14:16">
      <c r="N667" s="659"/>
      <c r="O667" s="659"/>
      <c r="P667" s="659"/>
    </row>
    <row r="668" spans="14:16">
      <c r="N668" s="659"/>
      <c r="O668" s="659"/>
      <c r="P668" s="659"/>
    </row>
    <row r="669" spans="14:16">
      <c r="N669" s="659"/>
      <c r="O669" s="659"/>
      <c r="P669" s="659"/>
    </row>
    <row r="670" spans="14:16">
      <c r="N670" s="659"/>
      <c r="O670" s="659"/>
      <c r="P670" s="659"/>
    </row>
    <row r="671" spans="14:16">
      <c r="N671" s="659"/>
      <c r="O671" s="659"/>
      <c r="P671" s="659"/>
    </row>
    <row r="672" spans="14:16">
      <c r="N672" s="659"/>
      <c r="O672" s="659"/>
      <c r="P672" s="659"/>
    </row>
    <row r="673" spans="14:16">
      <c r="N673" s="659"/>
      <c r="O673" s="659"/>
      <c r="P673" s="659"/>
    </row>
    <row r="674" spans="14:16">
      <c r="N674" s="659"/>
      <c r="O674" s="659"/>
      <c r="P674" s="659"/>
    </row>
    <row r="675" spans="14:16">
      <c r="N675" s="659"/>
      <c r="O675" s="659"/>
      <c r="P675" s="659"/>
    </row>
    <row r="676" spans="14:16">
      <c r="N676" s="659"/>
      <c r="O676" s="659"/>
      <c r="P676" s="659"/>
    </row>
    <row r="677" spans="14:16">
      <c r="N677" s="659"/>
      <c r="O677" s="659"/>
      <c r="P677" s="659"/>
    </row>
    <row r="678" spans="14:16">
      <c r="N678" s="659"/>
      <c r="O678" s="659"/>
      <c r="P678" s="659"/>
    </row>
    <row r="679" spans="14:16">
      <c r="N679" s="659"/>
      <c r="O679" s="659"/>
      <c r="P679" s="659"/>
    </row>
    <row r="680" spans="14:16">
      <c r="N680" s="659"/>
      <c r="O680" s="659"/>
      <c r="P680" s="659"/>
    </row>
    <row r="681" spans="14:16">
      <c r="N681" s="659"/>
      <c r="O681" s="659"/>
      <c r="P681" s="659"/>
    </row>
    <row r="682" spans="14:16">
      <c r="N682" s="659"/>
      <c r="O682" s="659"/>
      <c r="P682" s="659"/>
    </row>
    <row r="683" spans="14:16">
      <c r="N683" s="659"/>
      <c r="O683" s="659"/>
      <c r="P683" s="659"/>
    </row>
    <row r="684" spans="14:16">
      <c r="N684" s="659"/>
      <c r="O684" s="659"/>
      <c r="P684" s="659"/>
    </row>
    <row r="685" spans="14:16">
      <c r="N685" s="659"/>
      <c r="O685" s="659"/>
      <c r="P685" s="659"/>
    </row>
    <row r="686" spans="14:16">
      <c r="N686" s="659"/>
      <c r="O686" s="659"/>
      <c r="P686" s="659"/>
    </row>
    <row r="687" spans="14:16">
      <c r="N687" s="659"/>
      <c r="O687" s="659"/>
      <c r="P687" s="659"/>
    </row>
    <row r="688" spans="14:16">
      <c r="N688" s="659"/>
      <c r="O688" s="659"/>
      <c r="P688" s="659"/>
    </row>
    <row r="689" spans="14:16">
      <c r="N689" s="659"/>
      <c r="O689" s="659"/>
      <c r="P689" s="659"/>
    </row>
    <row r="690" spans="14:16">
      <c r="N690" s="659"/>
      <c r="O690" s="659"/>
      <c r="P690" s="659"/>
    </row>
    <row r="691" spans="14:16">
      <c r="N691" s="659"/>
      <c r="O691" s="659"/>
      <c r="P691" s="659"/>
    </row>
    <row r="692" spans="14:16">
      <c r="N692" s="659"/>
      <c r="O692" s="659"/>
      <c r="P692" s="659"/>
    </row>
    <row r="693" spans="14:16">
      <c r="N693" s="659"/>
      <c r="O693" s="659"/>
      <c r="P693" s="659"/>
    </row>
    <row r="694" spans="14:16">
      <c r="N694" s="659"/>
      <c r="O694" s="659"/>
      <c r="P694" s="659"/>
    </row>
    <row r="695" spans="14:16">
      <c r="N695" s="659"/>
      <c r="O695" s="659"/>
      <c r="P695" s="659"/>
    </row>
    <row r="696" spans="14:16">
      <c r="N696" s="659"/>
      <c r="O696" s="659"/>
      <c r="P696" s="659"/>
    </row>
    <row r="697" spans="14:16">
      <c r="N697" s="659"/>
      <c r="O697" s="659"/>
      <c r="P697" s="659"/>
    </row>
    <row r="698" spans="14:16">
      <c r="N698" s="659"/>
      <c r="O698" s="659"/>
      <c r="P698" s="659"/>
    </row>
    <row r="699" spans="14:16">
      <c r="N699" s="659"/>
      <c r="O699" s="659"/>
      <c r="P699" s="659"/>
    </row>
    <row r="700" spans="14:16">
      <c r="N700" s="659"/>
      <c r="O700" s="659"/>
      <c r="P700" s="659"/>
    </row>
    <row r="701" spans="14:16">
      <c r="N701" s="659"/>
      <c r="O701" s="659"/>
      <c r="P701" s="659"/>
    </row>
    <row r="702" spans="14:16">
      <c r="N702" s="659"/>
      <c r="O702" s="659"/>
      <c r="P702" s="659"/>
    </row>
    <row r="703" spans="14:16">
      <c r="N703" s="659"/>
      <c r="O703" s="659"/>
      <c r="P703" s="659"/>
    </row>
    <row r="704" spans="14:16">
      <c r="N704" s="659"/>
      <c r="O704" s="659"/>
      <c r="P704" s="659"/>
    </row>
    <row r="705" spans="14:16">
      <c r="N705" s="659"/>
      <c r="O705" s="659"/>
      <c r="P705" s="659"/>
    </row>
    <row r="706" spans="14:16">
      <c r="N706" s="659"/>
      <c r="O706" s="659"/>
      <c r="P706" s="659"/>
    </row>
    <row r="707" spans="14:16">
      <c r="N707" s="659"/>
      <c r="O707" s="659"/>
      <c r="P707" s="659"/>
    </row>
    <row r="708" spans="14:16">
      <c r="N708" s="659"/>
      <c r="O708" s="659"/>
      <c r="P708" s="659"/>
    </row>
    <row r="709" spans="14:16">
      <c r="N709" s="659"/>
      <c r="O709" s="659"/>
      <c r="P709" s="659"/>
    </row>
    <row r="710" spans="14:16">
      <c r="N710" s="659"/>
      <c r="O710" s="659"/>
      <c r="P710" s="659"/>
    </row>
    <row r="711" spans="14:16">
      <c r="N711" s="659"/>
      <c r="O711" s="659"/>
      <c r="P711" s="659"/>
    </row>
    <row r="712" spans="14:16">
      <c r="N712" s="659"/>
      <c r="O712" s="659"/>
      <c r="P712" s="659"/>
    </row>
    <row r="713" spans="14:16">
      <c r="N713" s="659"/>
      <c r="O713" s="659"/>
      <c r="P713" s="659"/>
    </row>
    <row r="714" spans="14:16">
      <c r="N714" s="659"/>
      <c r="O714" s="659"/>
      <c r="P714" s="659"/>
    </row>
    <row r="715" spans="14:16">
      <c r="N715" s="659"/>
      <c r="O715" s="659"/>
      <c r="P715" s="659"/>
    </row>
    <row r="716" spans="14:16">
      <c r="N716" s="659"/>
      <c r="O716" s="659"/>
      <c r="P716" s="659"/>
    </row>
    <row r="717" spans="14:16">
      <c r="N717" s="659"/>
      <c r="O717" s="659"/>
      <c r="P717" s="659"/>
    </row>
    <row r="718" spans="14:16">
      <c r="N718" s="659"/>
      <c r="O718" s="659"/>
      <c r="P718" s="659"/>
    </row>
    <row r="719" spans="14:16">
      <c r="N719" s="659"/>
      <c r="O719" s="659"/>
      <c r="P719" s="659"/>
    </row>
    <row r="720" spans="14:16">
      <c r="N720" s="659"/>
      <c r="O720" s="659"/>
      <c r="P720" s="659"/>
    </row>
    <row r="721" spans="14:16">
      <c r="N721" s="659"/>
      <c r="O721" s="659"/>
      <c r="P721" s="659"/>
    </row>
    <row r="722" spans="14:16">
      <c r="N722" s="659"/>
      <c r="O722" s="659"/>
      <c r="P722" s="659"/>
    </row>
    <row r="723" spans="14:16">
      <c r="N723" s="659"/>
      <c r="O723" s="659"/>
      <c r="P723" s="659"/>
    </row>
    <row r="724" spans="14:16">
      <c r="N724" s="659"/>
      <c r="O724" s="659"/>
      <c r="P724" s="659"/>
    </row>
    <row r="725" spans="14:16">
      <c r="N725" s="659"/>
      <c r="O725" s="659"/>
      <c r="P725" s="659"/>
    </row>
    <row r="726" spans="14:16">
      <c r="N726" s="659"/>
      <c r="O726" s="659"/>
      <c r="P726" s="659"/>
    </row>
    <row r="727" spans="14:16">
      <c r="N727" s="659"/>
      <c r="O727" s="659"/>
      <c r="P727" s="659"/>
    </row>
    <row r="728" spans="14:16">
      <c r="N728" s="659"/>
      <c r="O728" s="659"/>
      <c r="P728" s="659"/>
    </row>
    <row r="729" spans="14:16">
      <c r="N729" s="659"/>
      <c r="O729" s="659"/>
      <c r="P729" s="659"/>
    </row>
    <row r="730" spans="14:16">
      <c r="N730" s="659"/>
      <c r="O730" s="659"/>
      <c r="P730" s="659"/>
    </row>
    <row r="731" spans="14:16">
      <c r="N731" s="659"/>
      <c r="O731" s="659"/>
      <c r="P731" s="659"/>
    </row>
    <row r="732" spans="14:16">
      <c r="N732" s="659"/>
      <c r="O732" s="659"/>
      <c r="P732" s="659"/>
    </row>
    <row r="733" spans="14:16">
      <c r="N733" s="659"/>
      <c r="O733" s="659"/>
      <c r="P733" s="659"/>
    </row>
    <row r="734" spans="14:16">
      <c r="N734" s="659"/>
      <c r="O734" s="659"/>
      <c r="P734" s="659"/>
    </row>
    <row r="735" spans="14:16">
      <c r="N735" s="659"/>
      <c r="O735" s="659"/>
      <c r="P735" s="659"/>
    </row>
    <row r="736" spans="14:16">
      <c r="N736" s="659"/>
      <c r="O736" s="659"/>
      <c r="P736" s="659"/>
    </row>
    <row r="737" spans="14:16">
      <c r="N737" s="659"/>
      <c r="O737" s="659"/>
      <c r="P737" s="659"/>
    </row>
    <row r="738" spans="14:16">
      <c r="N738" s="659"/>
      <c r="O738" s="659"/>
      <c r="P738" s="659"/>
    </row>
    <row r="739" spans="14:16">
      <c r="N739" s="659"/>
      <c r="O739" s="659"/>
      <c r="P739" s="659"/>
    </row>
    <row r="740" spans="14:16">
      <c r="N740" s="659"/>
      <c r="O740" s="659"/>
      <c r="P740" s="659"/>
    </row>
    <row r="741" spans="14:16">
      <c r="N741" s="659"/>
      <c r="O741" s="659"/>
      <c r="P741" s="659"/>
    </row>
    <row r="742" spans="14:16">
      <c r="N742" s="659"/>
      <c r="O742" s="659"/>
      <c r="P742" s="659"/>
    </row>
    <row r="743" spans="14:16">
      <c r="N743" s="659"/>
      <c r="O743" s="659"/>
      <c r="P743" s="659"/>
    </row>
    <row r="744" spans="14:16">
      <c r="N744" s="659"/>
      <c r="O744" s="659"/>
      <c r="P744" s="659"/>
    </row>
    <row r="745" spans="14:16">
      <c r="N745" s="659"/>
      <c r="O745" s="659"/>
      <c r="P745" s="659"/>
    </row>
    <row r="746" spans="14:16">
      <c r="N746" s="659"/>
      <c r="O746" s="659"/>
      <c r="P746" s="659"/>
    </row>
    <row r="747" spans="14:16">
      <c r="N747" s="659"/>
      <c r="O747" s="659"/>
      <c r="P747" s="659"/>
    </row>
    <row r="748" spans="14:16">
      <c r="N748" s="659"/>
      <c r="O748" s="659"/>
      <c r="P748" s="659"/>
    </row>
    <row r="749" spans="14:16">
      <c r="N749" s="659"/>
      <c r="O749" s="659"/>
      <c r="P749" s="659"/>
    </row>
    <row r="750" spans="14:16">
      <c r="N750" s="659"/>
      <c r="O750" s="659"/>
      <c r="P750" s="659"/>
    </row>
    <row r="751" spans="14:16">
      <c r="N751" s="659"/>
      <c r="O751" s="659"/>
      <c r="P751" s="659"/>
    </row>
    <row r="752" spans="14:16">
      <c r="N752" s="659"/>
      <c r="O752" s="659"/>
      <c r="P752" s="659"/>
    </row>
    <row r="753" spans="14:16">
      <c r="N753" s="659"/>
      <c r="O753" s="659"/>
      <c r="P753" s="659"/>
    </row>
    <row r="754" spans="14:16">
      <c r="N754" s="659"/>
      <c r="O754" s="659"/>
      <c r="P754" s="659"/>
    </row>
    <row r="755" spans="14:16">
      <c r="N755" s="659"/>
      <c r="O755" s="659"/>
      <c r="P755" s="659"/>
    </row>
    <row r="756" spans="14:16">
      <c r="N756" s="659"/>
      <c r="O756" s="659"/>
      <c r="P756" s="659"/>
    </row>
    <row r="757" spans="14:16">
      <c r="N757" s="659"/>
      <c r="O757" s="659"/>
      <c r="P757" s="659"/>
    </row>
    <row r="758" spans="14:16">
      <c r="N758" s="659"/>
      <c r="O758" s="659"/>
      <c r="P758" s="659"/>
    </row>
    <row r="759" spans="14:16">
      <c r="N759" s="659"/>
      <c r="O759" s="659"/>
      <c r="P759" s="659"/>
    </row>
    <row r="760" spans="14:16">
      <c r="N760" s="659"/>
      <c r="O760" s="659"/>
      <c r="P760" s="659"/>
    </row>
    <row r="761" spans="14:16">
      <c r="N761" s="659"/>
      <c r="O761" s="659"/>
      <c r="P761" s="659"/>
    </row>
    <row r="762" spans="14:16">
      <c r="N762" s="659"/>
      <c r="O762" s="659"/>
      <c r="P762" s="659"/>
    </row>
    <row r="763" spans="14:16">
      <c r="N763" s="659"/>
      <c r="O763" s="659"/>
      <c r="P763" s="659"/>
    </row>
    <row r="764" spans="14:16">
      <c r="N764" s="659"/>
      <c r="O764" s="659"/>
      <c r="P764" s="659"/>
    </row>
    <row r="765" spans="14:16">
      <c r="N765" s="659"/>
      <c r="O765" s="659"/>
      <c r="P765" s="659"/>
    </row>
    <row r="766" spans="14:16">
      <c r="N766" s="659"/>
      <c r="O766" s="659"/>
      <c r="P766" s="659"/>
    </row>
    <row r="767" spans="14:16">
      <c r="N767" s="659"/>
      <c r="O767" s="659"/>
      <c r="P767" s="659"/>
    </row>
    <row r="768" spans="14:16">
      <c r="N768" s="659"/>
      <c r="O768" s="659"/>
      <c r="P768" s="659"/>
    </row>
    <row r="769" spans="14:16">
      <c r="N769" s="659"/>
      <c r="O769" s="659"/>
      <c r="P769" s="659"/>
    </row>
    <row r="770" spans="14:16">
      <c r="N770" s="659"/>
      <c r="O770" s="659"/>
      <c r="P770" s="659"/>
    </row>
    <row r="771" spans="14:16">
      <c r="N771" s="659"/>
      <c r="O771" s="659"/>
      <c r="P771" s="659"/>
    </row>
    <row r="772" spans="14:16">
      <c r="N772" s="659"/>
      <c r="O772" s="659"/>
      <c r="P772" s="659"/>
    </row>
    <row r="773" spans="14:16">
      <c r="N773" s="659"/>
      <c r="O773" s="659"/>
      <c r="P773" s="659"/>
    </row>
    <row r="774" spans="14:16">
      <c r="N774" s="659"/>
      <c r="O774" s="659"/>
      <c r="P774" s="659"/>
    </row>
    <row r="775" spans="14:16">
      <c r="N775" s="659"/>
      <c r="O775" s="659"/>
      <c r="P775" s="659"/>
    </row>
    <row r="776" spans="14:16">
      <c r="N776" s="659"/>
      <c r="O776" s="659"/>
      <c r="P776" s="659"/>
    </row>
    <row r="777" spans="14:16">
      <c r="N777" s="659"/>
      <c r="O777" s="659"/>
      <c r="P777" s="659"/>
    </row>
    <row r="778" spans="14:16">
      <c r="N778" s="659"/>
      <c r="O778" s="659"/>
      <c r="P778" s="659"/>
    </row>
    <row r="779" spans="14:16">
      <c r="N779" s="659"/>
      <c r="O779" s="659"/>
      <c r="P779" s="659"/>
    </row>
    <row r="780" spans="14:16">
      <c r="N780" s="659"/>
      <c r="O780" s="659"/>
      <c r="P780" s="659"/>
    </row>
    <row r="781" spans="14:16">
      <c r="N781" s="659"/>
      <c r="O781" s="659"/>
      <c r="P781" s="659"/>
    </row>
    <row r="782" spans="14:16">
      <c r="N782" s="659"/>
      <c r="O782" s="659"/>
      <c r="P782" s="659"/>
    </row>
    <row r="783" spans="14:16">
      <c r="N783" s="659"/>
      <c r="O783" s="659"/>
      <c r="P783" s="659"/>
    </row>
    <row r="784" spans="14:16">
      <c r="N784" s="659"/>
      <c r="O784" s="659"/>
      <c r="P784" s="659"/>
    </row>
    <row r="785" spans="14:16">
      <c r="N785" s="659"/>
      <c r="O785" s="659"/>
      <c r="P785" s="659"/>
    </row>
    <row r="786" spans="14:16">
      <c r="N786" s="659"/>
      <c r="O786" s="659"/>
      <c r="P786" s="659"/>
    </row>
    <row r="787" spans="14:16">
      <c r="N787" s="659"/>
      <c r="O787" s="659"/>
      <c r="P787" s="659"/>
    </row>
    <row r="788" spans="14:16">
      <c r="N788" s="659"/>
      <c r="O788" s="659"/>
      <c r="P788" s="659"/>
    </row>
    <row r="789" spans="14:16">
      <c r="N789" s="659"/>
      <c r="O789" s="659"/>
      <c r="P789" s="659"/>
    </row>
    <row r="790" spans="14:16">
      <c r="N790" s="659"/>
      <c r="O790" s="659"/>
      <c r="P790" s="659"/>
    </row>
    <row r="791" spans="14:16">
      <c r="N791" s="659"/>
      <c r="O791" s="659"/>
      <c r="P791" s="659"/>
    </row>
    <row r="792" spans="14:16">
      <c r="N792" s="659"/>
      <c r="O792" s="659"/>
      <c r="P792" s="659"/>
    </row>
    <row r="793" spans="14:16">
      <c r="N793" s="659"/>
      <c r="O793" s="659"/>
      <c r="P793" s="659"/>
    </row>
    <row r="794" spans="14:16">
      <c r="N794" s="659"/>
      <c r="O794" s="659"/>
      <c r="P794" s="659"/>
    </row>
    <row r="795" spans="14:16">
      <c r="N795" s="659"/>
      <c r="O795" s="659"/>
      <c r="P795" s="659"/>
    </row>
    <row r="796" spans="14:16">
      <c r="N796" s="659"/>
      <c r="O796" s="659"/>
      <c r="P796" s="659"/>
    </row>
    <row r="797" spans="14:16">
      <c r="N797" s="659"/>
      <c r="O797" s="659"/>
      <c r="P797" s="659"/>
    </row>
    <row r="798" spans="14:16">
      <c r="N798" s="659"/>
      <c r="O798" s="659"/>
      <c r="P798" s="659"/>
    </row>
    <row r="799" spans="14:16">
      <c r="N799" s="659"/>
      <c r="O799" s="659"/>
      <c r="P799" s="659"/>
    </row>
    <row r="800" spans="14:16">
      <c r="N800" s="659"/>
      <c r="O800" s="659"/>
      <c r="P800" s="659"/>
    </row>
    <row r="801" spans="14:16">
      <c r="N801" s="659"/>
      <c r="O801" s="659"/>
      <c r="P801" s="659"/>
    </row>
    <row r="802" spans="14:16">
      <c r="N802" s="659"/>
      <c r="O802" s="659"/>
      <c r="P802" s="659"/>
    </row>
    <row r="803" spans="14:16">
      <c r="N803" s="659"/>
      <c r="O803" s="659"/>
      <c r="P803" s="659"/>
    </row>
    <row r="804" spans="14:16">
      <c r="N804" s="659"/>
      <c r="O804" s="659"/>
      <c r="P804" s="659"/>
    </row>
    <row r="805" spans="14:16">
      <c r="N805" s="659"/>
      <c r="O805" s="659"/>
      <c r="P805" s="659"/>
    </row>
    <row r="806" spans="14:16">
      <c r="N806" s="659"/>
      <c r="O806" s="659"/>
      <c r="P806" s="659"/>
    </row>
    <row r="807" spans="14:16">
      <c r="N807" s="659"/>
      <c r="O807" s="659"/>
      <c r="P807" s="659"/>
    </row>
    <row r="808" spans="14:16">
      <c r="N808" s="659"/>
      <c r="O808" s="659"/>
      <c r="P808" s="659"/>
    </row>
    <row r="809" spans="14:16">
      <c r="N809" s="659"/>
      <c r="O809" s="659"/>
      <c r="P809" s="659"/>
    </row>
    <row r="810" spans="14:16">
      <c r="N810" s="659"/>
      <c r="O810" s="659"/>
      <c r="P810" s="659"/>
    </row>
    <row r="811" spans="14:16">
      <c r="N811" s="659"/>
      <c r="O811" s="659"/>
      <c r="P811" s="659"/>
    </row>
    <row r="812" spans="14:16">
      <c r="N812" s="659"/>
      <c r="O812" s="659"/>
      <c r="P812" s="659"/>
    </row>
    <row r="813" spans="14:16">
      <c r="N813" s="659"/>
      <c r="O813" s="659"/>
      <c r="P813" s="659"/>
    </row>
    <row r="814" spans="14:16">
      <c r="N814" s="659"/>
      <c r="O814" s="659"/>
      <c r="P814" s="659"/>
    </row>
    <row r="815" spans="14:16">
      <c r="N815" s="659"/>
      <c r="O815" s="659"/>
      <c r="P815" s="659"/>
    </row>
    <row r="816" spans="14:16">
      <c r="N816" s="659"/>
      <c r="O816" s="659"/>
      <c r="P816" s="659"/>
    </row>
    <row r="817" spans="14:16">
      <c r="N817" s="659"/>
      <c r="O817" s="659"/>
      <c r="P817" s="659"/>
    </row>
    <row r="818" spans="14:16">
      <c r="N818" s="659"/>
      <c r="O818" s="659"/>
      <c r="P818" s="659"/>
    </row>
    <row r="819" spans="14:16">
      <c r="N819" s="659"/>
      <c r="O819" s="659"/>
      <c r="P819" s="659"/>
    </row>
    <row r="820" spans="14:16">
      <c r="N820" s="659"/>
      <c r="O820" s="659"/>
      <c r="P820" s="659"/>
    </row>
    <row r="821" spans="14:16">
      <c r="N821" s="659"/>
      <c r="O821" s="659"/>
      <c r="P821" s="659"/>
    </row>
    <row r="822" spans="14:16">
      <c r="N822" s="659"/>
      <c r="O822" s="659"/>
      <c r="P822" s="659"/>
    </row>
    <row r="823" spans="14:16">
      <c r="N823" s="659"/>
      <c r="O823" s="659"/>
      <c r="P823" s="659"/>
    </row>
    <row r="824" spans="14:16">
      <c r="N824" s="659"/>
      <c r="O824" s="659"/>
      <c r="P824" s="659"/>
    </row>
    <row r="825" spans="14:16">
      <c r="N825" s="659"/>
      <c r="O825" s="659"/>
      <c r="P825" s="659"/>
    </row>
    <row r="826" spans="14:16">
      <c r="N826" s="659"/>
      <c r="O826" s="659"/>
      <c r="P826" s="659"/>
    </row>
    <row r="827" spans="14:16">
      <c r="N827" s="659"/>
      <c r="O827" s="659"/>
      <c r="P827" s="659"/>
    </row>
    <row r="828" spans="14:16">
      <c r="N828" s="659"/>
      <c r="O828" s="659"/>
      <c r="P828" s="659"/>
    </row>
    <row r="829" spans="14:16">
      <c r="N829" s="659"/>
      <c r="O829" s="659"/>
      <c r="P829" s="659"/>
    </row>
    <row r="830" spans="14:16">
      <c r="N830" s="659"/>
      <c r="O830" s="659"/>
      <c r="P830" s="659"/>
    </row>
    <row r="831" spans="14:16">
      <c r="N831" s="659"/>
      <c r="O831" s="659"/>
      <c r="P831" s="659"/>
    </row>
    <row r="832" spans="14:16">
      <c r="N832" s="659"/>
      <c r="O832" s="659"/>
      <c r="P832" s="659"/>
    </row>
    <row r="833" spans="14:16">
      <c r="N833" s="659"/>
      <c r="O833" s="659"/>
      <c r="P833" s="659"/>
    </row>
    <row r="834" spans="14:16">
      <c r="N834" s="659"/>
      <c r="O834" s="659"/>
      <c r="P834" s="659"/>
    </row>
    <row r="835" spans="14:16">
      <c r="N835" s="659"/>
      <c r="O835" s="659"/>
      <c r="P835" s="659"/>
    </row>
    <row r="836" spans="14:16">
      <c r="N836" s="659"/>
      <c r="O836" s="659"/>
      <c r="P836" s="659"/>
    </row>
    <row r="837" spans="14:16">
      <c r="N837" s="659"/>
      <c r="O837" s="659"/>
      <c r="P837" s="659"/>
    </row>
    <row r="838" spans="14:16">
      <c r="N838" s="659"/>
      <c r="O838" s="659"/>
      <c r="P838" s="659"/>
    </row>
    <row r="839" spans="14:16">
      <c r="N839" s="659"/>
      <c r="O839" s="659"/>
      <c r="P839" s="659"/>
    </row>
    <row r="840" spans="14:16">
      <c r="N840" s="659"/>
      <c r="O840" s="659"/>
      <c r="P840" s="659"/>
    </row>
    <row r="841" spans="14:16">
      <c r="N841" s="659"/>
      <c r="O841" s="659"/>
      <c r="P841" s="659"/>
    </row>
    <row r="842" spans="14:16">
      <c r="N842" s="659"/>
      <c r="O842" s="659"/>
      <c r="P842" s="659"/>
    </row>
    <row r="843" spans="14:16">
      <c r="N843" s="659"/>
      <c r="O843" s="659"/>
      <c r="P843" s="659"/>
    </row>
    <row r="844" spans="14:16">
      <c r="N844" s="659"/>
      <c r="O844" s="659"/>
      <c r="P844" s="659"/>
    </row>
    <row r="845" spans="14:16">
      <c r="N845" s="659"/>
      <c r="O845" s="659"/>
      <c r="P845" s="659"/>
    </row>
    <row r="846" spans="14:16">
      <c r="N846" s="659"/>
      <c r="O846" s="659"/>
      <c r="P846" s="659"/>
    </row>
    <row r="847" spans="14:16">
      <c r="N847" s="659"/>
      <c r="O847" s="659"/>
      <c r="P847" s="659"/>
    </row>
    <row r="848" spans="14:16">
      <c r="N848" s="659"/>
      <c r="O848" s="659"/>
      <c r="P848" s="659"/>
    </row>
    <row r="849" spans="14:16">
      <c r="N849" s="659"/>
      <c r="O849" s="659"/>
      <c r="P849" s="659"/>
    </row>
    <row r="850" spans="14:16">
      <c r="N850" s="659"/>
      <c r="O850" s="659"/>
      <c r="P850" s="659"/>
    </row>
    <row r="851" spans="14:16">
      <c r="N851" s="659"/>
      <c r="O851" s="659"/>
      <c r="P851" s="659"/>
    </row>
    <row r="852" spans="14:16">
      <c r="N852" s="659"/>
      <c r="O852" s="659"/>
      <c r="P852" s="659"/>
    </row>
    <row r="853" spans="14:16">
      <c r="N853" s="659"/>
      <c r="O853" s="659"/>
      <c r="P853" s="659"/>
    </row>
    <row r="854" spans="14:16">
      <c r="N854" s="659"/>
      <c r="O854" s="659"/>
      <c r="P854" s="659"/>
    </row>
    <row r="855" spans="14:16">
      <c r="N855" s="659"/>
      <c r="O855" s="659"/>
      <c r="P855" s="659"/>
    </row>
    <row r="856" spans="14:16">
      <c r="N856" s="659"/>
      <c r="O856" s="659"/>
      <c r="P856" s="659"/>
    </row>
    <row r="857" spans="14:16">
      <c r="N857" s="659"/>
      <c r="O857" s="659"/>
      <c r="P857" s="659"/>
    </row>
    <row r="858" spans="14:16">
      <c r="N858" s="659"/>
      <c r="O858" s="659"/>
      <c r="P858" s="659"/>
    </row>
    <row r="859" spans="14:16">
      <c r="N859" s="659"/>
      <c r="O859" s="659"/>
      <c r="P859" s="659"/>
    </row>
    <row r="860" spans="14:16">
      <c r="N860" s="659"/>
      <c r="O860" s="659"/>
      <c r="P860" s="659"/>
    </row>
    <row r="861" spans="14:16">
      <c r="N861" s="659"/>
      <c r="O861" s="659"/>
      <c r="P861" s="659"/>
    </row>
    <row r="862" spans="14:16">
      <c r="N862" s="659"/>
      <c r="O862" s="659"/>
      <c r="P862" s="659"/>
    </row>
    <row r="863" spans="14:16">
      <c r="N863" s="659"/>
      <c r="O863" s="659"/>
      <c r="P863" s="659"/>
    </row>
    <row r="864" spans="14:16">
      <c r="N864" s="659"/>
      <c r="O864" s="659"/>
      <c r="P864" s="659"/>
    </row>
    <row r="865" spans="14:16">
      <c r="N865" s="659"/>
      <c r="O865" s="659"/>
      <c r="P865" s="659"/>
    </row>
    <row r="866" spans="14:16">
      <c r="N866" s="659"/>
      <c r="O866" s="659"/>
      <c r="P866" s="659"/>
    </row>
    <row r="867" spans="14:16">
      <c r="N867" s="659"/>
      <c r="O867" s="659"/>
      <c r="P867" s="659"/>
    </row>
    <row r="868" spans="14:16">
      <c r="N868" s="659"/>
      <c r="O868" s="659"/>
      <c r="P868" s="659"/>
    </row>
    <row r="869" spans="14:16">
      <c r="N869" s="659"/>
      <c r="O869" s="659"/>
      <c r="P869" s="659"/>
    </row>
    <row r="870" spans="14:16">
      <c r="N870" s="659"/>
      <c r="O870" s="659"/>
      <c r="P870" s="659"/>
    </row>
    <row r="871" spans="14:16">
      <c r="N871" s="659"/>
      <c r="O871" s="659"/>
      <c r="P871" s="659"/>
    </row>
    <row r="872" spans="14:16">
      <c r="N872" s="659"/>
      <c r="O872" s="659"/>
      <c r="P872" s="659"/>
    </row>
    <row r="873" spans="14:16">
      <c r="N873" s="659"/>
      <c r="O873" s="659"/>
      <c r="P873" s="659"/>
    </row>
    <row r="874" spans="14:16">
      <c r="N874" s="659"/>
      <c r="O874" s="659"/>
      <c r="P874" s="659"/>
    </row>
    <row r="875" spans="14:16">
      <c r="N875" s="659"/>
      <c r="O875" s="659"/>
      <c r="P875" s="659"/>
    </row>
    <row r="876" spans="14:16">
      <c r="N876" s="659"/>
      <c r="O876" s="659"/>
      <c r="P876" s="659"/>
    </row>
    <row r="877" spans="14:16">
      <c r="N877" s="659"/>
      <c r="O877" s="659"/>
      <c r="P877" s="659"/>
    </row>
    <row r="878" spans="14:16">
      <c r="N878" s="659"/>
      <c r="O878" s="659"/>
      <c r="P878" s="659"/>
    </row>
    <row r="879" spans="14:16">
      <c r="N879" s="659"/>
      <c r="O879" s="659"/>
      <c r="P879" s="659"/>
    </row>
    <row r="880" spans="14:16">
      <c r="N880" s="659"/>
      <c r="O880" s="659"/>
      <c r="P880" s="659"/>
    </row>
    <row r="881" spans="14:16">
      <c r="N881" s="659"/>
      <c r="O881" s="659"/>
      <c r="P881" s="659"/>
    </row>
    <row r="882" spans="14:16">
      <c r="N882" s="659"/>
      <c r="O882" s="659"/>
      <c r="P882" s="659"/>
    </row>
    <row r="883" spans="14:16">
      <c r="N883" s="659"/>
      <c r="O883" s="659"/>
      <c r="P883" s="659"/>
    </row>
    <row r="884" spans="14:16">
      <c r="N884" s="659"/>
      <c r="O884" s="659"/>
      <c r="P884" s="659"/>
    </row>
    <row r="885" spans="14:16">
      <c r="N885" s="659"/>
      <c r="O885" s="659"/>
      <c r="P885" s="659"/>
    </row>
    <row r="886" spans="14:16">
      <c r="N886" s="659"/>
      <c r="O886" s="659"/>
      <c r="P886" s="659"/>
    </row>
    <row r="887" spans="14:16">
      <c r="N887" s="659"/>
      <c r="O887" s="659"/>
      <c r="P887" s="659"/>
    </row>
    <row r="888" spans="14:16">
      <c r="N888" s="659"/>
      <c r="O888" s="659"/>
      <c r="P888" s="659"/>
    </row>
    <row r="889" spans="14:16">
      <c r="N889" s="659"/>
      <c r="O889" s="659"/>
      <c r="P889" s="659"/>
    </row>
    <row r="890" spans="14:16">
      <c r="N890" s="659"/>
      <c r="O890" s="659"/>
      <c r="P890" s="659"/>
    </row>
    <row r="891" spans="14:16">
      <c r="N891" s="659"/>
      <c r="O891" s="659"/>
      <c r="P891" s="659"/>
    </row>
    <row r="892" spans="14:16">
      <c r="N892" s="659"/>
      <c r="O892" s="659"/>
      <c r="P892" s="659"/>
    </row>
    <row r="893" spans="14:16">
      <c r="N893" s="659"/>
      <c r="O893" s="659"/>
      <c r="P893" s="659"/>
    </row>
    <row r="894" spans="14:16">
      <c r="N894" s="659"/>
      <c r="O894" s="659"/>
      <c r="P894" s="659"/>
    </row>
    <row r="895" spans="14:16">
      <c r="N895" s="659"/>
      <c r="O895" s="659"/>
      <c r="P895" s="659"/>
    </row>
    <row r="896" spans="14:16">
      <c r="N896" s="659"/>
      <c r="O896" s="659"/>
      <c r="P896" s="659"/>
    </row>
    <row r="897" spans="14:16">
      <c r="N897" s="659"/>
      <c r="O897" s="659"/>
      <c r="P897" s="659"/>
    </row>
    <row r="898" spans="14:16">
      <c r="N898" s="659"/>
      <c r="O898" s="659"/>
      <c r="P898" s="659"/>
    </row>
    <row r="899" spans="14:16">
      <c r="N899" s="659"/>
      <c r="O899" s="659"/>
      <c r="P899" s="659"/>
    </row>
    <row r="900" spans="14:16">
      <c r="N900" s="659"/>
      <c r="O900" s="659"/>
      <c r="P900" s="659"/>
    </row>
    <row r="901" spans="14:16">
      <c r="N901" s="659"/>
      <c r="O901" s="659"/>
      <c r="P901" s="659"/>
    </row>
    <row r="902" spans="14:16">
      <c r="N902" s="659"/>
      <c r="O902" s="659"/>
      <c r="P902" s="659"/>
    </row>
    <row r="903" spans="14:16">
      <c r="N903" s="659"/>
      <c r="O903" s="659"/>
      <c r="P903" s="659"/>
    </row>
    <row r="904" spans="14:16">
      <c r="N904" s="659"/>
      <c r="O904" s="659"/>
      <c r="P904" s="659"/>
    </row>
    <row r="905" spans="14:16">
      <c r="N905" s="659"/>
      <c r="O905" s="659"/>
      <c r="P905" s="659"/>
    </row>
    <row r="906" spans="14:16">
      <c r="N906" s="659"/>
      <c r="O906" s="659"/>
      <c r="P906" s="659"/>
    </row>
    <row r="907" spans="14:16">
      <c r="N907" s="659"/>
      <c r="O907" s="659"/>
      <c r="P907" s="659"/>
    </row>
    <row r="908" spans="14:16">
      <c r="N908" s="659"/>
      <c r="O908" s="659"/>
      <c r="P908" s="659"/>
    </row>
    <row r="909" spans="14:16">
      <c r="N909" s="659"/>
      <c r="O909" s="659"/>
      <c r="P909" s="659"/>
    </row>
    <row r="910" spans="14:16">
      <c r="N910" s="659"/>
      <c r="O910" s="659"/>
      <c r="P910" s="659"/>
    </row>
    <row r="911" spans="14:16">
      <c r="N911" s="659"/>
      <c r="O911" s="659"/>
      <c r="P911" s="659"/>
    </row>
    <row r="912" spans="14:16">
      <c r="N912" s="659"/>
      <c r="O912" s="659"/>
      <c r="P912" s="659"/>
    </row>
    <row r="913" spans="14:16">
      <c r="N913" s="659"/>
      <c r="O913" s="659"/>
      <c r="P913" s="659"/>
    </row>
    <row r="914" spans="14:16">
      <c r="N914" s="659"/>
      <c r="O914" s="659"/>
      <c r="P914" s="659"/>
    </row>
    <row r="915" spans="14:16">
      <c r="N915" s="659"/>
      <c r="O915" s="659"/>
      <c r="P915" s="659"/>
    </row>
    <row r="916" spans="14:16">
      <c r="N916" s="659"/>
      <c r="O916" s="659"/>
      <c r="P916" s="659"/>
    </row>
    <row r="917" spans="14:16">
      <c r="N917" s="659"/>
      <c r="O917" s="659"/>
      <c r="P917" s="659"/>
    </row>
    <row r="918" spans="14:16">
      <c r="N918" s="659"/>
      <c r="O918" s="659"/>
      <c r="P918" s="659"/>
    </row>
    <row r="919" spans="14:16">
      <c r="N919" s="659"/>
      <c r="O919" s="659"/>
      <c r="P919" s="659"/>
    </row>
    <row r="920" spans="14:16">
      <c r="N920" s="659"/>
      <c r="O920" s="659"/>
      <c r="P920" s="659"/>
    </row>
    <row r="921" spans="14:16">
      <c r="N921" s="659"/>
      <c r="O921" s="659"/>
      <c r="P921" s="659"/>
    </row>
    <row r="922" spans="14:16">
      <c r="N922" s="659"/>
      <c r="O922" s="659"/>
      <c r="P922" s="659"/>
    </row>
    <row r="923" spans="14:16">
      <c r="N923" s="659"/>
      <c r="O923" s="659"/>
      <c r="P923" s="659"/>
    </row>
    <row r="924" spans="14:16">
      <c r="N924" s="659"/>
      <c r="O924" s="659"/>
      <c r="P924" s="659"/>
    </row>
    <row r="925" spans="14:16">
      <c r="N925" s="659"/>
      <c r="O925" s="659"/>
      <c r="P925" s="659"/>
    </row>
    <row r="926" spans="14:16">
      <c r="N926" s="659"/>
      <c r="O926" s="659"/>
      <c r="P926" s="659"/>
    </row>
    <row r="927" spans="14:16">
      <c r="N927" s="659"/>
      <c r="O927" s="659"/>
      <c r="P927" s="659"/>
    </row>
    <row r="928" spans="14:16">
      <c r="N928" s="659"/>
      <c r="O928" s="659"/>
      <c r="P928" s="659"/>
    </row>
    <row r="929" spans="14:16">
      <c r="N929" s="659"/>
      <c r="O929" s="659"/>
      <c r="P929" s="659"/>
    </row>
    <row r="930" spans="14:16">
      <c r="N930" s="659"/>
      <c r="O930" s="659"/>
      <c r="P930" s="659"/>
    </row>
    <row r="931" spans="14:16">
      <c r="N931" s="659"/>
      <c r="O931" s="659"/>
      <c r="P931" s="659"/>
    </row>
    <row r="932" spans="14:16">
      <c r="N932" s="659"/>
      <c r="O932" s="659"/>
      <c r="P932" s="659"/>
    </row>
    <row r="933" spans="14:16">
      <c r="N933" s="659"/>
      <c r="O933" s="659"/>
      <c r="P933" s="659"/>
    </row>
    <row r="934" spans="14:16">
      <c r="N934" s="659"/>
      <c r="O934" s="659"/>
      <c r="P934" s="659"/>
    </row>
    <row r="935" spans="14:16">
      <c r="N935" s="659"/>
      <c r="O935" s="659"/>
      <c r="P935" s="659"/>
    </row>
    <row r="936" spans="14:16">
      <c r="N936" s="659"/>
      <c r="O936" s="659"/>
      <c r="P936" s="659"/>
    </row>
    <row r="937" spans="14:16">
      <c r="N937" s="659"/>
      <c r="O937" s="659"/>
      <c r="P937" s="659"/>
    </row>
    <row r="938" spans="14:16">
      <c r="N938" s="659"/>
      <c r="O938" s="659"/>
      <c r="P938" s="659"/>
    </row>
    <row r="939" spans="14:16">
      <c r="N939" s="659"/>
      <c r="O939" s="659"/>
      <c r="P939" s="659"/>
    </row>
    <row r="940" spans="14:16">
      <c r="N940" s="659"/>
      <c r="O940" s="659"/>
      <c r="P940" s="659"/>
    </row>
    <row r="941" spans="14:16">
      <c r="N941" s="659"/>
      <c r="O941" s="659"/>
      <c r="P941" s="659"/>
    </row>
    <row r="942" spans="14:16">
      <c r="N942" s="659"/>
      <c r="O942" s="659"/>
      <c r="P942" s="659"/>
    </row>
    <row r="943" spans="14:16">
      <c r="N943" s="659"/>
      <c r="O943" s="659"/>
      <c r="P943" s="659"/>
    </row>
    <row r="944" spans="14:16">
      <c r="N944" s="659"/>
      <c r="O944" s="659"/>
      <c r="P944" s="659"/>
    </row>
    <row r="945" spans="14:16">
      <c r="N945" s="659"/>
      <c r="O945" s="659"/>
      <c r="P945" s="659"/>
    </row>
    <row r="946" spans="14:16">
      <c r="N946" s="659"/>
      <c r="O946" s="659"/>
      <c r="P946" s="659"/>
    </row>
    <row r="947" spans="14:16">
      <c r="N947" s="659"/>
      <c r="O947" s="659"/>
      <c r="P947" s="659"/>
    </row>
    <row r="948" spans="14:16">
      <c r="N948" s="659"/>
      <c r="O948" s="659"/>
      <c r="P948" s="659"/>
    </row>
    <row r="949" spans="14:16">
      <c r="N949" s="659"/>
      <c r="O949" s="659"/>
      <c r="P949" s="659"/>
    </row>
    <row r="950" spans="14:16">
      <c r="N950" s="659"/>
      <c r="O950" s="659"/>
      <c r="P950" s="659"/>
    </row>
    <row r="951" spans="14:16">
      <c r="N951" s="659"/>
      <c r="O951" s="659"/>
      <c r="P951" s="659"/>
    </row>
    <row r="952" spans="14:16">
      <c r="N952" s="659"/>
      <c r="O952" s="659"/>
      <c r="P952" s="659"/>
    </row>
    <row r="953" spans="14:16">
      <c r="N953" s="659"/>
      <c r="O953" s="659"/>
      <c r="P953" s="659"/>
    </row>
    <row r="954" spans="14:16">
      <c r="N954" s="659"/>
      <c r="O954" s="659"/>
      <c r="P954" s="659"/>
    </row>
    <row r="955" spans="14:16">
      <c r="N955" s="659"/>
      <c r="O955" s="659"/>
      <c r="P955" s="659"/>
    </row>
    <row r="956" spans="14:16">
      <c r="N956" s="659"/>
      <c r="O956" s="659"/>
      <c r="P956" s="659"/>
    </row>
    <row r="957" spans="14:16">
      <c r="N957" s="659"/>
      <c r="O957" s="659"/>
      <c r="P957" s="659"/>
    </row>
    <row r="958" spans="14:16">
      <c r="N958" s="659"/>
      <c r="O958" s="659"/>
      <c r="P958" s="659"/>
    </row>
    <row r="959" spans="14:16">
      <c r="N959" s="659"/>
      <c r="O959" s="659"/>
      <c r="P959" s="659"/>
    </row>
    <row r="960" spans="14:16">
      <c r="N960" s="659"/>
      <c r="O960" s="659"/>
      <c r="P960" s="659"/>
    </row>
    <row r="961" spans="14:16">
      <c r="N961" s="659"/>
      <c r="O961" s="659"/>
      <c r="P961" s="659"/>
    </row>
    <row r="962" spans="14:16">
      <c r="N962" s="659"/>
      <c r="O962" s="659"/>
      <c r="P962" s="659"/>
    </row>
    <row r="963" spans="14:16">
      <c r="N963" s="659"/>
      <c r="O963" s="659"/>
      <c r="P963" s="659"/>
    </row>
    <row r="964" spans="14:16">
      <c r="N964" s="659"/>
      <c r="O964" s="659"/>
      <c r="P964" s="659"/>
    </row>
    <row r="965" spans="14:16">
      <c r="N965" s="659"/>
      <c r="O965" s="659"/>
      <c r="P965" s="659"/>
    </row>
    <row r="966" spans="14:16">
      <c r="N966" s="659"/>
      <c r="O966" s="659"/>
      <c r="P966" s="659"/>
    </row>
    <row r="967" spans="14:16">
      <c r="N967" s="659"/>
      <c r="O967" s="659"/>
      <c r="P967" s="659"/>
    </row>
    <row r="968" spans="14:16">
      <c r="N968" s="659"/>
      <c r="O968" s="659"/>
      <c r="P968" s="659"/>
    </row>
    <row r="969" spans="14:16">
      <c r="N969" s="659"/>
      <c r="O969" s="659"/>
      <c r="P969" s="659"/>
    </row>
    <row r="970" spans="14:16">
      <c r="N970" s="659"/>
      <c r="O970" s="659"/>
      <c r="P970" s="659"/>
    </row>
    <row r="971" spans="14:16">
      <c r="N971" s="659"/>
      <c r="O971" s="659"/>
      <c r="P971" s="659"/>
    </row>
    <row r="972" spans="14:16">
      <c r="N972" s="659"/>
      <c r="O972" s="659"/>
      <c r="P972" s="659"/>
    </row>
    <row r="973" spans="14:16">
      <c r="N973" s="659"/>
      <c r="O973" s="659"/>
      <c r="P973" s="659"/>
    </row>
    <row r="974" spans="14:16">
      <c r="N974" s="659"/>
      <c r="O974" s="659"/>
      <c r="P974" s="659"/>
    </row>
    <row r="975" spans="14:16">
      <c r="N975" s="659"/>
      <c r="O975" s="659"/>
      <c r="P975" s="659"/>
    </row>
    <row r="976" spans="14:16">
      <c r="N976" s="659"/>
      <c r="O976" s="659"/>
      <c r="P976" s="659"/>
    </row>
    <row r="977" spans="14:16">
      <c r="N977" s="659"/>
      <c r="O977" s="659"/>
      <c r="P977" s="659"/>
    </row>
    <row r="978" spans="14:16">
      <c r="N978" s="659"/>
      <c r="O978" s="659"/>
      <c r="P978" s="659"/>
    </row>
    <row r="979" spans="14:16">
      <c r="N979" s="659"/>
      <c r="O979" s="659"/>
      <c r="P979" s="659"/>
    </row>
    <row r="980" spans="14:16">
      <c r="N980" s="659"/>
      <c r="O980" s="659"/>
      <c r="P980" s="659"/>
    </row>
    <row r="981" spans="14:16">
      <c r="N981" s="659"/>
      <c r="O981" s="659"/>
      <c r="P981" s="659"/>
    </row>
    <row r="982" spans="14:16">
      <c r="N982" s="659"/>
      <c r="O982" s="659"/>
      <c r="P982" s="659"/>
    </row>
    <row r="983" spans="14:16">
      <c r="N983" s="659"/>
      <c r="O983" s="659"/>
      <c r="P983" s="659"/>
    </row>
    <row r="984" spans="14:16">
      <c r="N984" s="659"/>
      <c r="O984" s="659"/>
      <c r="P984" s="659"/>
    </row>
    <row r="985" spans="14:16">
      <c r="N985" s="659"/>
      <c r="O985" s="659"/>
      <c r="P985" s="659"/>
    </row>
    <row r="986" spans="14:16">
      <c r="N986" s="659"/>
      <c r="O986" s="659"/>
      <c r="P986" s="659"/>
    </row>
    <row r="987" spans="14:16">
      <c r="N987" s="659"/>
      <c r="O987" s="659"/>
      <c r="P987" s="659"/>
    </row>
    <row r="988" spans="14:16">
      <c r="N988" s="659"/>
      <c r="O988" s="659"/>
      <c r="P988" s="659"/>
    </row>
    <row r="989" spans="14:16">
      <c r="N989" s="659"/>
      <c r="O989" s="659"/>
      <c r="P989" s="659"/>
    </row>
    <row r="990" spans="14:16">
      <c r="N990" s="659"/>
      <c r="O990" s="659"/>
      <c r="P990" s="659"/>
    </row>
    <row r="991" spans="14:16">
      <c r="N991" s="659"/>
      <c r="O991" s="659"/>
      <c r="P991" s="659"/>
    </row>
    <row r="992" spans="14:16">
      <c r="N992" s="659"/>
      <c r="O992" s="659"/>
      <c r="P992" s="659"/>
    </row>
    <row r="993" spans="14:16">
      <c r="N993" s="659"/>
      <c r="O993" s="659"/>
      <c r="P993" s="659"/>
    </row>
    <row r="994" spans="14:16">
      <c r="N994" s="659"/>
      <c r="O994" s="659"/>
      <c r="P994" s="659"/>
    </row>
    <row r="995" spans="14:16">
      <c r="N995" s="659"/>
      <c r="O995" s="659"/>
      <c r="P995" s="659"/>
    </row>
    <row r="996" spans="14:16">
      <c r="N996" s="659"/>
      <c r="O996" s="659"/>
      <c r="P996" s="659"/>
    </row>
    <row r="997" spans="14:16">
      <c r="N997" s="659"/>
      <c r="O997" s="659"/>
      <c r="P997" s="659"/>
    </row>
    <row r="998" spans="14:16">
      <c r="N998" s="659"/>
      <c r="O998" s="659"/>
      <c r="P998" s="659"/>
    </row>
    <row r="999" spans="14:16">
      <c r="N999" s="659"/>
      <c r="O999" s="659"/>
      <c r="P999" s="659"/>
    </row>
    <row r="1000" spans="14:16">
      <c r="N1000" s="659"/>
      <c r="O1000" s="659"/>
      <c r="P1000" s="659"/>
    </row>
    <row r="1001" spans="14:16">
      <c r="N1001" s="659"/>
      <c r="O1001" s="659"/>
      <c r="P1001" s="659"/>
    </row>
    <row r="1002" spans="14:16">
      <c r="N1002" s="659"/>
      <c r="O1002" s="659"/>
      <c r="P1002" s="659"/>
    </row>
    <row r="1003" spans="14:16">
      <c r="N1003" s="659"/>
      <c r="O1003" s="659"/>
      <c r="P1003" s="659"/>
    </row>
    <row r="1004" spans="14:16">
      <c r="N1004" s="659"/>
      <c r="O1004" s="659"/>
      <c r="P1004" s="659"/>
    </row>
    <row r="1005" spans="14:16">
      <c r="N1005" s="659"/>
      <c r="O1005" s="659"/>
      <c r="P1005" s="659"/>
    </row>
    <row r="1006" spans="14:16">
      <c r="N1006" s="659"/>
      <c r="O1006" s="659"/>
      <c r="P1006" s="659"/>
    </row>
    <row r="1007" spans="14:16">
      <c r="N1007" s="659"/>
      <c r="O1007" s="659"/>
      <c r="P1007" s="659"/>
    </row>
    <row r="1008" spans="14:16">
      <c r="N1008" s="659"/>
      <c r="O1008" s="659"/>
      <c r="P1008" s="659"/>
    </row>
    <row r="1009" spans="14:16">
      <c r="N1009" s="659"/>
      <c r="O1009" s="659"/>
      <c r="P1009" s="659"/>
    </row>
    <row r="1010" spans="14:16">
      <c r="N1010" s="659"/>
      <c r="O1010" s="659"/>
      <c r="P1010" s="659"/>
    </row>
    <row r="1011" spans="14:16">
      <c r="N1011" s="659"/>
      <c r="O1011" s="659"/>
      <c r="P1011" s="659"/>
    </row>
    <row r="1012" spans="14:16">
      <c r="N1012" s="659"/>
      <c r="O1012" s="659"/>
      <c r="P1012" s="659"/>
    </row>
    <row r="1013" spans="14:16">
      <c r="N1013" s="659"/>
      <c r="O1013" s="659"/>
      <c r="P1013" s="659"/>
    </row>
    <row r="1014" spans="14:16">
      <c r="N1014" s="659"/>
      <c r="O1014" s="659"/>
      <c r="P1014" s="659"/>
    </row>
    <row r="1015" spans="14:16">
      <c r="N1015" s="659"/>
      <c r="O1015" s="659"/>
      <c r="P1015" s="659"/>
    </row>
    <row r="1016" spans="14:16">
      <c r="N1016" s="659"/>
      <c r="O1016" s="659"/>
      <c r="P1016" s="659"/>
    </row>
    <row r="1017" spans="14:16">
      <c r="N1017" s="659"/>
      <c r="O1017" s="659"/>
      <c r="P1017" s="659"/>
    </row>
    <row r="1018" spans="14:16">
      <c r="N1018" s="659"/>
      <c r="O1018" s="659"/>
      <c r="P1018" s="659"/>
    </row>
    <row r="1019" spans="14:16">
      <c r="N1019" s="659"/>
      <c r="O1019" s="659"/>
      <c r="P1019" s="659"/>
    </row>
    <row r="1020" spans="14:16">
      <c r="N1020" s="659"/>
      <c r="O1020" s="659"/>
      <c r="P1020" s="659"/>
    </row>
    <row r="1021" spans="14:16">
      <c r="N1021" s="659"/>
      <c r="O1021" s="659"/>
      <c r="P1021" s="659"/>
    </row>
    <row r="1022" spans="14:16">
      <c r="N1022" s="659"/>
      <c r="O1022" s="659"/>
      <c r="P1022" s="659"/>
    </row>
    <row r="1023" spans="14:16">
      <c r="N1023" s="659"/>
      <c r="O1023" s="659"/>
      <c r="P1023" s="659"/>
    </row>
    <row r="1024" spans="14:16">
      <c r="N1024" s="659"/>
      <c r="O1024" s="659"/>
      <c r="P1024" s="659"/>
    </row>
    <row r="1025" spans="14:16">
      <c r="N1025" s="659"/>
      <c r="O1025" s="659"/>
      <c r="P1025" s="659"/>
    </row>
    <row r="1026" spans="14:16">
      <c r="N1026" s="659"/>
      <c r="O1026" s="659"/>
      <c r="P1026" s="659"/>
    </row>
    <row r="1027" spans="14:16">
      <c r="N1027" s="659"/>
      <c r="O1027" s="659"/>
      <c r="P1027" s="659"/>
    </row>
    <row r="1028" spans="14:16">
      <c r="N1028" s="659"/>
      <c r="O1028" s="659"/>
      <c r="P1028" s="659"/>
    </row>
    <row r="1029" spans="14:16">
      <c r="N1029" s="659"/>
      <c r="O1029" s="659"/>
      <c r="P1029" s="659"/>
    </row>
    <row r="1030" spans="14:16">
      <c r="N1030" s="659"/>
      <c r="O1030" s="659"/>
      <c r="P1030" s="659"/>
    </row>
    <row r="1031" spans="14:16">
      <c r="N1031" s="659"/>
      <c r="O1031" s="659"/>
      <c r="P1031" s="659"/>
    </row>
    <row r="1032" spans="14:16">
      <c r="N1032" s="659"/>
      <c r="O1032" s="659"/>
      <c r="P1032" s="659"/>
    </row>
    <row r="1033" spans="14:16">
      <c r="N1033" s="659"/>
      <c r="O1033" s="659"/>
      <c r="P1033" s="659"/>
    </row>
    <row r="1034" spans="14:16">
      <c r="N1034" s="659"/>
      <c r="O1034" s="659"/>
      <c r="P1034" s="659"/>
    </row>
    <row r="1035" spans="14:16">
      <c r="N1035" s="659"/>
      <c r="O1035" s="659"/>
      <c r="P1035" s="659"/>
    </row>
    <row r="1036" spans="14:16">
      <c r="N1036" s="659"/>
      <c r="O1036" s="659"/>
      <c r="P1036" s="659"/>
    </row>
    <row r="1037" spans="14:16">
      <c r="N1037" s="659"/>
      <c r="O1037" s="659"/>
      <c r="P1037" s="659"/>
    </row>
    <row r="1038" spans="14:16">
      <c r="N1038" s="659"/>
      <c r="O1038" s="659"/>
      <c r="P1038" s="659"/>
    </row>
    <row r="1039" spans="14:16">
      <c r="N1039" s="659"/>
      <c r="O1039" s="659"/>
      <c r="P1039" s="659"/>
    </row>
    <row r="1040" spans="14:16">
      <c r="N1040" s="659"/>
      <c r="O1040" s="659"/>
      <c r="P1040" s="659"/>
    </row>
    <row r="1041" spans="14:16">
      <c r="N1041" s="659"/>
      <c r="O1041" s="659"/>
      <c r="P1041" s="659"/>
    </row>
    <row r="1042" spans="14:16">
      <c r="N1042" s="659"/>
      <c r="O1042" s="659"/>
      <c r="P1042" s="659"/>
    </row>
    <row r="1043" spans="14:16">
      <c r="N1043" s="659"/>
      <c r="O1043" s="659"/>
      <c r="P1043" s="659"/>
    </row>
    <row r="1044" spans="14:16">
      <c r="N1044" s="659"/>
      <c r="O1044" s="659"/>
      <c r="P1044" s="659"/>
    </row>
    <row r="1045" spans="14:16">
      <c r="N1045" s="659"/>
      <c r="O1045" s="659"/>
      <c r="P1045" s="659"/>
    </row>
    <row r="1046" spans="14:16">
      <c r="N1046" s="659"/>
      <c r="O1046" s="659"/>
      <c r="P1046" s="659"/>
    </row>
    <row r="1047" spans="14:16">
      <c r="N1047" s="659"/>
      <c r="O1047" s="659"/>
      <c r="P1047" s="659"/>
    </row>
    <row r="1048" spans="14:16">
      <c r="N1048" s="659"/>
      <c r="O1048" s="659"/>
      <c r="P1048" s="659"/>
    </row>
    <row r="1049" spans="14:16">
      <c r="N1049" s="659"/>
      <c r="O1049" s="659"/>
      <c r="P1049" s="659"/>
    </row>
    <row r="1050" spans="14:16">
      <c r="N1050" s="659"/>
      <c r="O1050" s="659"/>
      <c r="P1050" s="659"/>
    </row>
    <row r="1051" spans="14:16">
      <c r="N1051" s="659"/>
      <c r="O1051" s="659"/>
      <c r="P1051" s="659"/>
    </row>
    <row r="1052" spans="14:16">
      <c r="N1052" s="659"/>
      <c r="O1052" s="659"/>
      <c r="P1052" s="659"/>
    </row>
    <row r="1053" spans="14:16">
      <c r="N1053" s="659"/>
      <c r="O1053" s="659"/>
      <c r="P1053" s="659"/>
    </row>
    <row r="1054" spans="14:16">
      <c r="N1054" s="659"/>
      <c r="O1054" s="659"/>
      <c r="P1054" s="659"/>
    </row>
    <row r="1055" spans="14:16">
      <c r="N1055" s="659"/>
      <c r="O1055" s="659"/>
      <c r="P1055" s="659"/>
    </row>
    <row r="1056" spans="14:16">
      <c r="N1056" s="659"/>
      <c r="O1056" s="659"/>
      <c r="P1056" s="659"/>
    </row>
    <row r="1057" spans="14:16">
      <c r="N1057" s="659"/>
      <c r="O1057" s="659"/>
      <c r="P1057" s="659"/>
    </row>
    <row r="1058" spans="14:16">
      <c r="N1058" s="659"/>
      <c r="O1058" s="659"/>
      <c r="P1058" s="659"/>
    </row>
    <row r="1059" spans="14:16">
      <c r="N1059" s="659"/>
      <c r="O1059" s="659"/>
      <c r="P1059" s="659"/>
    </row>
    <row r="1060" spans="14:16">
      <c r="N1060" s="659"/>
      <c r="O1060" s="659"/>
      <c r="P1060" s="659"/>
    </row>
    <row r="1061" spans="14:16">
      <c r="N1061" s="659"/>
      <c r="O1061" s="659"/>
      <c r="P1061" s="659"/>
    </row>
    <row r="1062" spans="14:16">
      <c r="N1062" s="659"/>
      <c r="O1062" s="659"/>
      <c r="P1062" s="659"/>
    </row>
    <row r="1063" spans="14:16">
      <c r="N1063" s="659"/>
      <c r="O1063" s="659"/>
      <c r="P1063" s="659"/>
    </row>
    <row r="1064" spans="14:16">
      <c r="N1064" s="659"/>
      <c r="O1064" s="659"/>
      <c r="P1064" s="659"/>
    </row>
    <row r="1065" spans="14:16">
      <c r="N1065" s="659"/>
      <c r="O1065" s="659"/>
      <c r="P1065" s="659"/>
    </row>
    <row r="1066" spans="14:16">
      <c r="N1066" s="659"/>
      <c r="O1066" s="659"/>
      <c r="P1066" s="659"/>
    </row>
    <row r="1067" spans="14:16">
      <c r="N1067" s="659"/>
      <c r="O1067" s="659"/>
      <c r="P1067" s="659"/>
    </row>
    <row r="1068" spans="14:16">
      <c r="N1068" s="659"/>
      <c r="O1068" s="659"/>
      <c r="P1068" s="659"/>
    </row>
    <row r="1069" spans="14:16">
      <c r="N1069" s="659"/>
      <c r="O1069" s="659"/>
      <c r="P1069" s="659"/>
    </row>
    <row r="1070" spans="14:16">
      <c r="N1070" s="659"/>
      <c r="O1070" s="659"/>
      <c r="P1070" s="659"/>
    </row>
    <row r="1071" spans="14:16">
      <c r="N1071" s="659"/>
      <c r="O1071" s="659"/>
      <c r="P1071" s="659"/>
    </row>
    <row r="1072" spans="14:16">
      <c r="N1072" s="659"/>
      <c r="O1072" s="659"/>
      <c r="P1072" s="659"/>
    </row>
    <row r="1073" spans="14:16">
      <c r="N1073" s="659"/>
      <c r="O1073" s="659"/>
      <c r="P1073" s="659"/>
    </row>
    <row r="1074" spans="14:16">
      <c r="N1074" s="659"/>
      <c r="O1074" s="659"/>
      <c r="P1074" s="659"/>
    </row>
    <row r="1075" spans="14:16">
      <c r="N1075" s="659"/>
      <c r="O1075" s="659"/>
      <c r="P1075" s="659"/>
    </row>
    <row r="1076" spans="14:16">
      <c r="N1076" s="659"/>
      <c r="O1076" s="659"/>
      <c r="P1076" s="659"/>
    </row>
    <row r="1077" spans="14:16">
      <c r="N1077" s="659"/>
      <c r="O1077" s="659"/>
      <c r="P1077" s="659"/>
    </row>
    <row r="1078" spans="14:16">
      <c r="N1078" s="659"/>
      <c r="O1078" s="659"/>
      <c r="P1078" s="659"/>
    </row>
    <row r="1079" spans="14:16">
      <c r="N1079" s="659"/>
      <c r="O1079" s="659"/>
      <c r="P1079" s="659"/>
    </row>
    <row r="1080" spans="14:16">
      <c r="N1080" s="659"/>
      <c r="O1080" s="659"/>
      <c r="P1080" s="659"/>
    </row>
    <row r="1081" spans="14:16">
      <c r="N1081" s="659"/>
      <c r="O1081" s="659"/>
      <c r="P1081" s="659"/>
    </row>
    <row r="1082" spans="14:16">
      <c r="N1082" s="659"/>
      <c r="O1082" s="659"/>
      <c r="P1082" s="659"/>
    </row>
    <row r="1083" spans="14:16">
      <c r="N1083" s="659"/>
      <c r="O1083" s="659"/>
      <c r="P1083" s="659"/>
    </row>
    <row r="1084" spans="14:16">
      <c r="N1084" s="659"/>
      <c r="O1084" s="659"/>
      <c r="P1084" s="659"/>
    </row>
    <row r="1085" spans="14:16">
      <c r="N1085" s="659"/>
      <c r="O1085" s="659"/>
      <c r="P1085" s="659"/>
    </row>
    <row r="1086" spans="14:16">
      <c r="N1086" s="659"/>
      <c r="O1086" s="659"/>
      <c r="P1086" s="659"/>
    </row>
    <row r="1087" spans="14:16">
      <c r="N1087" s="659"/>
      <c r="O1087" s="659"/>
      <c r="P1087" s="659"/>
    </row>
    <row r="1088" spans="14:16">
      <c r="N1088" s="659"/>
      <c r="O1088" s="659"/>
      <c r="P1088" s="659"/>
    </row>
    <row r="1089" spans="14:16">
      <c r="N1089" s="659"/>
      <c r="O1089" s="659"/>
      <c r="P1089" s="659"/>
    </row>
    <row r="1090" spans="14:16">
      <c r="N1090" s="659"/>
      <c r="O1090" s="659"/>
      <c r="P1090" s="659"/>
    </row>
    <row r="1091" spans="14:16">
      <c r="N1091" s="659"/>
      <c r="O1091" s="659"/>
      <c r="P1091" s="659"/>
    </row>
    <row r="1092" spans="14:16">
      <c r="N1092" s="659"/>
      <c r="O1092" s="659"/>
      <c r="P1092" s="659"/>
    </row>
    <row r="1093" spans="14:16">
      <c r="N1093" s="659"/>
      <c r="O1093" s="659"/>
      <c r="P1093" s="659"/>
    </row>
    <row r="1094" spans="14:16">
      <c r="N1094" s="659"/>
      <c r="O1094" s="659"/>
      <c r="P1094" s="659"/>
    </row>
    <row r="1095" spans="14:16">
      <c r="N1095" s="659"/>
      <c r="O1095" s="659"/>
      <c r="P1095" s="659"/>
    </row>
    <row r="1096" spans="14:16">
      <c r="N1096" s="659"/>
      <c r="O1096" s="659"/>
      <c r="P1096" s="659"/>
    </row>
    <row r="1097" spans="14:16">
      <c r="N1097" s="659"/>
      <c r="O1097" s="659"/>
      <c r="P1097" s="659"/>
    </row>
    <row r="1098" spans="14:16">
      <c r="N1098" s="659"/>
      <c r="O1098" s="659"/>
      <c r="P1098" s="659"/>
    </row>
    <row r="1099" spans="14:16">
      <c r="N1099" s="659"/>
      <c r="O1099" s="659"/>
      <c r="P1099" s="659"/>
    </row>
    <row r="1100" spans="14:16">
      <c r="N1100" s="659"/>
      <c r="O1100" s="659"/>
      <c r="P1100" s="659"/>
    </row>
    <row r="1101" spans="14:16">
      <c r="N1101" s="659"/>
      <c r="O1101" s="659"/>
      <c r="P1101" s="659"/>
    </row>
    <row r="1102" spans="14:16">
      <c r="N1102" s="659"/>
      <c r="O1102" s="659"/>
      <c r="P1102" s="659"/>
    </row>
    <row r="1103" spans="14:16">
      <c r="N1103" s="659"/>
      <c r="O1103" s="659"/>
      <c r="P1103" s="659"/>
    </row>
    <row r="1104" spans="14:16">
      <c r="N1104" s="659"/>
      <c r="O1104" s="659"/>
      <c r="P1104" s="659"/>
    </row>
    <row r="1105" spans="14:16">
      <c r="N1105" s="659"/>
      <c r="O1105" s="659"/>
      <c r="P1105" s="659"/>
    </row>
    <row r="1106" spans="14:16">
      <c r="N1106" s="659"/>
      <c r="O1106" s="659"/>
      <c r="P1106" s="659"/>
    </row>
    <row r="1107" spans="14:16">
      <c r="N1107" s="659"/>
      <c r="O1107" s="659"/>
      <c r="P1107" s="659"/>
    </row>
    <row r="1108" spans="14:16">
      <c r="N1108" s="659"/>
      <c r="O1108" s="659"/>
      <c r="P1108" s="659"/>
    </row>
    <row r="1109" spans="14:16">
      <c r="N1109" s="659"/>
      <c r="O1109" s="659"/>
      <c r="P1109" s="659"/>
    </row>
    <row r="1110" spans="14:16">
      <c r="N1110" s="659"/>
      <c r="O1110" s="659"/>
      <c r="P1110" s="659"/>
    </row>
    <row r="1111" spans="14:16">
      <c r="N1111" s="659"/>
      <c r="O1111" s="659"/>
      <c r="P1111" s="659"/>
    </row>
    <row r="1112" spans="14:16">
      <c r="N1112" s="659"/>
      <c r="O1112" s="659"/>
      <c r="P1112" s="659"/>
    </row>
    <row r="1113" spans="14:16">
      <c r="N1113" s="659"/>
      <c r="O1113" s="659"/>
      <c r="P1113" s="659"/>
    </row>
    <row r="1114" spans="14:16">
      <c r="N1114" s="659"/>
      <c r="O1114" s="659"/>
      <c r="P1114" s="659"/>
    </row>
    <row r="1115" spans="14:16">
      <c r="N1115" s="659"/>
      <c r="O1115" s="659"/>
      <c r="P1115" s="659"/>
    </row>
    <row r="1116" spans="14:16">
      <c r="N1116" s="659"/>
      <c r="O1116" s="659"/>
      <c r="P1116" s="659"/>
    </row>
    <row r="1117" spans="14:16">
      <c r="N1117" s="659"/>
      <c r="O1117" s="659"/>
      <c r="P1117" s="659"/>
    </row>
    <row r="1118" spans="14:16">
      <c r="N1118" s="659"/>
      <c r="O1118" s="659"/>
      <c r="P1118" s="659"/>
    </row>
    <row r="1119" spans="14:16">
      <c r="N1119" s="659"/>
      <c r="O1119" s="659"/>
      <c r="P1119" s="659"/>
    </row>
    <row r="1120" spans="14:16">
      <c r="N1120" s="659"/>
      <c r="O1120" s="659"/>
      <c r="P1120" s="659"/>
    </row>
    <row r="1121" spans="14:16">
      <c r="N1121" s="659"/>
      <c r="O1121" s="659"/>
      <c r="P1121" s="659"/>
    </row>
    <row r="1122" spans="14:16">
      <c r="N1122" s="659"/>
      <c r="O1122" s="659"/>
      <c r="P1122" s="659"/>
    </row>
    <row r="1123" spans="14:16">
      <c r="N1123" s="659"/>
      <c r="O1123" s="659"/>
      <c r="P1123" s="659"/>
    </row>
    <row r="1124" spans="14:16">
      <c r="N1124" s="659"/>
      <c r="O1124" s="659"/>
      <c r="P1124" s="659"/>
    </row>
    <row r="1125" spans="14:16">
      <c r="N1125" s="659"/>
      <c r="O1125" s="659"/>
      <c r="P1125" s="659"/>
    </row>
    <row r="1126" spans="14:16">
      <c r="N1126" s="659"/>
      <c r="O1126" s="659"/>
      <c r="P1126" s="659"/>
    </row>
    <row r="1127" spans="14:16">
      <c r="N1127" s="659"/>
      <c r="O1127" s="659"/>
      <c r="P1127" s="659"/>
    </row>
    <row r="1128" spans="14:16">
      <c r="N1128" s="659"/>
      <c r="O1128" s="659"/>
      <c r="P1128" s="659"/>
    </row>
    <row r="1129" spans="14:16">
      <c r="N1129" s="659"/>
      <c r="O1129" s="659"/>
      <c r="P1129" s="659"/>
    </row>
    <row r="1130" spans="14:16">
      <c r="N1130" s="659"/>
      <c r="O1130" s="659"/>
      <c r="P1130" s="659"/>
    </row>
    <row r="1131" spans="14:16">
      <c r="N1131" s="659"/>
      <c r="O1131" s="659"/>
      <c r="P1131" s="659"/>
    </row>
    <row r="1132" spans="14:16">
      <c r="N1132" s="659"/>
      <c r="O1132" s="659"/>
      <c r="P1132" s="659"/>
    </row>
    <row r="1133" spans="14:16">
      <c r="N1133" s="659"/>
      <c r="O1133" s="659"/>
      <c r="P1133" s="659"/>
    </row>
    <row r="1134" spans="14:16">
      <c r="N1134" s="659"/>
      <c r="O1134" s="659"/>
      <c r="P1134" s="659"/>
    </row>
    <row r="1135" spans="14:16">
      <c r="N1135" s="659"/>
      <c r="O1135" s="659"/>
      <c r="P1135" s="659"/>
    </row>
    <row r="1136" spans="14:16">
      <c r="N1136" s="659"/>
      <c r="O1136" s="659"/>
      <c r="P1136" s="659"/>
    </row>
    <row r="1137" spans="14:16">
      <c r="N1137" s="659"/>
      <c r="O1137" s="659"/>
      <c r="P1137" s="659"/>
    </row>
    <row r="1138" spans="14:16">
      <c r="N1138" s="659"/>
      <c r="O1138" s="659"/>
      <c r="P1138" s="659"/>
    </row>
    <row r="1139" spans="14:16">
      <c r="N1139" s="659"/>
      <c r="O1139" s="659"/>
      <c r="P1139" s="659"/>
    </row>
    <row r="1140" spans="14:16">
      <c r="N1140" s="659"/>
      <c r="O1140" s="659"/>
      <c r="P1140" s="659"/>
    </row>
    <row r="1141" spans="14:16">
      <c r="N1141" s="659"/>
      <c r="O1141" s="659"/>
      <c r="P1141" s="659"/>
    </row>
    <row r="1142" spans="14:16">
      <c r="N1142" s="659"/>
      <c r="O1142" s="659"/>
      <c r="P1142" s="659"/>
    </row>
    <row r="1143" spans="14:16">
      <c r="N1143" s="659"/>
      <c r="O1143" s="659"/>
      <c r="P1143" s="659"/>
    </row>
    <row r="1144" spans="14:16">
      <c r="N1144" s="659"/>
      <c r="O1144" s="659"/>
      <c r="P1144" s="659"/>
    </row>
    <row r="1145" spans="14:16">
      <c r="N1145" s="659"/>
      <c r="O1145" s="659"/>
      <c r="P1145" s="659"/>
    </row>
    <row r="1146" spans="14:16">
      <c r="N1146" s="659"/>
      <c r="O1146" s="659"/>
      <c r="P1146" s="659"/>
    </row>
    <row r="1147" spans="14:16">
      <c r="N1147" s="659"/>
      <c r="O1147" s="659"/>
      <c r="P1147" s="659"/>
    </row>
    <row r="1148" spans="14:16">
      <c r="N1148" s="659"/>
      <c r="O1148" s="659"/>
      <c r="P1148" s="659"/>
    </row>
    <row r="1149" spans="14:16">
      <c r="N1149" s="659"/>
      <c r="O1149" s="659"/>
      <c r="P1149" s="659"/>
    </row>
    <row r="1150" spans="14:16">
      <c r="N1150" s="659"/>
      <c r="O1150" s="659"/>
      <c r="P1150" s="659"/>
    </row>
    <row r="1151" spans="14:16">
      <c r="N1151" s="659"/>
      <c r="O1151" s="659"/>
      <c r="P1151" s="659"/>
    </row>
    <row r="1152" spans="14:16">
      <c r="N1152" s="659"/>
      <c r="O1152" s="659"/>
      <c r="P1152" s="659"/>
    </row>
    <row r="1153" spans="14:16">
      <c r="N1153" s="659"/>
      <c r="O1153" s="659"/>
      <c r="P1153" s="659"/>
    </row>
    <row r="1154" spans="14:16">
      <c r="N1154" s="659"/>
      <c r="O1154" s="659"/>
      <c r="P1154" s="659"/>
    </row>
    <row r="1155" spans="14:16">
      <c r="N1155" s="659"/>
      <c r="O1155" s="659"/>
      <c r="P1155" s="659"/>
    </row>
    <row r="1156" spans="14:16">
      <c r="N1156" s="659"/>
      <c r="O1156" s="659"/>
      <c r="P1156" s="659"/>
    </row>
    <row r="1157" spans="14:16">
      <c r="N1157" s="659"/>
      <c r="O1157" s="659"/>
      <c r="P1157" s="659"/>
    </row>
    <row r="1158" spans="14:16">
      <c r="N1158" s="659"/>
      <c r="O1158" s="659"/>
      <c r="P1158" s="659"/>
    </row>
    <row r="1159" spans="14:16">
      <c r="N1159" s="659"/>
      <c r="O1159" s="659"/>
      <c r="P1159" s="659"/>
    </row>
    <row r="1160" spans="14:16">
      <c r="N1160" s="659"/>
      <c r="O1160" s="659"/>
      <c r="P1160" s="659"/>
    </row>
    <row r="1161" spans="14:16">
      <c r="N1161" s="659"/>
      <c r="O1161" s="659"/>
      <c r="P1161" s="659"/>
    </row>
    <row r="1162" spans="14:16">
      <c r="N1162" s="659"/>
      <c r="O1162" s="659"/>
      <c r="P1162" s="659"/>
    </row>
    <row r="1163" spans="14:16">
      <c r="N1163" s="659"/>
      <c r="O1163" s="659"/>
      <c r="P1163" s="659"/>
    </row>
    <row r="1164" spans="14:16">
      <c r="N1164" s="659"/>
      <c r="O1164" s="659"/>
      <c r="P1164" s="659"/>
    </row>
    <row r="1165" spans="14:16">
      <c r="N1165" s="659"/>
      <c r="O1165" s="659"/>
      <c r="P1165" s="659"/>
    </row>
    <row r="1166" spans="14:16">
      <c r="N1166" s="659"/>
      <c r="O1166" s="659"/>
      <c r="P1166" s="659"/>
    </row>
    <row r="1167" spans="14:16">
      <c r="N1167" s="659"/>
      <c r="O1167" s="659"/>
      <c r="P1167" s="659"/>
    </row>
    <row r="1168" spans="14:16">
      <c r="N1168" s="659"/>
      <c r="O1168" s="659"/>
      <c r="P1168" s="659"/>
    </row>
    <row r="1169" spans="14:16">
      <c r="N1169" s="659"/>
      <c r="O1169" s="659"/>
      <c r="P1169" s="659"/>
    </row>
    <row r="1170" spans="14:16">
      <c r="N1170" s="659"/>
      <c r="O1170" s="659"/>
      <c r="P1170" s="659"/>
    </row>
    <row r="1171" spans="14:16">
      <c r="N1171" s="659"/>
      <c r="O1171" s="659"/>
      <c r="P1171" s="659"/>
    </row>
    <row r="1172" spans="14:16">
      <c r="N1172" s="659"/>
      <c r="O1172" s="659"/>
      <c r="P1172" s="659"/>
    </row>
    <row r="1173" spans="14:16">
      <c r="N1173" s="659"/>
      <c r="O1173" s="659"/>
      <c r="P1173" s="659"/>
    </row>
    <row r="1174" spans="14:16">
      <c r="N1174" s="659"/>
      <c r="O1174" s="659"/>
      <c r="P1174" s="659"/>
    </row>
    <row r="1175" spans="14:16">
      <c r="N1175" s="659"/>
      <c r="O1175" s="659"/>
      <c r="P1175" s="659"/>
    </row>
    <row r="1176" spans="14:16">
      <c r="N1176" s="659"/>
      <c r="O1176" s="659"/>
      <c r="P1176" s="659"/>
    </row>
    <row r="1177" spans="14:16">
      <c r="N1177" s="659"/>
      <c r="O1177" s="659"/>
      <c r="P1177" s="659"/>
    </row>
    <row r="1178" spans="14:16">
      <c r="N1178" s="659"/>
      <c r="O1178" s="659"/>
      <c r="P1178" s="659"/>
    </row>
    <row r="1179" spans="14:16">
      <c r="N1179" s="659"/>
      <c r="O1179" s="659"/>
      <c r="P1179" s="659"/>
    </row>
    <row r="1180" spans="14:16">
      <c r="N1180" s="659"/>
      <c r="O1180" s="659"/>
      <c r="P1180" s="659"/>
    </row>
    <row r="1181" spans="14:16">
      <c r="N1181" s="659"/>
      <c r="O1181" s="659"/>
      <c r="P1181" s="659"/>
    </row>
    <row r="1182" spans="14:16">
      <c r="N1182" s="659"/>
      <c r="O1182" s="659"/>
      <c r="P1182" s="659"/>
    </row>
    <row r="1183" spans="14:16">
      <c r="N1183" s="659"/>
      <c r="O1183" s="659"/>
      <c r="P1183" s="659"/>
    </row>
    <row r="1184" spans="14:16">
      <c r="N1184" s="659"/>
      <c r="O1184" s="659"/>
      <c r="P1184" s="659"/>
    </row>
    <row r="1185" spans="14:16">
      <c r="N1185" s="659"/>
      <c r="O1185" s="659"/>
      <c r="P1185" s="659"/>
    </row>
    <row r="1186" spans="14:16">
      <c r="N1186" s="659"/>
      <c r="O1186" s="659"/>
      <c r="P1186" s="659"/>
    </row>
    <row r="1187" spans="14:16">
      <c r="N1187" s="659"/>
      <c r="O1187" s="659"/>
      <c r="P1187" s="659"/>
    </row>
    <row r="1188" spans="14:16">
      <c r="N1188" s="659"/>
      <c r="O1188" s="659"/>
      <c r="P1188" s="659"/>
    </row>
    <row r="1189" spans="14:16">
      <c r="N1189" s="659"/>
      <c r="O1189" s="659"/>
      <c r="P1189" s="659"/>
    </row>
    <row r="1190" spans="14:16">
      <c r="N1190" s="659"/>
      <c r="O1190" s="659"/>
      <c r="P1190" s="659"/>
    </row>
    <row r="1191" spans="14:16">
      <c r="N1191" s="659"/>
      <c r="O1191" s="659"/>
      <c r="P1191" s="659"/>
    </row>
    <row r="1192" spans="14:16">
      <c r="N1192" s="659"/>
      <c r="O1192" s="659"/>
      <c r="P1192" s="659"/>
    </row>
    <row r="1193" spans="14:16">
      <c r="N1193" s="659"/>
      <c r="O1193" s="659"/>
      <c r="P1193" s="659"/>
    </row>
    <row r="1194" spans="14:16">
      <c r="N1194" s="659"/>
      <c r="O1194" s="659"/>
      <c r="P1194" s="659"/>
    </row>
    <row r="1195" spans="14:16">
      <c r="N1195" s="659"/>
      <c r="O1195" s="659"/>
      <c r="P1195" s="659"/>
    </row>
    <row r="1196" spans="14:16">
      <c r="N1196" s="659"/>
      <c r="O1196" s="659"/>
      <c r="P1196" s="659"/>
    </row>
    <row r="1197" spans="14:16">
      <c r="N1197" s="659"/>
      <c r="O1197" s="659"/>
      <c r="P1197" s="659"/>
    </row>
    <row r="1198" spans="14:16">
      <c r="N1198" s="659"/>
      <c r="O1198" s="659"/>
      <c r="P1198" s="659"/>
    </row>
    <row r="1199" spans="14:16">
      <c r="N1199" s="659"/>
      <c r="O1199" s="659"/>
      <c r="P1199" s="659"/>
    </row>
    <row r="1200" spans="14:16">
      <c r="N1200" s="659"/>
      <c r="O1200" s="659"/>
      <c r="P1200" s="659"/>
    </row>
    <row r="1201" spans="14:16">
      <c r="N1201" s="659"/>
      <c r="O1201" s="659"/>
      <c r="P1201" s="659"/>
    </row>
    <row r="1202" spans="14:16">
      <c r="N1202" s="659"/>
      <c r="O1202" s="659"/>
      <c r="P1202" s="659"/>
    </row>
    <row r="1203" spans="14:16">
      <c r="N1203" s="659"/>
      <c r="O1203" s="659"/>
      <c r="P1203" s="659"/>
    </row>
    <row r="1204" spans="14:16">
      <c r="N1204" s="659"/>
      <c r="O1204" s="659"/>
      <c r="P1204" s="659"/>
    </row>
    <row r="1205" spans="14:16">
      <c r="N1205" s="659"/>
      <c r="O1205" s="659"/>
      <c r="P1205" s="659"/>
    </row>
    <row r="1206" spans="14:16">
      <c r="N1206" s="659"/>
      <c r="O1206" s="659"/>
      <c r="P1206" s="659"/>
    </row>
    <row r="1207" spans="14:16">
      <c r="N1207" s="659"/>
      <c r="O1207" s="659"/>
      <c r="P1207" s="659"/>
    </row>
    <row r="1208" spans="14:16">
      <c r="N1208" s="659"/>
      <c r="O1208" s="659"/>
      <c r="P1208" s="659"/>
    </row>
    <row r="1209" spans="14:16">
      <c r="N1209" s="659"/>
      <c r="O1209" s="659"/>
      <c r="P1209" s="659"/>
    </row>
    <row r="1210" spans="14:16">
      <c r="N1210" s="659"/>
      <c r="O1210" s="659"/>
      <c r="P1210" s="659"/>
    </row>
    <row r="1211" spans="14:16">
      <c r="N1211" s="659"/>
      <c r="O1211" s="659"/>
      <c r="P1211" s="659"/>
    </row>
    <row r="1212" spans="14:16">
      <c r="N1212" s="659"/>
      <c r="O1212" s="659"/>
      <c r="P1212" s="659"/>
    </row>
    <row r="1213" spans="14:16">
      <c r="N1213" s="659"/>
      <c r="O1213" s="659"/>
      <c r="P1213" s="659"/>
    </row>
    <row r="1214" spans="14:16">
      <c r="N1214" s="659"/>
      <c r="O1214" s="659"/>
      <c r="P1214" s="659"/>
    </row>
    <row r="1215" spans="14:16">
      <c r="N1215" s="659"/>
      <c r="O1215" s="659"/>
      <c r="P1215" s="659"/>
    </row>
    <row r="1216" spans="14:16">
      <c r="N1216" s="659"/>
      <c r="O1216" s="659"/>
      <c r="P1216" s="659"/>
    </row>
    <row r="1217" spans="14:16">
      <c r="N1217" s="659"/>
      <c r="O1217" s="659"/>
      <c r="P1217" s="659"/>
    </row>
    <row r="1218" spans="14:16">
      <c r="N1218" s="659"/>
      <c r="O1218" s="659"/>
      <c r="P1218" s="659"/>
    </row>
    <row r="1219" spans="14:16">
      <c r="N1219" s="659"/>
      <c r="O1219" s="659"/>
      <c r="P1219" s="659"/>
    </row>
    <row r="1220" spans="14:16">
      <c r="N1220" s="659"/>
      <c r="O1220" s="659"/>
      <c r="P1220" s="659"/>
    </row>
    <row r="1221" spans="14:16">
      <c r="N1221" s="659"/>
      <c r="O1221" s="659"/>
      <c r="P1221" s="659"/>
    </row>
    <row r="1222" spans="14:16">
      <c r="N1222" s="659"/>
      <c r="O1222" s="659"/>
      <c r="P1222" s="659"/>
    </row>
    <row r="1223" spans="14:16">
      <c r="N1223" s="659"/>
      <c r="O1223" s="659"/>
      <c r="P1223" s="659"/>
    </row>
    <row r="1224" spans="14:16">
      <c r="N1224" s="659"/>
      <c r="O1224" s="659"/>
      <c r="P1224" s="659"/>
    </row>
    <row r="1225" spans="14:16">
      <c r="N1225" s="659"/>
      <c r="O1225" s="659"/>
      <c r="P1225" s="659"/>
    </row>
    <row r="1226" spans="14:16">
      <c r="N1226" s="659"/>
      <c r="O1226" s="659"/>
      <c r="P1226" s="659"/>
    </row>
    <row r="1227" spans="14:16">
      <c r="N1227" s="659"/>
      <c r="O1227" s="659"/>
      <c r="P1227" s="659"/>
    </row>
    <row r="1228" spans="14:16">
      <c r="N1228" s="659"/>
      <c r="O1228" s="659"/>
      <c r="P1228" s="659"/>
    </row>
    <row r="1229" spans="14:16">
      <c r="N1229" s="659"/>
      <c r="O1229" s="659"/>
      <c r="P1229" s="659"/>
    </row>
    <row r="1230" spans="14:16">
      <c r="N1230" s="659"/>
      <c r="O1230" s="659"/>
      <c r="P1230" s="659"/>
    </row>
    <row r="1231" spans="14:16">
      <c r="N1231" s="659"/>
      <c r="O1231" s="659"/>
      <c r="P1231" s="659"/>
    </row>
    <row r="1232" spans="14:16">
      <c r="N1232" s="659"/>
      <c r="O1232" s="659"/>
      <c r="P1232" s="659"/>
    </row>
    <row r="1233" spans="14:16">
      <c r="N1233" s="659"/>
      <c r="O1233" s="659"/>
      <c r="P1233" s="659"/>
    </row>
    <row r="1234" spans="14:16">
      <c r="N1234" s="659"/>
      <c r="O1234" s="659"/>
      <c r="P1234" s="659"/>
    </row>
    <row r="1235" spans="14:16">
      <c r="N1235" s="659"/>
      <c r="O1235" s="659"/>
      <c r="P1235" s="659"/>
    </row>
    <row r="1236" spans="14:16">
      <c r="N1236" s="659"/>
      <c r="O1236" s="659"/>
      <c r="P1236" s="659"/>
    </row>
    <row r="1237" spans="14:16">
      <c r="N1237" s="659"/>
      <c r="O1237" s="659"/>
      <c r="P1237" s="659"/>
    </row>
    <row r="1238" spans="14:16">
      <c r="N1238" s="659"/>
      <c r="O1238" s="659"/>
      <c r="P1238" s="659"/>
    </row>
    <row r="1239" spans="14:16">
      <c r="N1239" s="659"/>
      <c r="O1239" s="659"/>
      <c r="P1239" s="659"/>
    </row>
    <row r="1240" spans="14:16">
      <c r="N1240" s="659"/>
      <c r="O1240" s="659"/>
      <c r="P1240" s="659"/>
    </row>
    <row r="1241" spans="14:16">
      <c r="N1241" s="659"/>
      <c r="O1241" s="659"/>
      <c r="P1241" s="659"/>
    </row>
    <row r="1242" spans="14:16">
      <c r="N1242" s="659"/>
      <c r="O1242" s="659"/>
      <c r="P1242" s="659"/>
    </row>
    <row r="1243" spans="14:16">
      <c r="N1243" s="659"/>
      <c r="O1243" s="659"/>
      <c r="P1243" s="659"/>
    </row>
    <row r="1244" spans="14:16">
      <c r="N1244" s="659"/>
      <c r="O1244" s="659"/>
      <c r="P1244" s="659"/>
    </row>
    <row r="1245" spans="14:16">
      <c r="N1245" s="659"/>
      <c r="O1245" s="659"/>
      <c r="P1245" s="659"/>
    </row>
    <row r="1246" spans="14:16">
      <c r="N1246" s="659"/>
      <c r="O1246" s="659"/>
      <c r="P1246" s="659"/>
    </row>
    <row r="1247" spans="14:16">
      <c r="N1247" s="659"/>
      <c r="O1247" s="659"/>
      <c r="P1247" s="659"/>
    </row>
    <row r="1248" spans="14:16">
      <c r="N1248" s="659"/>
      <c r="O1248" s="659"/>
      <c r="P1248" s="659"/>
    </row>
    <row r="1249" spans="14:16">
      <c r="N1249" s="659"/>
      <c r="O1249" s="659"/>
      <c r="P1249" s="659"/>
    </row>
    <row r="1250" spans="14:16">
      <c r="N1250" s="659"/>
      <c r="O1250" s="659"/>
      <c r="P1250" s="659"/>
    </row>
    <row r="1251" spans="14:16">
      <c r="N1251" s="659"/>
      <c r="O1251" s="659"/>
      <c r="P1251" s="659"/>
    </row>
    <row r="1252" spans="14:16">
      <c r="N1252" s="659"/>
      <c r="O1252" s="659"/>
      <c r="P1252" s="659"/>
    </row>
    <row r="1253" spans="14:16">
      <c r="N1253" s="659"/>
      <c r="O1253" s="659"/>
      <c r="P1253" s="659"/>
    </row>
    <row r="1254" spans="14:16">
      <c r="N1254" s="659"/>
      <c r="O1254" s="659"/>
      <c r="P1254" s="659"/>
    </row>
    <row r="1255" spans="14:16">
      <c r="N1255" s="659"/>
      <c r="O1255" s="659"/>
      <c r="P1255" s="659"/>
    </row>
    <row r="1256" spans="14:16">
      <c r="N1256" s="659"/>
      <c r="O1256" s="659"/>
      <c r="P1256" s="659"/>
    </row>
    <row r="1257" spans="14:16">
      <c r="N1257" s="659"/>
      <c r="O1257" s="659"/>
      <c r="P1257" s="659"/>
    </row>
    <row r="1258" spans="14:16">
      <c r="N1258" s="659"/>
      <c r="O1258" s="659"/>
      <c r="P1258" s="659"/>
    </row>
    <row r="1259" spans="14:16">
      <c r="N1259" s="659"/>
      <c r="O1259" s="659"/>
      <c r="P1259" s="659"/>
    </row>
    <row r="1260" spans="14:16">
      <c r="N1260" s="659"/>
      <c r="O1260" s="659"/>
      <c r="P1260" s="659"/>
    </row>
    <row r="1261" spans="14:16">
      <c r="N1261" s="659"/>
      <c r="O1261" s="659"/>
      <c r="P1261" s="659"/>
    </row>
    <row r="1262" spans="14:16">
      <c r="N1262" s="659"/>
      <c r="O1262" s="659"/>
      <c r="P1262" s="659"/>
    </row>
    <row r="1263" spans="14:16">
      <c r="N1263" s="659"/>
      <c r="O1263" s="659"/>
      <c r="P1263" s="659"/>
    </row>
    <row r="1264" spans="14:16">
      <c r="N1264" s="659"/>
      <c r="O1264" s="659"/>
      <c r="P1264" s="659"/>
    </row>
    <row r="1265" spans="14:16">
      <c r="N1265" s="659"/>
      <c r="O1265" s="659"/>
      <c r="P1265" s="659"/>
    </row>
    <row r="1266" spans="14:16">
      <c r="N1266" s="659"/>
      <c r="O1266" s="659"/>
      <c r="P1266" s="659"/>
    </row>
    <row r="1267" spans="14:16">
      <c r="N1267" s="659"/>
      <c r="O1267" s="659"/>
      <c r="P1267" s="659"/>
    </row>
    <row r="1268" spans="14:16">
      <c r="N1268" s="659"/>
      <c r="O1268" s="659"/>
      <c r="P1268" s="659"/>
    </row>
    <row r="1269" spans="14:16">
      <c r="N1269" s="659"/>
      <c r="O1269" s="659"/>
      <c r="P1269" s="659"/>
    </row>
    <row r="1270" spans="14:16">
      <c r="N1270" s="659"/>
      <c r="O1270" s="659"/>
      <c r="P1270" s="659"/>
    </row>
    <row r="1271" spans="14:16">
      <c r="N1271" s="659"/>
      <c r="O1271" s="659"/>
      <c r="P1271" s="659"/>
    </row>
    <row r="1272" spans="14:16">
      <c r="N1272" s="659"/>
      <c r="O1272" s="659"/>
      <c r="P1272" s="659"/>
    </row>
    <row r="1273" spans="14:16">
      <c r="N1273" s="659"/>
      <c r="O1273" s="659"/>
      <c r="P1273" s="659"/>
    </row>
    <row r="1274" spans="14:16">
      <c r="N1274" s="659"/>
      <c r="O1274" s="659"/>
      <c r="P1274" s="659"/>
    </row>
    <row r="1275" spans="14:16">
      <c r="N1275" s="659"/>
      <c r="O1275" s="659"/>
      <c r="P1275" s="659"/>
    </row>
    <row r="1276" spans="14:16">
      <c r="N1276" s="659"/>
      <c r="O1276" s="659"/>
      <c r="P1276" s="659"/>
    </row>
    <row r="1277" spans="14:16">
      <c r="N1277" s="659"/>
      <c r="O1277" s="659"/>
      <c r="P1277" s="659"/>
    </row>
    <row r="1278" spans="14:16">
      <c r="N1278" s="659"/>
      <c r="O1278" s="659"/>
      <c r="P1278" s="659"/>
    </row>
    <row r="1279" spans="14:16">
      <c r="N1279" s="659"/>
      <c r="O1279" s="659"/>
      <c r="P1279" s="659"/>
    </row>
    <row r="1280" spans="14:16">
      <c r="N1280" s="659"/>
      <c r="O1280" s="659"/>
      <c r="P1280" s="659"/>
    </row>
    <row r="1281" spans="14:16">
      <c r="N1281" s="659"/>
      <c r="O1281" s="659"/>
      <c r="P1281" s="659"/>
    </row>
    <row r="1282" spans="14:16">
      <c r="N1282" s="659"/>
      <c r="O1282" s="659"/>
      <c r="P1282" s="659"/>
    </row>
    <row r="1283" spans="14:16">
      <c r="N1283" s="659"/>
      <c r="O1283" s="659"/>
      <c r="P1283" s="659"/>
    </row>
    <row r="1284" spans="14:16">
      <c r="N1284" s="659"/>
      <c r="O1284" s="659"/>
      <c r="P1284" s="659"/>
    </row>
    <row r="1285" spans="14:16">
      <c r="N1285" s="659"/>
      <c r="O1285" s="659"/>
      <c r="P1285" s="659"/>
    </row>
    <row r="1286" spans="14:16">
      <c r="N1286" s="659"/>
      <c r="O1286" s="659"/>
      <c r="P1286" s="659"/>
    </row>
    <row r="1287" spans="14:16">
      <c r="N1287" s="659"/>
      <c r="O1287" s="659"/>
      <c r="P1287" s="659"/>
    </row>
    <row r="1288" spans="14:16">
      <c r="N1288" s="659"/>
      <c r="O1288" s="659"/>
      <c r="P1288" s="659"/>
    </row>
    <row r="1289" spans="14:16">
      <c r="N1289" s="659"/>
      <c r="O1289" s="659"/>
      <c r="P1289" s="659"/>
    </row>
    <row r="1290" spans="14:16">
      <c r="N1290" s="659"/>
      <c r="O1290" s="659"/>
      <c r="P1290" s="659"/>
    </row>
    <row r="1291" spans="14:16">
      <c r="N1291" s="659"/>
      <c r="O1291" s="659"/>
      <c r="P1291" s="659"/>
    </row>
    <row r="1292" spans="14:16">
      <c r="N1292" s="659"/>
      <c r="O1292" s="659"/>
      <c r="P1292" s="659"/>
    </row>
    <row r="1293" spans="14:16">
      <c r="N1293" s="659"/>
      <c r="O1293" s="659"/>
      <c r="P1293" s="659"/>
    </row>
    <row r="1294" spans="14:16">
      <c r="N1294" s="659"/>
      <c r="O1294" s="659"/>
      <c r="P1294" s="659"/>
    </row>
    <row r="1295" spans="14:16">
      <c r="N1295" s="659"/>
      <c r="O1295" s="659"/>
      <c r="P1295" s="659"/>
    </row>
    <row r="1296" spans="14:16">
      <c r="N1296" s="659"/>
      <c r="O1296" s="659"/>
      <c r="P1296" s="659"/>
    </row>
    <row r="1297" spans="14:16">
      <c r="N1297" s="659"/>
      <c r="O1297" s="659"/>
      <c r="P1297" s="659"/>
    </row>
    <row r="1298" spans="14:16">
      <c r="N1298" s="659"/>
      <c r="O1298" s="659"/>
      <c r="P1298" s="659"/>
    </row>
    <row r="1299" spans="14:16">
      <c r="N1299" s="659"/>
      <c r="O1299" s="659"/>
      <c r="P1299" s="659"/>
    </row>
    <row r="1300" spans="14:16">
      <c r="N1300" s="659"/>
      <c r="O1300" s="659"/>
      <c r="P1300" s="659"/>
    </row>
    <row r="1301" spans="14:16">
      <c r="N1301" s="659"/>
      <c r="O1301" s="659"/>
      <c r="P1301" s="659"/>
    </row>
    <row r="1302" spans="14:16">
      <c r="N1302" s="659"/>
      <c r="O1302" s="659"/>
      <c r="P1302" s="659"/>
    </row>
    <row r="1303" spans="14:16">
      <c r="N1303" s="659"/>
      <c r="O1303" s="659"/>
      <c r="P1303" s="659"/>
    </row>
    <row r="1304" spans="14:16">
      <c r="N1304" s="659"/>
      <c r="O1304" s="659"/>
      <c r="P1304" s="659"/>
    </row>
    <row r="1305" spans="14:16">
      <c r="N1305" s="659"/>
      <c r="O1305" s="659"/>
      <c r="P1305" s="659"/>
    </row>
    <row r="1306" spans="14:16">
      <c r="N1306" s="659"/>
      <c r="O1306" s="659"/>
      <c r="P1306" s="659"/>
    </row>
    <row r="1307" spans="14:16">
      <c r="N1307" s="659"/>
      <c r="O1307" s="659"/>
      <c r="P1307" s="659"/>
    </row>
    <row r="1308" spans="14:16">
      <c r="N1308" s="659"/>
      <c r="O1308" s="659"/>
      <c r="P1308" s="659"/>
    </row>
    <row r="1309" spans="14:16">
      <c r="N1309" s="659"/>
      <c r="O1309" s="659"/>
      <c r="P1309" s="659"/>
    </row>
    <row r="1310" spans="14:16">
      <c r="N1310" s="659"/>
      <c r="O1310" s="659"/>
      <c r="P1310" s="659"/>
    </row>
    <row r="1311" spans="14:16">
      <c r="N1311" s="659"/>
      <c r="O1311" s="659"/>
      <c r="P1311" s="659"/>
    </row>
    <row r="1312" spans="14:16">
      <c r="N1312" s="659"/>
      <c r="O1312" s="659"/>
      <c r="P1312" s="659"/>
    </row>
    <row r="1313" spans="14:16">
      <c r="N1313" s="659"/>
      <c r="O1313" s="659"/>
      <c r="P1313" s="659"/>
    </row>
    <row r="1314" spans="14:16">
      <c r="N1314" s="659"/>
      <c r="O1314" s="659"/>
      <c r="P1314" s="659"/>
    </row>
    <row r="1315" spans="14:16">
      <c r="N1315" s="659"/>
      <c r="O1315" s="659"/>
      <c r="P1315" s="659"/>
    </row>
    <row r="1316" spans="14:16">
      <c r="N1316" s="659"/>
      <c r="O1316" s="659"/>
      <c r="P1316" s="659"/>
    </row>
    <row r="1317" spans="14:16">
      <c r="N1317" s="659"/>
      <c r="O1317" s="659"/>
      <c r="P1317" s="659"/>
    </row>
    <row r="1318" spans="14:16">
      <c r="N1318" s="659"/>
      <c r="O1318" s="659"/>
      <c r="P1318" s="659"/>
    </row>
    <row r="1319" spans="14:16">
      <c r="N1319" s="659"/>
      <c r="O1319" s="659"/>
      <c r="P1319" s="659"/>
    </row>
    <row r="1320" spans="14:16">
      <c r="N1320" s="659"/>
      <c r="O1320" s="659"/>
      <c r="P1320" s="659"/>
    </row>
    <row r="1321" spans="14:16">
      <c r="N1321" s="659"/>
      <c r="O1321" s="659"/>
      <c r="P1321" s="659"/>
    </row>
    <row r="1322" spans="14:16">
      <c r="N1322" s="659"/>
      <c r="O1322" s="659"/>
      <c r="P1322" s="659"/>
    </row>
    <row r="1323" spans="14:16">
      <c r="N1323" s="659"/>
      <c r="O1323" s="659"/>
      <c r="P1323" s="659"/>
    </row>
    <row r="1324" spans="14:16">
      <c r="N1324" s="659"/>
      <c r="O1324" s="659"/>
      <c r="P1324" s="659"/>
    </row>
    <row r="1325" spans="14:16">
      <c r="N1325" s="659"/>
      <c r="O1325" s="659"/>
      <c r="P1325" s="659"/>
    </row>
    <row r="1326" spans="14:16">
      <c r="N1326" s="659"/>
      <c r="O1326" s="659"/>
      <c r="P1326" s="659"/>
    </row>
    <row r="1327" spans="14:16">
      <c r="N1327" s="659"/>
      <c r="O1327" s="659"/>
      <c r="P1327" s="659"/>
    </row>
    <row r="1328" spans="14:16">
      <c r="N1328" s="659"/>
      <c r="O1328" s="659"/>
      <c r="P1328" s="659"/>
    </row>
    <row r="1329" spans="14:16">
      <c r="N1329" s="659"/>
      <c r="O1329" s="659"/>
      <c r="P1329" s="659"/>
    </row>
    <row r="1330" spans="14:16">
      <c r="N1330" s="659"/>
      <c r="O1330" s="659"/>
      <c r="P1330" s="659"/>
    </row>
    <row r="1331" spans="14:16">
      <c r="N1331" s="659"/>
      <c r="O1331" s="659"/>
      <c r="P1331" s="659"/>
    </row>
    <row r="1332" spans="14:16">
      <c r="N1332" s="659"/>
      <c r="O1332" s="659"/>
      <c r="P1332" s="659"/>
    </row>
    <row r="1333" spans="14:16">
      <c r="N1333" s="659"/>
      <c r="O1333" s="659"/>
      <c r="P1333" s="659"/>
    </row>
    <row r="1334" spans="14:16">
      <c r="N1334" s="659"/>
      <c r="O1334" s="659"/>
      <c r="P1334" s="659"/>
    </row>
    <row r="1335" spans="14:16">
      <c r="N1335" s="659"/>
      <c r="O1335" s="659"/>
      <c r="P1335" s="659"/>
    </row>
    <row r="1336" spans="14:16">
      <c r="N1336" s="659"/>
      <c r="O1336" s="659"/>
      <c r="P1336" s="659"/>
    </row>
    <row r="1337" spans="14:16">
      <c r="N1337" s="659"/>
      <c r="O1337" s="659"/>
      <c r="P1337" s="659"/>
    </row>
    <row r="1338" spans="14:16">
      <c r="N1338" s="659"/>
      <c r="O1338" s="659"/>
      <c r="P1338" s="659"/>
    </row>
    <row r="1339" spans="14:16">
      <c r="N1339" s="659"/>
      <c r="O1339" s="659"/>
      <c r="P1339" s="659"/>
    </row>
    <row r="1340" spans="14:16">
      <c r="N1340" s="659"/>
      <c r="O1340" s="659"/>
      <c r="P1340" s="659"/>
    </row>
    <row r="1341" spans="14:16">
      <c r="N1341" s="659"/>
      <c r="O1341" s="659"/>
      <c r="P1341" s="659"/>
    </row>
    <row r="1342" spans="14:16">
      <c r="N1342" s="659"/>
      <c r="O1342" s="659"/>
      <c r="P1342" s="659"/>
    </row>
    <row r="1343" spans="14:16">
      <c r="N1343" s="659"/>
      <c r="O1343" s="659"/>
      <c r="P1343" s="659"/>
    </row>
    <row r="1344" spans="14:16">
      <c r="N1344" s="659"/>
      <c r="O1344" s="659"/>
      <c r="P1344" s="659"/>
    </row>
    <row r="1345" spans="14:16">
      <c r="N1345" s="659"/>
      <c r="O1345" s="659"/>
      <c r="P1345" s="659"/>
    </row>
    <row r="1346" spans="14:16">
      <c r="N1346" s="659"/>
      <c r="O1346" s="659"/>
      <c r="P1346" s="659"/>
    </row>
    <row r="1347" spans="14:16">
      <c r="N1347" s="659"/>
      <c r="O1347" s="659"/>
      <c r="P1347" s="659"/>
    </row>
    <row r="1348" spans="14:16">
      <c r="N1348" s="659"/>
      <c r="O1348" s="659"/>
      <c r="P1348" s="659"/>
    </row>
    <row r="1349" spans="14:16">
      <c r="N1349" s="659"/>
      <c r="O1349" s="659"/>
      <c r="P1349" s="659"/>
    </row>
    <row r="1350" spans="14:16">
      <c r="N1350" s="659"/>
      <c r="O1350" s="659"/>
      <c r="P1350" s="659"/>
    </row>
    <row r="1351" spans="14:16">
      <c r="N1351" s="659"/>
      <c r="O1351" s="659"/>
      <c r="P1351" s="659"/>
    </row>
    <row r="1352" spans="14:16">
      <c r="N1352" s="659"/>
      <c r="O1352" s="659"/>
      <c r="P1352" s="659"/>
    </row>
    <row r="1353" spans="14:16">
      <c r="N1353" s="659"/>
      <c r="O1353" s="659"/>
      <c r="P1353" s="659"/>
    </row>
    <row r="1354" spans="14:16">
      <c r="N1354" s="659"/>
      <c r="O1354" s="659"/>
      <c r="P1354" s="659"/>
    </row>
    <row r="1355" spans="14:16">
      <c r="N1355" s="659"/>
      <c r="O1355" s="659"/>
      <c r="P1355" s="659"/>
    </row>
    <row r="1356" spans="14:16">
      <c r="N1356" s="659"/>
      <c r="O1356" s="659"/>
      <c r="P1356" s="659"/>
    </row>
    <row r="1357" spans="14:16">
      <c r="N1357" s="659"/>
      <c r="O1357" s="659"/>
      <c r="P1357" s="659"/>
    </row>
    <row r="1358" spans="14:16">
      <c r="N1358" s="659"/>
      <c r="O1358" s="659"/>
      <c r="P1358" s="659"/>
    </row>
    <row r="1359" spans="14:16">
      <c r="N1359" s="659"/>
      <c r="O1359" s="659"/>
      <c r="P1359" s="659"/>
    </row>
    <row r="1360" spans="14:16">
      <c r="N1360" s="659"/>
      <c r="O1360" s="659"/>
      <c r="P1360" s="659"/>
    </row>
    <row r="1361" spans="14:16">
      <c r="N1361" s="659"/>
      <c r="O1361" s="659"/>
      <c r="P1361" s="659"/>
    </row>
    <row r="1362" spans="14:16">
      <c r="N1362" s="659"/>
      <c r="O1362" s="659"/>
      <c r="P1362" s="659"/>
    </row>
    <row r="1363" spans="14:16">
      <c r="N1363" s="659"/>
      <c r="O1363" s="659"/>
      <c r="P1363" s="659"/>
    </row>
    <row r="1364" spans="14:16">
      <c r="N1364" s="659"/>
      <c r="O1364" s="659"/>
      <c r="P1364" s="659"/>
    </row>
    <row r="1365" spans="14:16">
      <c r="N1365" s="659"/>
      <c r="O1365" s="659"/>
      <c r="P1365" s="659"/>
    </row>
    <row r="1366" spans="14:16">
      <c r="N1366" s="659"/>
      <c r="O1366" s="659"/>
      <c r="P1366" s="659"/>
    </row>
    <row r="1367" spans="14:16">
      <c r="N1367" s="659"/>
      <c r="O1367" s="659"/>
      <c r="P1367" s="659"/>
    </row>
    <row r="1368" spans="14:16">
      <c r="N1368" s="659"/>
      <c r="O1368" s="659"/>
      <c r="P1368" s="659"/>
    </row>
    <row r="1369" spans="14:16">
      <c r="N1369" s="659"/>
      <c r="O1369" s="659"/>
      <c r="P1369" s="659"/>
    </row>
    <row r="1370" spans="14:16">
      <c r="N1370" s="659"/>
      <c r="O1370" s="659"/>
      <c r="P1370" s="659"/>
    </row>
    <row r="1371" spans="14:16">
      <c r="N1371" s="659"/>
      <c r="O1371" s="659"/>
      <c r="P1371" s="659"/>
    </row>
    <row r="1372" spans="14:16">
      <c r="N1372" s="659"/>
      <c r="O1372" s="659"/>
      <c r="P1372" s="659"/>
    </row>
    <row r="1373" spans="14:16">
      <c r="N1373" s="659"/>
      <c r="O1373" s="659"/>
      <c r="P1373" s="659"/>
    </row>
    <row r="1374" spans="14:16">
      <c r="N1374" s="659"/>
      <c r="O1374" s="659"/>
      <c r="P1374" s="659"/>
    </row>
    <row r="1375" spans="14:16">
      <c r="N1375" s="659"/>
      <c r="O1375" s="659"/>
      <c r="P1375" s="659"/>
    </row>
    <row r="1376" spans="14:16">
      <c r="N1376" s="659"/>
      <c r="O1376" s="659"/>
      <c r="P1376" s="659"/>
    </row>
    <row r="1377" spans="14:16">
      <c r="N1377" s="659"/>
      <c r="O1377" s="659"/>
      <c r="P1377" s="659"/>
    </row>
    <row r="1378" spans="14:16">
      <c r="N1378" s="659"/>
      <c r="O1378" s="659"/>
      <c r="P1378" s="659"/>
    </row>
    <row r="1379" spans="14:16">
      <c r="N1379" s="659"/>
      <c r="O1379" s="659"/>
      <c r="P1379" s="659"/>
    </row>
    <row r="1380" spans="14:16">
      <c r="N1380" s="659"/>
      <c r="O1380" s="659"/>
      <c r="P1380" s="659"/>
    </row>
    <row r="1381" spans="14:16">
      <c r="N1381" s="659"/>
      <c r="O1381" s="659"/>
      <c r="P1381" s="659"/>
    </row>
    <row r="1382" spans="14:16">
      <c r="N1382" s="659"/>
      <c r="O1382" s="659"/>
      <c r="P1382" s="659"/>
    </row>
    <row r="1383" spans="14:16">
      <c r="N1383" s="659"/>
      <c r="O1383" s="659"/>
      <c r="P1383" s="659"/>
    </row>
    <row r="1384" spans="14:16">
      <c r="N1384" s="659"/>
      <c r="O1384" s="659"/>
      <c r="P1384" s="659"/>
    </row>
    <row r="1385" spans="14:16">
      <c r="N1385" s="659"/>
      <c r="O1385" s="659"/>
      <c r="P1385" s="659"/>
    </row>
    <row r="1386" spans="14:16">
      <c r="N1386" s="659"/>
      <c r="O1386" s="659"/>
      <c r="P1386" s="659"/>
    </row>
    <row r="1387" spans="14:16">
      <c r="N1387" s="659"/>
      <c r="O1387" s="659"/>
      <c r="P1387" s="659"/>
    </row>
    <row r="1388" spans="14:16">
      <c r="N1388" s="659"/>
      <c r="O1388" s="659"/>
      <c r="P1388" s="659"/>
    </row>
    <row r="1389" spans="14:16">
      <c r="N1389" s="659"/>
      <c r="O1389" s="659"/>
      <c r="P1389" s="659"/>
    </row>
    <row r="1390" spans="14:16">
      <c r="N1390" s="659"/>
      <c r="O1390" s="659"/>
      <c r="P1390" s="659"/>
    </row>
    <row r="1391" spans="14:16">
      <c r="N1391" s="659"/>
      <c r="O1391" s="659"/>
      <c r="P1391" s="659"/>
    </row>
    <row r="1392" spans="14:16">
      <c r="N1392" s="659"/>
      <c r="O1392" s="659"/>
      <c r="P1392" s="659"/>
    </row>
    <row r="1393" spans="14:16">
      <c r="N1393" s="659"/>
      <c r="O1393" s="659"/>
      <c r="P1393" s="659"/>
    </row>
    <row r="1394" spans="14:16">
      <c r="N1394" s="659"/>
      <c r="O1394" s="659"/>
      <c r="P1394" s="659"/>
    </row>
    <row r="1395" spans="14:16">
      <c r="N1395" s="659"/>
      <c r="O1395" s="659"/>
      <c r="P1395" s="659"/>
    </row>
    <row r="1396" spans="14:16">
      <c r="N1396" s="659"/>
      <c r="O1396" s="659"/>
      <c r="P1396" s="659"/>
    </row>
    <row r="1397" spans="14:16">
      <c r="N1397" s="659"/>
      <c r="O1397" s="659"/>
      <c r="P1397" s="659"/>
    </row>
    <row r="1398" spans="14:16">
      <c r="N1398" s="659"/>
      <c r="O1398" s="659"/>
      <c r="P1398" s="659"/>
    </row>
    <row r="1399" spans="14:16">
      <c r="N1399" s="659"/>
      <c r="O1399" s="659"/>
      <c r="P1399" s="659"/>
    </row>
    <row r="1400" spans="14:16">
      <c r="N1400" s="659"/>
      <c r="O1400" s="659"/>
      <c r="P1400" s="659"/>
    </row>
    <row r="1401" spans="14:16">
      <c r="N1401" s="659"/>
      <c r="O1401" s="659"/>
      <c r="P1401" s="659"/>
    </row>
    <row r="1402" spans="14:16">
      <c r="N1402" s="659"/>
      <c r="O1402" s="659"/>
      <c r="P1402" s="659"/>
    </row>
    <row r="1403" spans="14:16">
      <c r="N1403" s="659"/>
      <c r="O1403" s="659"/>
      <c r="P1403" s="659"/>
    </row>
    <row r="1404" spans="14:16">
      <c r="N1404" s="659"/>
      <c r="O1404" s="659"/>
      <c r="P1404" s="659"/>
    </row>
    <row r="1405" spans="14:16">
      <c r="N1405" s="659"/>
      <c r="O1405" s="659"/>
      <c r="P1405" s="659"/>
    </row>
    <row r="1406" spans="14:16">
      <c r="N1406" s="659"/>
      <c r="O1406" s="659"/>
      <c r="P1406" s="659"/>
    </row>
    <row r="1407" spans="14:16">
      <c r="N1407" s="659"/>
      <c r="O1407" s="659"/>
      <c r="P1407" s="659"/>
    </row>
    <row r="1408" spans="14:16">
      <c r="N1408" s="659"/>
      <c r="O1408" s="659"/>
      <c r="P1408" s="659"/>
    </row>
    <row r="1409" spans="14:16">
      <c r="N1409" s="659"/>
      <c r="O1409" s="659"/>
      <c r="P1409" s="659"/>
    </row>
    <row r="1410" spans="14:16">
      <c r="N1410" s="659"/>
      <c r="O1410" s="659"/>
      <c r="P1410" s="659"/>
    </row>
    <row r="1411" spans="14:16">
      <c r="N1411" s="659"/>
      <c r="O1411" s="659"/>
      <c r="P1411" s="659"/>
    </row>
    <row r="1412" spans="14:16">
      <c r="N1412" s="659"/>
      <c r="O1412" s="659"/>
      <c r="P1412" s="659"/>
    </row>
    <row r="1413" spans="14:16">
      <c r="N1413" s="659"/>
      <c r="O1413" s="659"/>
      <c r="P1413" s="659"/>
    </row>
    <row r="1414" spans="14:16">
      <c r="N1414" s="659"/>
      <c r="O1414" s="659"/>
      <c r="P1414" s="659"/>
    </row>
    <row r="1415" spans="14:16">
      <c r="N1415" s="659"/>
      <c r="O1415" s="659"/>
      <c r="P1415" s="659"/>
    </row>
    <row r="1416" spans="14:16">
      <c r="N1416" s="659"/>
      <c r="O1416" s="659"/>
      <c r="P1416" s="659"/>
    </row>
    <row r="1417" spans="14:16">
      <c r="N1417" s="659"/>
      <c r="O1417" s="659"/>
      <c r="P1417" s="659"/>
    </row>
    <row r="1418" spans="14:16">
      <c r="N1418" s="659"/>
      <c r="O1418" s="659"/>
      <c r="P1418" s="659"/>
    </row>
    <row r="1419" spans="14:16">
      <c r="N1419" s="659"/>
      <c r="O1419" s="659"/>
      <c r="P1419" s="659"/>
    </row>
    <row r="1420" spans="14:16">
      <c r="N1420" s="659"/>
      <c r="O1420" s="659"/>
      <c r="P1420" s="659"/>
    </row>
    <row r="1421" spans="14:16">
      <c r="N1421" s="659"/>
      <c r="O1421" s="659"/>
      <c r="P1421" s="659"/>
    </row>
    <row r="1422" spans="14:16">
      <c r="N1422" s="659"/>
      <c r="O1422" s="659"/>
      <c r="P1422" s="659"/>
    </row>
    <row r="1423" spans="14:16">
      <c r="N1423" s="659"/>
      <c r="O1423" s="659"/>
      <c r="P1423" s="659"/>
    </row>
    <row r="1424" spans="14:16">
      <c r="N1424" s="659"/>
      <c r="O1424" s="659"/>
      <c r="P1424" s="659"/>
    </row>
    <row r="1425" spans="14:16">
      <c r="N1425" s="659"/>
      <c r="O1425" s="659"/>
      <c r="P1425" s="659"/>
    </row>
    <row r="1426" spans="14:16">
      <c r="N1426" s="659"/>
      <c r="O1426" s="659"/>
      <c r="P1426" s="659"/>
    </row>
    <row r="1427" spans="14:16">
      <c r="N1427" s="659"/>
      <c r="O1427" s="659"/>
      <c r="P1427" s="659"/>
    </row>
    <row r="1428" spans="14:16">
      <c r="N1428" s="659"/>
      <c r="O1428" s="659"/>
      <c r="P1428" s="659"/>
    </row>
    <row r="1429" spans="14:16">
      <c r="N1429" s="659"/>
      <c r="O1429" s="659"/>
      <c r="P1429" s="659"/>
    </row>
    <row r="1430" spans="14:16">
      <c r="N1430" s="659"/>
      <c r="O1430" s="659"/>
      <c r="P1430" s="659"/>
    </row>
    <row r="1431" spans="14:16">
      <c r="N1431" s="659"/>
      <c r="O1431" s="659"/>
      <c r="P1431" s="659"/>
    </row>
    <row r="1432" spans="14:16">
      <c r="N1432" s="659"/>
      <c r="O1432" s="659"/>
      <c r="P1432" s="659"/>
    </row>
    <row r="1433" spans="14:16">
      <c r="N1433" s="659"/>
      <c r="O1433" s="659"/>
      <c r="P1433" s="659"/>
    </row>
    <row r="1434" spans="14:16">
      <c r="N1434" s="659"/>
      <c r="O1434" s="659"/>
      <c r="P1434" s="659"/>
    </row>
    <row r="1435" spans="14:16">
      <c r="N1435" s="659"/>
      <c r="O1435" s="659"/>
      <c r="P1435" s="659"/>
    </row>
    <row r="1436" spans="14:16">
      <c r="N1436" s="659"/>
      <c r="O1436" s="659"/>
      <c r="P1436" s="659"/>
    </row>
    <row r="1437" spans="14:16">
      <c r="N1437" s="659"/>
      <c r="O1437" s="659"/>
      <c r="P1437" s="659"/>
    </row>
    <row r="1438" spans="14:16">
      <c r="N1438" s="659"/>
      <c r="O1438" s="659"/>
      <c r="P1438" s="659"/>
    </row>
    <row r="1439" spans="14:16">
      <c r="N1439" s="659"/>
      <c r="O1439" s="659"/>
      <c r="P1439" s="659"/>
    </row>
    <row r="1440" spans="14:16">
      <c r="N1440" s="659"/>
      <c r="O1440" s="659"/>
      <c r="P1440" s="659"/>
    </row>
    <row r="1441" spans="14:16">
      <c r="N1441" s="659"/>
      <c r="O1441" s="659"/>
      <c r="P1441" s="659"/>
    </row>
    <row r="1442" spans="14:16">
      <c r="N1442" s="659"/>
      <c r="O1442" s="659"/>
      <c r="P1442" s="659"/>
    </row>
    <row r="1443" spans="14:16">
      <c r="N1443" s="659"/>
      <c r="O1443" s="659"/>
      <c r="P1443" s="659"/>
    </row>
    <row r="1444" spans="14:16">
      <c r="N1444" s="659"/>
      <c r="O1444" s="659"/>
      <c r="P1444" s="659"/>
    </row>
    <row r="1445" spans="14:16">
      <c r="N1445" s="659"/>
      <c r="O1445" s="659"/>
      <c r="P1445" s="659"/>
    </row>
    <row r="1446" spans="14:16">
      <c r="N1446" s="659"/>
      <c r="O1446" s="659"/>
      <c r="P1446" s="659"/>
    </row>
    <row r="1447" spans="14:16">
      <c r="N1447" s="659"/>
      <c r="O1447" s="659"/>
      <c r="P1447" s="659"/>
    </row>
    <row r="1448" spans="14:16">
      <c r="N1448" s="659"/>
      <c r="O1448" s="659"/>
      <c r="P1448" s="659"/>
    </row>
    <row r="1449" spans="14:16">
      <c r="N1449" s="659"/>
      <c r="O1449" s="659"/>
      <c r="P1449" s="659"/>
    </row>
    <row r="1450" spans="14:16">
      <c r="N1450" s="659"/>
      <c r="O1450" s="659"/>
      <c r="P1450" s="659"/>
    </row>
    <row r="1451" spans="14:16">
      <c r="N1451" s="659"/>
      <c r="O1451" s="659"/>
      <c r="P1451" s="659"/>
    </row>
    <row r="1452" spans="14:16">
      <c r="N1452" s="659"/>
      <c r="O1452" s="659"/>
      <c r="P1452" s="659"/>
    </row>
    <row r="1453" spans="14:16">
      <c r="N1453" s="659"/>
      <c r="O1453" s="659"/>
      <c r="P1453" s="659"/>
    </row>
    <row r="1454" spans="14:16">
      <c r="N1454" s="659"/>
      <c r="O1454" s="659"/>
      <c r="P1454" s="659"/>
    </row>
    <row r="1455" spans="14:16">
      <c r="N1455" s="659"/>
      <c r="O1455" s="659"/>
      <c r="P1455" s="659"/>
    </row>
    <row r="1456" spans="14:16">
      <c r="N1456" s="659"/>
      <c r="O1456" s="659"/>
      <c r="P1456" s="659"/>
    </row>
    <row r="1457" spans="14:16">
      <c r="N1457" s="659"/>
      <c r="O1457" s="659"/>
      <c r="P1457" s="659"/>
    </row>
    <row r="1458" spans="14:16">
      <c r="N1458" s="659"/>
      <c r="O1458" s="659"/>
      <c r="P1458" s="659"/>
    </row>
    <row r="1459" spans="14:16">
      <c r="N1459" s="659"/>
      <c r="O1459" s="659"/>
      <c r="P1459" s="659"/>
    </row>
    <row r="1460" spans="14:16">
      <c r="N1460" s="659"/>
      <c r="O1460" s="659"/>
      <c r="P1460" s="659"/>
    </row>
    <row r="1461" spans="14:16">
      <c r="N1461" s="659"/>
      <c r="O1461" s="659"/>
      <c r="P1461" s="659"/>
    </row>
    <row r="1462" spans="14:16">
      <c r="N1462" s="659"/>
      <c r="O1462" s="659"/>
      <c r="P1462" s="659"/>
    </row>
    <row r="1463" spans="14:16">
      <c r="N1463" s="659"/>
      <c r="O1463" s="659"/>
      <c r="P1463" s="659"/>
    </row>
    <row r="1464" spans="14:16">
      <c r="N1464" s="659"/>
      <c r="O1464" s="659"/>
      <c r="P1464" s="659"/>
    </row>
    <row r="1465" spans="14:16">
      <c r="N1465" s="659"/>
      <c r="O1465" s="659"/>
      <c r="P1465" s="659"/>
    </row>
    <row r="1466" spans="14:16">
      <c r="N1466" s="659"/>
      <c r="O1466" s="659"/>
      <c r="P1466" s="659"/>
    </row>
    <row r="1467" spans="14:16">
      <c r="N1467" s="659"/>
      <c r="O1467" s="659"/>
      <c r="P1467" s="659"/>
    </row>
    <row r="1468" spans="14:16">
      <c r="N1468" s="659"/>
      <c r="O1468" s="659"/>
      <c r="P1468" s="659"/>
    </row>
    <row r="1469" spans="14:16">
      <c r="N1469" s="659"/>
      <c r="O1469" s="659"/>
      <c r="P1469" s="659"/>
    </row>
    <row r="1470" spans="14:16">
      <c r="N1470" s="659"/>
      <c r="O1470" s="659"/>
      <c r="P1470" s="659"/>
    </row>
    <row r="1471" spans="14:16">
      <c r="N1471" s="659"/>
      <c r="O1471" s="659"/>
      <c r="P1471" s="659"/>
    </row>
    <row r="1472" spans="14:16">
      <c r="N1472" s="659"/>
      <c r="O1472" s="659"/>
      <c r="P1472" s="659"/>
    </row>
    <row r="1473" spans="14:16">
      <c r="N1473" s="659"/>
      <c r="O1473" s="659"/>
      <c r="P1473" s="659"/>
    </row>
    <row r="1474" spans="14:16">
      <c r="N1474" s="659"/>
      <c r="O1474" s="659"/>
      <c r="P1474" s="659"/>
    </row>
    <row r="1475" spans="14:16">
      <c r="N1475" s="659"/>
      <c r="O1475" s="659"/>
      <c r="P1475" s="659"/>
    </row>
    <row r="1476" spans="14:16">
      <c r="N1476" s="659"/>
      <c r="O1476" s="659"/>
      <c r="P1476" s="659"/>
    </row>
    <row r="1477" spans="14:16">
      <c r="N1477" s="659"/>
      <c r="O1477" s="659"/>
      <c r="P1477" s="659"/>
    </row>
    <row r="1478" spans="14:16">
      <c r="N1478" s="659"/>
      <c r="O1478" s="659"/>
      <c r="P1478" s="659"/>
    </row>
    <row r="1479" spans="14:16">
      <c r="N1479" s="659"/>
      <c r="O1479" s="659"/>
      <c r="P1479" s="659"/>
    </row>
    <row r="1480" spans="14:16">
      <c r="N1480" s="659"/>
      <c r="O1480" s="659"/>
      <c r="P1480" s="659"/>
    </row>
    <row r="1481" spans="14:16">
      <c r="N1481" s="659"/>
      <c r="O1481" s="659"/>
      <c r="P1481" s="659"/>
    </row>
    <row r="1482" spans="14:16">
      <c r="N1482" s="659"/>
      <c r="O1482" s="659"/>
      <c r="P1482" s="659"/>
    </row>
    <row r="1483" spans="14:16">
      <c r="N1483" s="659"/>
      <c r="O1483" s="659"/>
      <c r="P1483" s="659"/>
    </row>
    <row r="1484" spans="14:16">
      <c r="N1484" s="659"/>
      <c r="O1484" s="659"/>
      <c r="P1484" s="659"/>
    </row>
    <row r="1485" spans="14:16">
      <c r="N1485" s="659"/>
      <c r="O1485" s="659"/>
      <c r="P1485" s="659"/>
    </row>
    <row r="1486" spans="14:16">
      <c r="N1486" s="659"/>
      <c r="O1486" s="659"/>
      <c r="P1486" s="659"/>
    </row>
    <row r="1487" spans="14:16">
      <c r="N1487" s="659"/>
      <c r="O1487" s="659"/>
      <c r="P1487" s="659"/>
    </row>
    <row r="1488" spans="14:16">
      <c r="N1488" s="659"/>
      <c r="O1488" s="659"/>
      <c r="P1488" s="659"/>
    </row>
    <row r="1489" spans="14:16">
      <c r="N1489" s="659"/>
      <c r="O1489" s="659"/>
      <c r="P1489" s="659"/>
    </row>
    <row r="1490" spans="14:16">
      <c r="N1490" s="659"/>
      <c r="O1490" s="659"/>
      <c r="P1490" s="659"/>
    </row>
    <row r="1491" spans="14:16">
      <c r="N1491" s="659"/>
      <c r="O1491" s="659"/>
      <c r="P1491" s="659"/>
    </row>
    <row r="1492" spans="14:16">
      <c r="N1492" s="659"/>
      <c r="O1492" s="659"/>
      <c r="P1492" s="659"/>
    </row>
    <row r="1493" spans="14:16">
      <c r="N1493" s="659"/>
      <c r="O1493" s="659"/>
      <c r="P1493" s="659"/>
    </row>
    <row r="1494" spans="14:16">
      <c r="N1494" s="659"/>
      <c r="O1494" s="659"/>
      <c r="P1494" s="659"/>
    </row>
    <row r="1495" spans="14:16">
      <c r="N1495" s="659"/>
      <c r="O1495" s="659"/>
      <c r="P1495" s="659"/>
    </row>
    <row r="1496" spans="14:16">
      <c r="N1496" s="659"/>
      <c r="O1496" s="659"/>
      <c r="P1496" s="659"/>
    </row>
    <row r="1497" spans="14:16">
      <c r="N1497" s="659"/>
      <c r="O1497" s="659"/>
      <c r="P1497" s="659"/>
    </row>
    <row r="1498" spans="14:16">
      <c r="N1498" s="659"/>
      <c r="O1498" s="659"/>
      <c r="P1498" s="659"/>
    </row>
    <row r="1499" spans="14:16">
      <c r="N1499" s="659"/>
      <c r="O1499" s="659"/>
      <c r="P1499" s="659"/>
    </row>
    <row r="1500" spans="14:16">
      <c r="N1500" s="659"/>
      <c r="O1500" s="659"/>
      <c r="P1500" s="659"/>
    </row>
    <row r="1501" spans="14:16">
      <c r="N1501" s="659"/>
      <c r="O1501" s="659"/>
      <c r="P1501" s="659"/>
    </row>
    <row r="1502" spans="14:16">
      <c r="N1502" s="659"/>
      <c r="O1502" s="659"/>
      <c r="P1502" s="659"/>
    </row>
    <row r="1503" spans="14:16">
      <c r="N1503" s="659"/>
      <c r="O1503" s="659"/>
      <c r="P1503" s="659"/>
    </row>
    <row r="1504" spans="14:16">
      <c r="N1504" s="659"/>
      <c r="O1504" s="659"/>
      <c r="P1504" s="659"/>
    </row>
    <row r="1505" spans="14:16">
      <c r="N1505" s="659"/>
      <c r="O1505" s="659"/>
      <c r="P1505" s="659"/>
    </row>
    <row r="1506" spans="14:16">
      <c r="N1506" s="659"/>
      <c r="O1506" s="659"/>
      <c r="P1506" s="659"/>
    </row>
    <row r="1507" spans="14:16">
      <c r="N1507" s="659"/>
      <c r="O1507" s="659"/>
      <c r="P1507" s="659"/>
    </row>
    <row r="1508" spans="14:16">
      <c r="N1508" s="659"/>
      <c r="O1508" s="659"/>
      <c r="P1508" s="659"/>
    </row>
    <row r="1509" spans="14:16">
      <c r="N1509" s="659"/>
      <c r="O1509" s="659"/>
      <c r="P1509" s="659"/>
    </row>
    <row r="1510" spans="14:16">
      <c r="N1510" s="659"/>
      <c r="O1510" s="659"/>
      <c r="P1510" s="659"/>
    </row>
    <row r="1511" spans="14:16">
      <c r="N1511" s="659"/>
      <c r="O1511" s="659"/>
      <c r="P1511" s="659"/>
    </row>
    <row r="1512" spans="14:16">
      <c r="N1512" s="659"/>
      <c r="O1512" s="659"/>
      <c r="P1512" s="659"/>
    </row>
    <row r="1513" spans="14:16">
      <c r="N1513" s="659"/>
      <c r="O1513" s="659"/>
      <c r="P1513" s="659"/>
    </row>
    <row r="1514" spans="14:16">
      <c r="N1514" s="659"/>
      <c r="O1514" s="659"/>
      <c r="P1514" s="659"/>
    </row>
    <row r="1515" spans="14:16">
      <c r="N1515" s="659"/>
      <c r="O1515" s="659"/>
      <c r="P1515" s="659"/>
    </row>
    <row r="1516" spans="14:16">
      <c r="N1516" s="659"/>
      <c r="O1516" s="659"/>
      <c r="P1516" s="659"/>
    </row>
    <row r="1517" spans="14:16">
      <c r="N1517" s="659"/>
      <c r="O1517" s="659"/>
      <c r="P1517" s="659"/>
    </row>
    <row r="1518" spans="14:16">
      <c r="N1518" s="659"/>
      <c r="O1518" s="659"/>
      <c r="P1518" s="659"/>
    </row>
    <row r="1519" spans="14:16">
      <c r="N1519" s="659"/>
      <c r="O1519" s="659"/>
      <c r="P1519" s="659"/>
    </row>
    <row r="1520" spans="14:16">
      <c r="N1520" s="659"/>
      <c r="O1520" s="659"/>
      <c r="P1520" s="659"/>
    </row>
    <row r="1521" spans="14:16">
      <c r="N1521" s="659"/>
      <c r="O1521" s="659"/>
      <c r="P1521" s="659"/>
    </row>
    <row r="1522" spans="14:16">
      <c r="N1522" s="659"/>
      <c r="O1522" s="659"/>
      <c r="P1522" s="659"/>
    </row>
    <row r="1523" spans="14:16">
      <c r="N1523" s="659"/>
      <c r="O1523" s="659"/>
      <c r="P1523" s="659"/>
    </row>
    <row r="1524" spans="14:16">
      <c r="N1524" s="659"/>
      <c r="O1524" s="659"/>
      <c r="P1524" s="659"/>
    </row>
    <row r="1525" spans="14:16">
      <c r="N1525" s="659"/>
      <c r="O1525" s="659"/>
      <c r="P1525" s="659"/>
    </row>
    <row r="1526" spans="14:16">
      <c r="N1526" s="659"/>
      <c r="O1526" s="659"/>
      <c r="P1526" s="659"/>
    </row>
    <row r="1527" spans="14:16">
      <c r="N1527" s="659"/>
      <c r="O1527" s="659"/>
      <c r="P1527" s="659"/>
    </row>
    <row r="1528" spans="14:16">
      <c r="N1528" s="659"/>
      <c r="O1528" s="659"/>
      <c r="P1528" s="659"/>
    </row>
    <row r="1529" spans="14:16">
      <c r="N1529" s="659"/>
      <c r="O1529" s="659"/>
      <c r="P1529" s="659"/>
    </row>
    <row r="1530" spans="14:16">
      <c r="N1530" s="659"/>
      <c r="O1530" s="659"/>
      <c r="P1530" s="659"/>
    </row>
    <row r="1531" spans="14:16">
      <c r="N1531" s="659"/>
      <c r="O1531" s="659"/>
      <c r="P1531" s="659"/>
    </row>
    <row r="1532" spans="14:16">
      <c r="N1532" s="659"/>
      <c r="O1532" s="659"/>
      <c r="P1532" s="659"/>
    </row>
    <row r="1533" spans="14:16">
      <c r="N1533" s="659"/>
      <c r="O1533" s="659"/>
      <c r="P1533" s="659"/>
    </row>
    <row r="1534" spans="14:16">
      <c r="N1534" s="659"/>
      <c r="O1534" s="659"/>
      <c r="P1534" s="659"/>
    </row>
    <row r="1535" spans="14:16">
      <c r="N1535" s="659"/>
      <c r="O1535" s="659"/>
      <c r="P1535" s="659"/>
    </row>
    <row r="1536" spans="14:16">
      <c r="N1536" s="659"/>
      <c r="O1536" s="659"/>
      <c r="P1536" s="659"/>
    </row>
    <row r="1537" spans="14:16">
      <c r="N1537" s="659"/>
      <c r="O1537" s="659"/>
      <c r="P1537" s="659"/>
    </row>
    <row r="1538" spans="14:16">
      <c r="N1538" s="659"/>
      <c r="O1538" s="659"/>
      <c r="P1538" s="659"/>
    </row>
    <row r="1539" spans="14:16">
      <c r="N1539" s="659"/>
      <c r="O1539" s="659"/>
      <c r="P1539" s="659"/>
    </row>
    <row r="1540" spans="14:16">
      <c r="N1540" s="659"/>
      <c r="O1540" s="659"/>
      <c r="P1540" s="659"/>
    </row>
    <row r="1541" spans="14:16">
      <c r="N1541" s="659"/>
      <c r="O1541" s="659"/>
      <c r="P1541" s="659"/>
    </row>
    <row r="1542" spans="14:16">
      <c r="N1542" s="659"/>
      <c r="O1542" s="659"/>
      <c r="P1542" s="659"/>
    </row>
    <row r="1543" spans="14:16">
      <c r="N1543" s="659"/>
      <c r="O1543" s="659"/>
      <c r="P1543" s="659"/>
    </row>
    <row r="1544" spans="14:16">
      <c r="N1544" s="659"/>
      <c r="O1544" s="659"/>
      <c r="P1544" s="659"/>
    </row>
    <row r="1545" spans="14:16">
      <c r="N1545" s="659"/>
      <c r="O1545" s="659"/>
      <c r="P1545" s="659"/>
    </row>
    <row r="1546" spans="14:16">
      <c r="N1546" s="659"/>
      <c r="O1546" s="659"/>
      <c r="P1546" s="659"/>
    </row>
    <row r="1547" spans="14:16">
      <c r="N1547" s="659"/>
      <c r="O1547" s="659"/>
      <c r="P1547" s="659"/>
    </row>
    <row r="1548" spans="14:16">
      <c r="N1548" s="659"/>
      <c r="O1548" s="659"/>
      <c r="P1548" s="659"/>
    </row>
    <row r="1549" spans="14:16">
      <c r="N1549" s="659"/>
      <c r="O1549" s="659"/>
      <c r="P1549" s="659"/>
    </row>
    <row r="1550" spans="14:16">
      <c r="N1550" s="659"/>
      <c r="O1550" s="659"/>
      <c r="P1550" s="659"/>
    </row>
    <row r="1551" spans="14:16">
      <c r="N1551" s="659"/>
      <c r="O1551" s="659"/>
      <c r="P1551" s="659"/>
    </row>
    <row r="1552" spans="14:16">
      <c r="N1552" s="659"/>
      <c r="O1552" s="659"/>
      <c r="P1552" s="659"/>
    </row>
    <row r="1553" spans="14:16">
      <c r="N1553" s="659"/>
      <c r="O1553" s="659"/>
      <c r="P1553" s="659"/>
    </row>
    <row r="1554" spans="14:16">
      <c r="N1554" s="659"/>
      <c r="O1554" s="659"/>
      <c r="P1554" s="659"/>
    </row>
    <row r="1555" spans="14:16">
      <c r="N1555" s="659"/>
      <c r="O1555" s="659"/>
      <c r="P1555" s="659"/>
    </row>
    <row r="1556" spans="14:16">
      <c r="N1556" s="659"/>
      <c r="O1556" s="659"/>
      <c r="P1556" s="659"/>
    </row>
    <row r="1557" spans="14:16">
      <c r="N1557" s="659"/>
      <c r="O1557" s="659"/>
      <c r="P1557" s="659"/>
    </row>
    <row r="1558" spans="14:16">
      <c r="N1558" s="659"/>
      <c r="O1558" s="659"/>
      <c r="P1558" s="659"/>
    </row>
    <row r="1559" spans="14:16">
      <c r="N1559" s="659"/>
      <c r="O1559" s="659"/>
      <c r="P1559" s="659"/>
    </row>
    <row r="1560" spans="14:16">
      <c r="N1560" s="659"/>
      <c r="O1560" s="659"/>
      <c r="P1560" s="659"/>
    </row>
    <row r="1561" spans="14:16">
      <c r="N1561" s="659"/>
      <c r="O1561" s="659"/>
      <c r="P1561" s="659"/>
    </row>
    <row r="1562" spans="14:16">
      <c r="N1562" s="659"/>
      <c r="O1562" s="659"/>
      <c r="P1562" s="659"/>
    </row>
    <row r="1563" spans="14:16">
      <c r="N1563" s="659"/>
      <c r="O1563" s="659"/>
      <c r="P1563" s="659"/>
    </row>
    <row r="1564" spans="14:16">
      <c r="N1564" s="659"/>
      <c r="O1564" s="659"/>
      <c r="P1564" s="659"/>
    </row>
    <row r="1565" spans="14:16">
      <c r="N1565" s="659"/>
      <c r="O1565" s="659"/>
      <c r="P1565" s="659"/>
    </row>
    <row r="1566" spans="14:16">
      <c r="N1566" s="659"/>
      <c r="O1566" s="659"/>
      <c r="P1566" s="659"/>
    </row>
    <row r="1567" spans="14:16">
      <c r="N1567" s="659"/>
      <c r="O1567" s="659"/>
      <c r="P1567" s="659"/>
    </row>
    <row r="1568" spans="14:16">
      <c r="N1568" s="659"/>
      <c r="O1568" s="659"/>
      <c r="P1568" s="659"/>
    </row>
    <row r="1569" spans="14:16">
      <c r="N1569" s="659"/>
      <c r="O1569" s="659"/>
      <c r="P1569" s="659"/>
    </row>
    <row r="1570" spans="14:16">
      <c r="N1570" s="659"/>
      <c r="O1570" s="659"/>
      <c r="P1570" s="659"/>
    </row>
    <row r="1571" spans="14:16">
      <c r="N1571" s="659"/>
      <c r="O1571" s="659"/>
      <c r="P1571" s="659"/>
    </row>
    <row r="1572" spans="14:16">
      <c r="N1572" s="659"/>
      <c r="O1572" s="659"/>
      <c r="P1572" s="659"/>
    </row>
    <row r="1573" spans="14:16">
      <c r="N1573" s="659"/>
      <c r="O1573" s="659"/>
      <c r="P1573" s="659"/>
    </row>
    <row r="1574" spans="14:16">
      <c r="N1574" s="659"/>
      <c r="O1574" s="659"/>
      <c r="P1574" s="659"/>
    </row>
    <row r="1575" spans="14:16">
      <c r="N1575" s="659"/>
      <c r="O1575" s="659"/>
      <c r="P1575" s="659"/>
    </row>
    <row r="1576" spans="14:16">
      <c r="N1576" s="659"/>
      <c r="O1576" s="659"/>
      <c r="P1576" s="659"/>
    </row>
    <row r="1577" spans="14:16">
      <c r="N1577" s="659"/>
      <c r="O1577" s="659"/>
      <c r="P1577" s="659"/>
    </row>
    <row r="1578" spans="14:16">
      <c r="N1578" s="659"/>
      <c r="O1578" s="659"/>
      <c r="P1578" s="659"/>
    </row>
    <row r="1579" spans="14:16">
      <c r="N1579" s="659"/>
      <c r="O1579" s="659"/>
      <c r="P1579" s="659"/>
    </row>
    <row r="1580" spans="14:16">
      <c r="N1580" s="659"/>
      <c r="O1580" s="659"/>
      <c r="P1580" s="659"/>
    </row>
    <row r="1581" spans="14:16">
      <c r="N1581" s="659"/>
      <c r="O1581" s="659"/>
      <c r="P1581" s="659"/>
    </row>
    <row r="1582" spans="14:16">
      <c r="N1582" s="659"/>
      <c r="O1582" s="659"/>
      <c r="P1582" s="659"/>
    </row>
    <row r="1583" spans="14:16">
      <c r="N1583" s="659"/>
      <c r="O1583" s="659"/>
      <c r="P1583" s="659"/>
    </row>
    <row r="1584" spans="14:16">
      <c r="N1584" s="659"/>
      <c r="O1584" s="659"/>
      <c r="P1584" s="659"/>
    </row>
    <row r="1585" spans="14:16">
      <c r="N1585" s="659"/>
      <c r="O1585" s="659"/>
      <c r="P1585" s="659"/>
    </row>
    <row r="1586" spans="14:16">
      <c r="N1586" s="659"/>
      <c r="O1586" s="659"/>
      <c r="P1586" s="659"/>
    </row>
    <row r="1587" spans="14:16">
      <c r="N1587" s="659"/>
      <c r="O1587" s="659"/>
      <c r="P1587" s="659"/>
    </row>
    <row r="1588" spans="14:16">
      <c r="N1588" s="659"/>
      <c r="O1588" s="659"/>
      <c r="P1588" s="659"/>
    </row>
    <row r="1589" spans="14:16">
      <c r="N1589" s="659"/>
      <c r="O1589" s="659"/>
      <c r="P1589" s="659"/>
    </row>
    <row r="1590" spans="14:16">
      <c r="N1590" s="659"/>
      <c r="O1590" s="659"/>
      <c r="P1590" s="659"/>
    </row>
    <row r="1591" spans="14:16">
      <c r="N1591" s="659"/>
      <c r="O1591" s="659"/>
      <c r="P1591" s="659"/>
    </row>
    <row r="1592" spans="14:16">
      <c r="N1592" s="659"/>
      <c r="O1592" s="659"/>
      <c r="P1592" s="659"/>
    </row>
    <row r="1593" spans="14:16">
      <c r="N1593" s="659"/>
      <c r="O1593" s="659"/>
      <c r="P1593" s="659"/>
    </row>
    <row r="1594" spans="14:16">
      <c r="N1594" s="659"/>
      <c r="O1594" s="659"/>
      <c r="P1594" s="659"/>
    </row>
    <row r="1595" spans="14:16">
      <c r="N1595" s="659"/>
      <c r="O1595" s="659"/>
      <c r="P1595" s="659"/>
    </row>
    <row r="1596" spans="14:16">
      <c r="N1596" s="659"/>
      <c r="O1596" s="659"/>
      <c r="P1596" s="659"/>
    </row>
    <row r="1597" spans="14:16">
      <c r="N1597" s="659"/>
      <c r="O1597" s="659"/>
      <c r="P1597" s="659"/>
    </row>
    <row r="1598" spans="14:16">
      <c r="N1598" s="659"/>
      <c r="O1598" s="659"/>
      <c r="P1598" s="659"/>
    </row>
    <row r="1599" spans="14:16">
      <c r="N1599" s="659"/>
      <c r="O1599" s="659"/>
      <c r="P1599" s="659"/>
    </row>
    <row r="1600" spans="14:16">
      <c r="N1600" s="659"/>
      <c r="O1600" s="659"/>
      <c r="P1600" s="659"/>
    </row>
    <row r="1601" spans="14:16">
      <c r="N1601" s="659"/>
      <c r="O1601" s="659"/>
      <c r="P1601" s="659"/>
    </row>
    <row r="1602" spans="14:16">
      <c r="N1602" s="659"/>
      <c r="O1602" s="659"/>
      <c r="P1602" s="659"/>
    </row>
    <row r="1603" spans="14:16">
      <c r="N1603" s="659"/>
      <c r="O1603" s="659"/>
      <c r="P1603" s="659"/>
    </row>
    <row r="1604" spans="14:16">
      <c r="N1604" s="659"/>
      <c r="O1604" s="659"/>
      <c r="P1604" s="659"/>
    </row>
    <row r="1605" spans="14:16">
      <c r="N1605" s="659"/>
      <c r="O1605" s="659"/>
      <c r="P1605" s="659"/>
    </row>
    <row r="1606" spans="14:16">
      <c r="N1606" s="659"/>
      <c r="O1606" s="659"/>
      <c r="P1606" s="659"/>
    </row>
    <row r="1607" spans="14:16">
      <c r="N1607" s="659"/>
      <c r="O1607" s="659"/>
      <c r="P1607" s="659"/>
    </row>
    <row r="1608" spans="14:16">
      <c r="N1608" s="659"/>
      <c r="O1608" s="659"/>
      <c r="P1608" s="659"/>
    </row>
    <row r="1609" spans="14:16">
      <c r="N1609" s="659"/>
      <c r="O1609" s="659"/>
      <c r="P1609" s="659"/>
    </row>
    <row r="1610" spans="14:16">
      <c r="N1610" s="659"/>
      <c r="O1610" s="659"/>
      <c r="P1610" s="659"/>
    </row>
    <row r="1611" spans="14:16">
      <c r="N1611" s="659"/>
      <c r="O1611" s="659"/>
      <c r="P1611" s="659"/>
    </row>
    <row r="1612" spans="14:16">
      <c r="N1612" s="659"/>
      <c r="O1612" s="659"/>
      <c r="P1612" s="659"/>
    </row>
    <row r="1613" spans="14:16">
      <c r="N1613" s="659"/>
      <c r="O1613" s="659"/>
      <c r="P1613" s="659"/>
    </row>
    <row r="1614" spans="14:16">
      <c r="N1614" s="659"/>
      <c r="O1614" s="659"/>
      <c r="P1614" s="659"/>
    </row>
    <row r="1615" spans="14:16">
      <c r="N1615" s="659"/>
      <c r="O1615" s="659"/>
      <c r="P1615" s="659"/>
    </row>
    <row r="1616" spans="14:16">
      <c r="N1616" s="659"/>
      <c r="O1616" s="659"/>
      <c r="P1616" s="659"/>
    </row>
    <row r="1617" spans="14:16">
      <c r="N1617" s="659"/>
      <c r="O1617" s="659"/>
      <c r="P1617" s="659"/>
    </row>
    <row r="1618" spans="14:16">
      <c r="N1618" s="659"/>
      <c r="O1618" s="659"/>
      <c r="P1618" s="659"/>
    </row>
    <row r="1619" spans="14:16">
      <c r="N1619" s="659"/>
      <c r="O1619" s="659"/>
      <c r="P1619" s="659"/>
    </row>
    <row r="1620" spans="14:16">
      <c r="N1620" s="659"/>
      <c r="O1620" s="659"/>
      <c r="P1620" s="659"/>
    </row>
    <row r="1621" spans="14:16">
      <c r="N1621" s="659"/>
      <c r="O1621" s="659"/>
      <c r="P1621" s="659"/>
    </row>
    <row r="1622" spans="14:16">
      <c r="N1622" s="659"/>
      <c r="O1622" s="659"/>
      <c r="P1622" s="659"/>
    </row>
    <row r="1623" spans="14:16">
      <c r="N1623" s="659"/>
      <c r="O1623" s="659"/>
      <c r="P1623" s="659"/>
    </row>
    <row r="1624" spans="14:16">
      <c r="N1624" s="659"/>
      <c r="O1624" s="659"/>
      <c r="P1624" s="659"/>
    </row>
    <row r="1625" spans="14:16">
      <c r="N1625" s="659"/>
      <c r="O1625" s="659"/>
      <c r="P1625" s="659"/>
    </row>
    <row r="1626" spans="14:16">
      <c r="N1626" s="659"/>
      <c r="O1626" s="659"/>
      <c r="P1626" s="659"/>
    </row>
    <row r="1627" spans="14:16">
      <c r="N1627" s="659"/>
      <c r="O1627" s="659"/>
      <c r="P1627" s="659"/>
    </row>
    <row r="1628" spans="14:16">
      <c r="N1628" s="659"/>
      <c r="O1628" s="659"/>
      <c r="P1628" s="659"/>
    </row>
    <row r="1629" spans="14:16">
      <c r="N1629" s="659"/>
      <c r="O1629" s="659"/>
      <c r="P1629" s="659"/>
    </row>
    <row r="1630" spans="14:16">
      <c r="N1630" s="659"/>
      <c r="O1630" s="659"/>
      <c r="P1630" s="659"/>
    </row>
    <row r="1631" spans="14:16">
      <c r="N1631" s="659"/>
      <c r="O1631" s="659"/>
      <c r="P1631" s="659"/>
    </row>
    <row r="1632" spans="14:16">
      <c r="N1632" s="659"/>
      <c r="O1632" s="659"/>
      <c r="P1632" s="659"/>
    </row>
    <row r="1633" spans="14:16">
      <c r="N1633" s="659"/>
      <c r="O1633" s="659"/>
      <c r="P1633" s="659"/>
    </row>
    <row r="1634" spans="14:16">
      <c r="N1634" s="659"/>
      <c r="O1634" s="659"/>
      <c r="P1634" s="659"/>
    </row>
    <row r="1635" spans="14:16">
      <c r="N1635" s="659"/>
      <c r="O1635" s="659"/>
      <c r="P1635" s="659"/>
    </row>
    <row r="1636" spans="14:16">
      <c r="N1636" s="659"/>
      <c r="O1636" s="659"/>
      <c r="P1636" s="659"/>
    </row>
    <row r="1637" spans="14:16">
      <c r="N1637" s="659"/>
      <c r="O1637" s="659"/>
      <c r="P1637" s="659"/>
    </row>
    <row r="1638" spans="14:16">
      <c r="N1638" s="659"/>
      <c r="O1638" s="659"/>
      <c r="P1638" s="659"/>
    </row>
    <row r="1639" spans="14:16">
      <c r="N1639" s="659"/>
      <c r="O1639" s="659"/>
      <c r="P1639" s="659"/>
    </row>
    <row r="1640" spans="14:16">
      <c r="N1640" s="659"/>
      <c r="O1640" s="659"/>
      <c r="P1640" s="659"/>
    </row>
    <row r="1641" spans="14:16">
      <c r="N1641" s="659"/>
      <c r="O1641" s="659"/>
      <c r="P1641" s="659"/>
    </row>
    <row r="1642" spans="14:16">
      <c r="N1642" s="659"/>
      <c r="O1642" s="659"/>
      <c r="P1642" s="659"/>
    </row>
    <row r="1643" spans="14:16">
      <c r="N1643" s="659"/>
      <c r="O1643" s="659"/>
      <c r="P1643" s="659"/>
    </row>
    <row r="1644" spans="14:16">
      <c r="N1644" s="659"/>
      <c r="O1644" s="659"/>
      <c r="P1644" s="659"/>
    </row>
    <row r="1645" spans="14:16">
      <c r="N1645" s="659"/>
      <c r="O1645" s="659"/>
      <c r="P1645" s="659"/>
    </row>
    <row r="1646" spans="14:16">
      <c r="N1646" s="659"/>
      <c r="O1646" s="659"/>
      <c r="P1646" s="659"/>
    </row>
    <row r="1647" spans="14:16">
      <c r="N1647" s="659"/>
      <c r="O1647" s="659"/>
      <c r="P1647" s="659"/>
    </row>
    <row r="1648" spans="14:16">
      <c r="N1648" s="659"/>
      <c r="O1648" s="659"/>
      <c r="P1648" s="659"/>
    </row>
    <row r="1649" spans="14:16">
      <c r="N1649" s="659"/>
      <c r="O1649" s="659"/>
      <c r="P1649" s="659"/>
    </row>
    <row r="1650" spans="14:16">
      <c r="N1650" s="659"/>
      <c r="O1650" s="659"/>
      <c r="P1650" s="659"/>
    </row>
    <row r="1651" spans="14:16">
      <c r="N1651" s="659"/>
      <c r="O1651" s="659"/>
      <c r="P1651" s="659"/>
    </row>
    <row r="1652" spans="14:16">
      <c r="N1652" s="659"/>
      <c r="O1652" s="659"/>
      <c r="P1652" s="659"/>
    </row>
    <row r="1653" spans="14:16">
      <c r="N1653" s="659"/>
      <c r="O1653" s="659"/>
      <c r="P1653" s="659"/>
    </row>
    <row r="1654" spans="14:16">
      <c r="N1654" s="659"/>
      <c r="O1654" s="659"/>
      <c r="P1654" s="659"/>
    </row>
    <row r="1655" spans="14:16">
      <c r="N1655" s="659"/>
      <c r="O1655" s="659"/>
      <c r="P1655" s="659"/>
    </row>
    <row r="1656" spans="14:16">
      <c r="N1656" s="659"/>
      <c r="O1656" s="659"/>
      <c r="P1656" s="659"/>
    </row>
    <row r="1657" spans="14:16">
      <c r="N1657" s="659"/>
      <c r="O1657" s="659"/>
      <c r="P1657" s="659"/>
    </row>
    <row r="1658" spans="14:16">
      <c r="N1658" s="659"/>
      <c r="O1658" s="659"/>
      <c r="P1658" s="659"/>
    </row>
    <row r="1659" spans="14:16">
      <c r="N1659" s="659"/>
      <c r="O1659" s="659"/>
      <c r="P1659" s="659"/>
    </row>
    <row r="1660" spans="14:16">
      <c r="N1660" s="659"/>
      <c r="O1660" s="659"/>
      <c r="P1660" s="659"/>
    </row>
    <row r="1661" spans="14:16">
      <c r="N1661" s="659"/>
      <c r="O1661" s="659"/>
      <c r="P1661" s="659"/>
    </row>
    <row r="1662" spans="14:16">
      <c r="N1662" s="659"/>
      <c r="O1662" s="659"/>
      <c r="P1662" s="659"/>
    </row>
    <row r="1663" spans="14:16">
      <c r="N1663" s="659"/>
      <c r="O1663" s="659"/>
      <c r="P1663" s="659"/>
    </row>
    <row r="1664" spans="14:16">
      <c r="N1664" s="659"/>
      <c r="O1664" s="659"/>
      <c r="P1664" s="659"/>
    </row>
    <row r="1665" spans="14:16">
      <c r="N1665" s="659"/>
      <c r="O1665" s="659"/>
      <c r="P1665" s="659"/>
    </row>
    <row r="1666" spans="14:16">
      <c r="N1666" s="659"/>
      <c r="O1666" s="659"/>
      <c r="P1666" s="659"/>
    </row>
    <row r="1667" spans="14:16">
      <c r="N1667" s="659"/>
      <c r="O1667" s="659"/>
      <c r="P1667" s="659"/>
    </row>
    <row r="1668" spans="14:16">
      <c r="N1668" s="659"/>
      <c r="O1668" s="659"/>
      <c r="P1668" s="659"/>
    </row>
    <row r="1669" spans="14:16">
      <c r="N1669" s="659"/>
      <c r="O1669" s="659"/>
      <c r="P1669" s="659"/>
    </row>
    <row r="1670" spans="14:16">
      <c r="N1670" s="659"/>
      <c r="O1670" s="659"/>
      <c r="P1670" s="659"/>
    </row>
    <row r="1671" spans="14:16">
      <c r="N1671" s="659"/>
      <c r="O1671" s="659"/>
      <c r="P1671" s="659"/>
    </row>
    <row r="1672" spans="14:16">
      <c r="N1672" s="659"/>
      <c r="O1672" s="659"/>
      <c r="P1672" s="659"/>
    </row>
    <row r="1673" spans="14:16">
      <c r="N1673" s="659"/>
      <c r="O1673" s="659"/>
      <c r="P1673" s="659"/>
    </row>
    <row r="1674" spans="14:16">
      <c r="N1674" s="659"/>
      <c r="O1674" s="659"/>
      <c r="P1674" s="659"/>
    </row>
    <row r="1675" spans="14:16">
      <c r="N1675" s="659"/>
      <c r="O1675" s="659"/>
      <c r="P1675" s="659"/>
    </row>
    <row r="1676" spans="14:16">
      <c r="N1676" s="659"/>
      <c r="O1676" s="659"/>
      <c r="P1676" s="659"/>
    </row>
    <row r="1677" spans="14:16">
      <c r="N1677" s="659"/>
      <c r="O1677" s="659"/>
      <c r="P1677" s="659"/>
    </row>
    <row r="1678" spans="14:16">
      <c r="N1678" s="659"/>
      <c r="O1678" s="659"/>
      <c r="P1678" s="659"/>
    </row>
    <row r="1679" spans="14:16">
      <c r="N1679" s="659"/>
      <c r="O1679" s="659"/>
      <c r="P1679" s="659"/>
    </row>
    <row r="1680" spans="14:16">
      <c r="N1680" s="659"/>
      <c r="O1680" s="659"/>
      <c r="P1680" s="659"/>
    </row>
    <row r="1681" spans="14:16">
      <c r="N1681" s="659"/>
      <c r="O1681" s="659"/>
      <c r="P1681" s="659"/>
    </row>
    <row r="1682" spans="14:16">
      <c r="N1682" s="659"/>
      <c r="O1682" s="659"/>
      <c r="P1682" s="659"/>
    </row>
    <row r="1683" spans="14:16">
      <c r="N1683" s="659"/>
      <c r="O1683" s="659"/>
      <c r="P1683" s="659"/>
    </row>
    <row r="1684" spans="14:16">
      <c r="N1684" s="659"/>
      <c r="O1684" s="659"/>
      <c r="P1684" s="659"/>
    </row>
    <row r="1685" spans="14:16">
      <c r="N1685" s="659"/>
      <c r="O1685" s="659"/>
      <c r="P1685" s="659"/>
    </row>
    <row r="1686" spans="14:16">
      <c r="N1686" s="659"/>
      <c r="O1686" s="659"/>
      <c r="P1686" s="659"/>
    </row>
    <row r="1687" spans="14:16">
      <c r="N1687" s="659"/>
      <c r="O1687" s="659"/>
      <c r="P1687" s="659"/>
    </row>
    <row r="1688" spans="14:16">
      <c r="N1688" s="659"/>
      <c r="O1688" s="659"/>
      <c r="P1688" s="659"/>
    </row>
    <row r="1689" spans="14:16">
      <c r="N1689" s="659"/>
      <c r="O1689" s="659"/>
      <c r="P1689" s="659"/>
    </row>
    <row r="1690" spans="14:16">
      <c r="N1690" s="659"/>
      <c r="O1690" s="659"/>
      <c r="P1690" s="659"/>
    </row>
    <row r="1691" spans="14:16">
      <c r="N1691" s="659"/>
      <c r="O1691" s="659"/>
      <c r="P1691" s="659"/>
    </row>
    <row r="1692" spans="14:16">
      <c r="N1692" s="659"/>
      <c r="O1692" s="659"/>
      <c r="P1692" s="659"/>
    </row>
    <row r="1693" spans="14:16">
      <c r="N1693" s="659"/>
      <c r="O1693" s="659"/>
      <c r="P1693" s="659"/>
    </row>
    <row r="1694" spans="14:16">
      <c r="N1694" s="659"/>
      <c r="O1694" s="659"/>
      <c r="P1694" s="659"/>
    </row>
    <row r="1695" spans="14:16">
      <c r="N1695" s="659"/>
      <c r="O1695" s="659"/>
      <c r="P1695" s="659"/>
    </row>
    <row r="1696" spans="14:16">
      <c r="N1696" s="659"/>
      <c r="O1696" s="659"/>
      <c r="P1696" s="659"/>
    </row>
    <row r="1697" spans="14:16">
      <c r="N1697" s="659"/>
      <c r="O1697" s="659"/>
      <c r="P1697" s="659"/>
    </row>
    <row r="1698" spans="14:16">
      <c r="N1698" s="659"/>
      <c r="O1698" s="659"/>
      <c r="P1698" s="659"/>
    </row>
    <row r="1699" spans="14:16">
      <c r="N1699" s="659"/>
      <c r="O1699" s="659"/>
      <c r="P1699" s="659"/>
    </row>
    <row r="1700" spans="14:16">
      <c r="N1700" s="659"/>
      <c r="O1700" s="659"/>
      <c r="P1700" s="659"/>
    </row>
    <row r="1701" spans="14:16">
      <c r="N1701" s="659"/>
      <c r="O1701" s="659"/>
      <c r="P1701" s="659"/>
    </row>
    <row r="1702" spans="14:16">
      <c r="N1702" s="659"/>
      <c r="O1702" s="659"/>
      <c r="P1702" s="659"/>
    </row>
    <row r="1703" spans="14:16">
      <c r="N1703" s="659"/>
      <c r="O1703" s="659"/>
      <c r="P1703" s="659"/>
    </row>
    <row r="1704" spans="14:16">
      <c r="N1704" s="659"/>
      <c r="O1704" s="659"/>
      <c r="P1704" s="659"/>
    </row>
    <row r="1705" spans="14:16">
      <c r="N1705" s="659"/>
      <c r="O1705" s="659"/>
      <c r="P1705" s="659"/>
    </row>
    <row r="1706" spans="14:16">
      <c r="N1706" s="659"/>
      <c r="O1706" s="659"/>
      <c r="P1706" s="659"/>
    </row>
    <row r="1707" spans="14:16">
      <c r="N1707" s="659"/>
      <c r="O1707" s="659"/>
      <c r="P1707" s="659"/>
    </row>
    <row r="1708" spans="14:16">
      <c r="N1708" s="659"/>
      <c r="O1708" s="659"/>
      <c r="P1708" s="659"/>
    </row>
    <row r="1709" spans="14:16">
      <c r="N1709" s="659"/>
      <c r="O1709" s="659"/>
      <c r="P1709" s="659"/>
    </row>
    <row r="1710" spans="14:16">
      <c r="N1710" s="659"/>
      <c r="O1710" s="659"/>
      <c r="P1710" s="659"/>
    </row>
    <row r="1711" spans="14:16">
      <c r="N1711" s="659"/>
      <c r="O1711" s="659"/>
      <c r="P1711" s="659"/>
    </row>
    <row r="1712" spans="14:16">
      <c r="N1712" s="659"/>
      <c r="O1712" s="659"/>
      <c r="P1712" s="659"/>
    </row>
    <row r="1713" spans="14:16">
      <c r="N1713" s="659"/>
      <c r="O1713" s="659"/>
      <c r="P1713" s="659"/>
    </row>
    <row r="1714" spans="14:16">
      <c r="N1714" s="659"/>
      <c r="O1714" s="659"/>
      <c r="P1714" s="659"/>
    </row>
    <row r="1715" spans="14:16">
      <c r="N1715" s="659"/>
      <c r="O1715" s="659"/>
      <c r="P1715" s="659"/>
    </row>
    <row r="1716" spans="14:16">
      <c r="N1716" s="659"/>
      <c r="O1716" s="659"/>
      <c r="P1716" s="659"/>
    </row>
    <row r="1717" spans="14:16">
      <c r="N1717" s="659"/>
      <c r="O1717" s="659"/>
      <c r="P1717" s="659"/>
    </row>
    <row r="1718" spans="14:16">
      <c r="N1718" s="659"/>
      <c r="O1718" s="659"/>
      <c r="P1718" s="659"/>
    </row>
    <row r="1719" spans="14:16">
      <c r="N1719" s="659"/>
      <c r="O1719" s="659"/>
      <c r="P1719" s="659"/>
    </row>
    <row r="1720" spans="14:16">
      <c r="N1720" s="659"/>
      <c r="O1720" s="659"/>
      <c r="P1720" s="659"/>
    </row>
    <row r="1721" spans="14:16">
      <c r="N1721" s="659"/>
      <c r="O1721" s="659"/>
      <c r="P1721" s="659"/>
    </row>
    <row r="1722" spans="14:16">
      <c r="N1722" s="659"/>
      <c r="O1722" s="659"/>
      <c r="P1722" s="659"/>
    </row>
    <row r="1723" spans="14:16">
      <c r="N1723" s="659"/>
      <c r="O1723" s="659"/>
      <c r="P1723" s="659"/>
    </row>
    <row r="1724" spans="14:16">
      <c r="N1724" s="659"/>
      <c r="O1724" s="659"/>
      <c r="P1724" s="659"/>
    </row>
    <row r="1725" spans="14:16">
      <c r="N1725" s="659"/>
      <c r="O1725" s="659"/>
      <c r="P1725" s="659"/>
    </row>
    <row r="1726" spans="14:16">
      <c r="N1726" s="659"/>
      <c r="O1726" s="659"/>
      <c r="P1726" s="659"/>
    </row>
    <row r="1727" spans="14:16">
      <c r="N1727" s="659"/>
      <c r="O1727" s="659"/>
      <c r="P1727" s="659"/>
    </row>
    <row r="1728" spans="14:16">
      <c r="N1728" s="659"/>
      <c r="O1728" s="659"/>
      <c r="P1728" s="659"/>
    </row>
    <row r="1729" spans="14:16">
      <c r="N1729" s="659"/>
      <c r="O1729" s="659"/>
      <c r="P1729" s="659"/>
    </row>
    <row r="1730" spans="14:16">
      <c r="N1730" s="659"/>
      <c r="O1730" s="659"/>
      <c r="P1730" s="659"/>
    </row>
    <row r="1731" spans="14:16">
      <c r="N1731" s="659"/>
      <c r="O1731" s="659"/>
      <c r="P1731" s="659"/>
    </row>
    <row r="1732" spans="14:16">
      <c r="N1732" s="659"/>
      <c r="O1732" s="659"/>
      <c r="P1732" s="659"/>
    </row>
    <row r="1733" spans="14:16">
      <c r="N1733" s="659"/>
      <c r="O1733" s="659"/>
      <c r="P1733" s="659"/>
    </row>
    <row r="1734" spans="14:16">
      <c r="N1734" s="659"/>
      <c r="O1734" s="659"/>
      <c r="P1734" s="659"/>
    </row>
    <row r="1735" spans="14:16">
      <c r="N1735" s="659"/>
      <c r="O1735" s="659"/>
      <c r="P1735" s="659"/>
    </row>
    <row r="1736" spans="14:16">
      <c r="N1736" s="659"/>
      <c r="O1736" s="659"/>
      <c r="P1736" s="659"/>
    </row>
    <row r="1737" spans="14:16">
      <c r="N1737" s="659"/>
      <c r="O1737" s="659"/>
      <c r="P1737" s="659"/>
    </row>
    <row r="1738" spans="14:16">
      <c r="N1738" s="659"/>
      <c r="O1738" s="659"/>
      <c r="P1738" s="659"/>
    </row>
    <row r="1739" spans="14:16">
      <c r="N1739" s="659"/>
      <c r="O1739" s="659"/>
      <c r="P1739" s="659"/>
    </row>
    <row r="1740" spans="14:16">
      <c r="N1740" s="659"/>
      <c r="O1740" s="659"/>
      <c r="P1740" s="659"/>
    </row>
    <row r="1741" spans="14:16">
      <c r="N1741" s="659"/>
      <c r="O1741" s="659"/>
      <c r="P1741" s="659"/>
    </row>
    <row r="1742" spans="14:16">
      <c r="N1742" s="659"/>
      <c r="O1742" s="659"/>
      <c r="P1742" s="659"/>
    </row>
    <row r="1743" spans="14:16">
      <c r="N1743" s="659"/>
      <c r="O1743" s="659"/>
      <c r="P1743" s="659"/>
    </row>
    <row r="1744" spans="14:16">
      <c r="N1744" s="659"/>
      <c r="O1744" s="659"/>
      <c r="P1744" s="659"/>
    </row>
    <row r="1745" spans="14:16">
      <c r="N1745" s="659"/>
      <c r="O1745" s="659"/>
      <c r="P1745" s="659"/>
    </row>
    <row r="1746" spans="14:16">
      <c r="N1746" s="659"/>
      <c r="O1746" s="659"/>
      <c r="P1746" s="659"/>
    </row>
    <row r="1747" spans="14:16">
      <c r="N1747" s="659"/>
      <c r="O1747" s="659"/>
      <c r="P1747" s="659"/>
    </row>
    <row r="1748" spans="14:16">
      <c r="N1748" s="659"/>
      <c r="O1748" s="659"/>
      <c r="P1748" s="659"/>
    </row>
    <row r="1749" spans="14:16">
      <c r="N1749" s="659"/>
      <c r="O1749" s="659"/>
      <c r="P1749" s="659"/>
    </row>
    <row r="1750" spans="14:16">
      <c r="N1750" s="659"/>
      <c r="O1750" s="659"/>
      <c r="P1750" s="659"/>
    </row>
    <row r="1751" spans="14:16">
      <c r="N1751" s="659"/>
      <c r="O1751" s="659"/>
      <c r="P1751" s="659"/>
    </row>
    <row r="1752" spans="14:16">
      <c r="N1752" s="659"/>
      <c r="O1752" s="659"/>
      <c r="P1752" s="659"/>
    </row>
    <row r="1753" spans="14:16">
      <c r="N1753" s="659"/>
      <c r="O1753" s="659"/>
      <c r="P1753" s="659"/>
    </row>
    <row r="1754" spans="14:16">
      <c r="N1754" s="659"/>
      <c r="O1754" s="659"/>
      <c r="P1754" s="659"/>
    </row>
    <row r="1755" spans="14:16">
      <c r="N1755" s="659"/>
      <c r="O1755" s="659"/>
      <c r="P1755" s="659"/>
    </row>
    <row r="1756" spans="14:16">
      <c r="N1756" s="659"/>
      <c r="O1756" s="659"/>
      <c r="P1756" s="659"/>
    </row>
    <row r="1757" spans="14:16">
      <c r="N1757" s="659"/>
      <c r="O1757" s="659"/>
      <c r="P1757" s="659"/>
    </row>
    <row r="1758" spans="14:16">
      <c r="N1758" s="659"/>
      <c r="O1758" s="659"/>
      <c r="P1758" s="659"/>
    </row>
    <row r="1759" spans="14:16">
      <c r="N1759" s="659"/>
      <c r="O1759" s="659"/>
      <c r="P1759" s="659"/>
    </row>
    <row r="1760" spans="14:16">
      <c r="N1760" s="659"/>
      <c r="O1760" s="659"/>
      <c r="P1760" s="659"/>
    </row>
    <row r="1761" spans="14:16">
      <c r="N1761" s="659"/>
      <c r="O1761" s="659"/>
      <c r="P1761" s="659"/>
    </row>
    <row r="1762" spans="14:16">
      <c r="N1762" s="659"/>
      <c r="O1762" s="659"/>
      <c r="P1762" s="659"/>
    </row>
    <row r="1763" spans="14:16">
      <c r="N1763" s="659"/>
      <c r="O1763" s="659"/>
      <c r="P1763" s="659"/>
    </row>
    <row r="1764" spans="14:16">
      <c r="N1764" s="659"/>
      <c r="O1764" s="659"/>
      <c r="P1764" s="659"/>
    </row>
    <row r="1765" spans="14:16">
      <c r="N1765" s="659"/>
      <c r="O1765" s="659"/>
      <c r="P1765" s="659"/>
    </row>
    <row r="1766" spans="14:16">
      <c r="N1766" s="659"/>
      <c r="O1766" s="659"/>
      <c r="P1766" s="659"/>
    </row>
    <row r="1767" spans="14:16">
      <c r="N1767" s="659"/>
      <c r="O1767" s="659"/>
      <c r="P1767" s="659"/>
    </row>
    <row r="1768" spans="14:16">
      <c r="N1768" s="659"/>
      <c r="O1768" s="659"/>
      <c r="P1768" s="659"/>
    </row>
    <row r="1769" spans="14:16">
      <c r="N1769" s="659"/>
      <c r="O1769" s="659"/>
      <c r="P1769" s="659"/>
    </row>
    <row r="1770" spans="14:16">
      <c r="N1770" s="659"/>
      <c r="O1770" s="659"/>
      <c r="P1770" s="659"/>
    </row>
    <row r="1771" spans="14:16">
      <c r="N1771" s="659"/>
      <c r="O1771" s="659"/>
      <c r="P1771" s="659"/>
    </row>
    <row r="1772" spans="14:16">
      <c r="N1772" s="659"/>
      <c r="O1772" s="659"/>
      <c r="P1772" s="659"/>
    </row>
    <row r="1773" spans="14:16">
      <c r="N1773" s="659"/>
      <c r="O1773" s="659"/>
      <c r="P1773" s="659"/>
    </row>
    <row r="1774" spans="14:16">
      <c r="N1774" s="659"/>
      <c r="O1774" s="659"/>
      <c r="P1774" s="659"/>
    </row>
    <row r="1775" spans="14:16">
      <c r="N1775" s="659"/>
      <c r="O1775" s="659"/>
      <c r="P1775" s="659"/>
    </row>
    <row r="1776" spans="14:16">
      <c r="N1776" s="659"/>
      <c r="O1776" s="659"/>
      <c r="P1776" s="659"/>
    </row>
    <row r="1777" spans="14:16">
      <c r="N1777" s="659"/>
      <c r="O1777" s="659"/>
      <c r="P1777" s="659"/>
    </row>
    <row r="1778" spans="14:16">
      <c r="N1778" s="659"/>
      <c r="O1778" s="659"/>
      <c r="P1778" s="659"/>
    </row>
    <row r="1779" spans="14:16">
      <c r="N1779" s="659"/>
      <c r="O1779" s="659"/>
      <c r="P1779" s="659"/>
    </row>
    <row r="1780" spans="14:16">
      <c r="N1780" s="659"/>
      <c r="O1780" s="659"/>
      <c r="P1780" s="659"/>
    </row>
    <row r="1781" spans="14:16">
      <c r="N1781" s="659"/>
      <c r="O1781" s="659"/>
      <c r="P1781" s="659"/>
    </row>
    <row r="1782" spans="14:16">
      <c r="N1782" s="659"/>
      <c r="O1782" s="659"/>
      <c r="P1782" s="659"/>
    </row>
    <row r="1783" spans="14:16">
      <c r="N1783" s="659"/>
      <c r="O1783" s="659"/>
      <c r="P1783" s="659"/>
    </row>
    <row r="1784" spans="14:16">
      <c r="N1784" s="659"/>
      <c r="O1784" s="659"/>
      <c r="P1784" s="659"/>
    </row>
    <row r="1785" spans="14:16">
      <c r="N1785" s="659"/>
      <c r="O1785" s="659"/>
      <c r="P1785" s="659"/>
    </row>
    <row r="1786" spans="14:16">
      <c r="N1786" s="659"/>
      <c r="O1786" s="659"/>
      <c r="P1786" s="659"/>
    </row>
    <row r="1787" spans="14:16">
      <c r="N1787" s="659"/>
      <c r="O1787" s="659"/>
      <c r="P1787" s="659"/>
    </row>
    <row r="1788" spans="14:16">
      <c r="N1788" s="659"/>
      <c r="O1788" s="659"/>
      <c r="P1788" s="659"/>
    </row>
    <row r="1789" spans="14:16">
      <c r="N1789" s="659"/>
      <c r="O1789" s="659"/>
      <c r="P1789" s="659"/>
    </row>
    <row r="1790" spans="14:16">
      <c r="N1790" s="659"/>
      <c r="O1790" s="659"/>
      <c r="P1790" s="659"/>
    </row>
    <row r="1791" spans="14:16">
      <c r="N1791" s="659"/>
      <c r="O1791" s="659"/>
      <c r="P1791" s="659"/>
    </row>
    <row r="1792" spans="14:16">
      <c r="N1792" s="659"/>
      <c r="O1792" s="659"/>
      <c r="P1792" s="659"/>
    </row>
    <row r="1793" spans="14:16">
      <c r="N1793" s="659"/>
      <c r="O1793" s="659"/>
      <c r="P1793" s="659"/>
    </row>
    <row r="1794" spans="14:16">
      <c r="N1794" s="659"/>
      <c r="O1794" s="659"/>
      <c r="P1794" s="659"/>
    </row>
    <row r="1795" spans="14:16">
      <c r="N1795" s="659"/>
      <c r="O1795" s="659"/>
      <c r="P1795" s="659"/>
    </row>
    <row r="1796" spans="14:16">
      <c r="N1796" s="659"/>
      <c r="O1796" s="659"/>
      <c r="P1796" s="659"/>
    </row>
    <row r="1797" spans="14:16">
      <c r="N1797" s="659"/>
      <c r="O1797" s="659"/>
      <c r="P1797" s="659"/>
    </row>
    <row r="1798" spans="14:16">
      <c r="N1798" s="659"/>
      <c r="O1798" s="659"/>
      <c r="P1798" s="659"/>
    </row>
    <row r="1799" spans="14:16">
      <c r="N1799" s="659"/>
      <c r="O1799" s="659"/>
      <c r="P1799" s="659"/>
    </row>
    <row r="1800" spans="14:16">
      <c r="N1800" s="659"/>
      <c r="O1800" s="659"/>
      <c r="P1800" s="659"/>
    </row>
    <row r="1801" spans="14:16">
      <c r="N1801" s="659"/>
      <c r="O1801" s="659"/>
      <c r="P1801" s="659"/>
    </row>
    <row r="1802" spans="14:16">
      <c r="N1802" s="659"/>
      <c r="O1802" s="659"/>
      <c r="P1802" s="659"/>
    </row>
    <row r="1803" spans="14:16">
      <c r="N1803" s="659"/>
      <c r="O1803" s="659"/>
      <c r="P1803" s="659"/>
    </row>
    <row r="1804" spans="14:16">
      <c r="N1804" s="659"/>
      <c r="O1804" s="659"/>
      <c r="P1804" s="659"/>
    </row>
    <row r="1805" spans="14:16">
      <c r="N1805" s="659"/>
      <c r="O1805" s="659"/>
      <c r="P1805" s="659"/>
    </row>
    <row r="1806" spans="14:16">
      <c r="N1806" s="659"/>
      <c r="O1806" s="659"/>
      <c r="P1806" s="659"/>
    </row>
    <row r="1807" spans="14:16">
      <c r="N1807" s="659"/>
      <c r="O1807" s="659"/>
      <c r="P1807" s="659"/>
    </row>
    <row r="1808" spans="14:16">
      <c r="N1808" s="659"/>
      <c r="O1808" s="659"/>
      <c r="P1808" s="659"/>
    </row>
    <row r="1809" spans="14:16">
      <c r="N1809" s="659"/>
      <c r="O1809" s="659"/>
      <c r="P1809" s="659"/>
    </row>
    <row r="1810" spans="14:16">
      <c r="N1810" s="659"/>
      <c r="O1810" s="659"/>
      <c r="P1810" s="659"/>
    </row>
    <row r="1811" spans="14:16">
      <c r="N1811" s="659"/>
      <c r="O1811" s="659"/>
      <c r="P1811" s="659"/>
    </row>
    <row r="1812" spans="14:16">
      <c r="N1812" s="659"/>
      <c r="O1812" s="659"/>
      <c r="P1812" s="659"/>
    </row>
    <row r="1813" spans="14:16">
      <c r="N1813" s="659"/>
      <c r="O1813" s="659"/>
      <c r="P1813" s="659"/>
    </row>
    <row r="1814" spans="14:16">
      <c r="N1814" s="659"/>
      <c r="O1814" s="659"/>
      <c r="P1814" s="659"/>
    </row>
    <row r="1815" spans="14:16">
      <c r="N1815" s="659"/>
      <c r="O1815" s="659"/>
      <c r="P1815" s="659"/>
    </row>
    <row r="1816" spans="14:16">
      <c r="N1816" s="659"/>
      <c r="O1816" s="659"/>
      <c r="P1816" s="659"/>
    </row>
    <row r="1817" spans="14:16">
      <c r="N1817" s="659"/>
      <c r="O1817" s="659"/>
      <c r="P1817" s="659"/>
    </row>
    <row r="1818" spans="14:16">
      <c r="N1818" s="659"/>
      <c r="O1818" s="659"/>
      <c r="P1818" s="659"/>
    </row>
    <row r="1819" spans="14:16">
      <c r="N1819" s="659"/>
      <c r="O1819" s="659"/>
      <c r="P1819" s="659"/>
    </row>
    <row r="1820" spans="14:16">
      <c r="N1820" s="659"/>
      <c r="O1820" s="659"/>
      <c r="P1820" s="659"/>
    </row>
    <row r="1821" spans="14:16">
      <c r="N1821" s="659"/>
      <c r="O1821" s="659"/>
      <c r="P1821" s="659"/>
    </row>
    <row r="1822" spans="14:16">
      <c r="N1822" s="659"/>
      <c r="O1822" s="659"/>
      <c r="P1822" s="659"/>
    </row>
    <row r="1823" spans="14:16">
      <c r="N1823" s="659"/>
      <c r="O1823" s="659"/>
      <c r="P1823" s="659"/>
    </row>
    <row r="1824" spans="14:16">
      <c r="N1824" s="659"/>
      <c r="O1824" s="659"/>
      <c r="P1824" s="659"/>
    </row>
    <row r="1825" spans="14:16">
      <c r="N1825" s="659"/>
      <c r="O1825" s="659"/>
      <c r="P1825" s="659"/>
    </row>
    <row r="1826" spans="14:16">
      <c r="N1826" s="659"/>
      <c r="O1826" s="659"/>
      <c r="P1826" s="659"/>
    </row>
    <row r="1827" spans="14:16">
      <c r="N1827" s="659"/>
      <c r="O1827" s="659"/>
      <c r="P1827" s="659"/>
    </row>
    <row r="1828" spans="14:16">
      <c r="N1828" s="659"/>
      <c r="O1828" s="659"/>
      <c r="P1828" s="659"/>
    </row>
    <row r="1829" spans="14:16">
      <c r="N1829" s="659"/>
      <c r="O1829" s="659"/>
      <c r="P1829" s="659"/>
    </row>
    <row r="1830" spans="14:16">
      <c r="N1830" s="659"/>
      <c r="O1830" s="659"/>
      <c r="P1830" s="659"/>
    </row>
    <row r="1831" spans="14:16">
      <c r="N1831" s="659"/>
      <c r="O1831" s="659"/>
      <c r="P1831" s="659"/>
    </row>
    <row r="1832" spans="14:16">
      <c r="N1832" s="659"/>
      <c r="O1832" s="659"/>
      <c r="P1832" s="659"/>
    </row>
    <row r="1833" spans="14:16">
      <c r="N1833" s="659"/>
      <c r="O1833" s="659"/>
      <c r="P1833" s="659"/>
    </row>
    <row r="1834" spans="14:16">
      <c r="N1834" s="659"/>
      <c r="O1834" s="659"/>
      <c r="P1834" s="659"/>
    </row>
    <row r="1835" spans="14:16">
      <c r="N1835" s="659"/>
      <c r="O1835" s="659"/>
      <c r="P1835" s="659"/>
    </row>
    <row r="1836" spans="14:16">
      <c r="N1836" s="659"/>
      <c r="O1836" s="659"/>
      <c r="P1836" s="659"/>
    </row>
    <row r="1837" spans="14:16">
      <c r="N1837" s="659"/>
      <c r="O1837" s="659"/>
      <c r="P1837" s="659"/>
    </row>
    <row r="1838" spans="14:16">
      <c r="N1838" s="659"/>
      <c r="O1838" s="659"/>
      <c r="P1838" s="659"/>
    </row>
    <row r="1839" spans="14:16">
      <c r="N1839" s="659"/>
      <c r="O1839" s="659"/>
      <c r="P1839" s="659"/>
    </row>
    <row r="1840" spans="14:16">
      <c r="N1840" s="659"/>
      <c r="O1840" s="659"/>
      <c r="P1840" s="659"/>
    </row>
    <row r="1841" spans="14:16">
      <c r="N1841" s="659"/>
      <c r="O1841" s="659"/>
      <c r="P1841" s="659"/>
    </row>
    <row r="1842" spans="14:16">
      <c r="N1842" s="659"/>
      <c r="O1842" s="659"/>
      <c r="P1842" s="659"/>
    </row>
    <row r="1843" spans="14:16">
      <c r="N1843" s="659"/>
      <c r="O1843" s="659"/>
      <c r="P1843" s="659"/>
    </row>
    <row r="1844" spans="14:16">
      <c r="N1844" s="659"/>
      <c r="O1844" s="659"/>
      <c r="P1844" s="659"/>
    </row>
    <row r="1845" spans="14:16">
      <c r="N1845" s="659"/>
      <c r="O1845" s="659"/>
      <c r="P1845" s="659"/>
    </row>
    <row r="1846" spans="14:16">
      <c r="N1846" s="659"/>
      <c r="O1846" s="659"/>
      <c r="P1846" s="659"/>
    </row>
    <row r="1847" spans="14:16">
      <c r="N1847" s="659"/>
      <c r="O1847" s="659"/>
      <c r="P1847" s="659"/>
    </row>
    <row r="1848" spans="14:16">
      <c r="N1848" s="659"/>
      <c r="O1848" s="659"/>
      <c r="P1848" s="659"/>
    </row>
    <row r="1849" spans="14:16">
      <c r="N1849" s="659"/>
      <c r="O1849" s="659"/>
      <c r="P1849" s="659"/>
    </row>
    <row r="1850" spans="14:16">
      <c r="N1850" s="659"/>
      <c r="O1850" s="659"/>
      <c r="P1850" s="659"/>
    </row>
    <row r="1851" spans="14:16">
      <c r="N1851" s="659"/>
      <c r="O1851" s="659"/>
      <c r="P1851" s="659"/>
    </row>
    <row r="1852" spans="14:16">
      <c r="N1852" s="659"/>
      <c r="O1852" s="659"/>
      <c r="P1852" s="659"/>
    </row>
    <row r="1853" spans="14:16">
      <c r="N1853" s="659"/>
      <c r="O1853" s="659"/>
      <c r="P1853" s="659"/>
    </row>
    <row r="1854" spans="14:16">
      <c r="N1854" s="659"/>
      <c r="O1854" s="659"/>
      <c r="P1854" s="659"/>
    </row>
    <row r="1855" spans="14:16">
      <c r="N1855" s="659"/>
      <c r="O1855" s="659"/>
      <c r="P1855" s="659"/>
    </row>
    <row r="1856" spans="14:16">
      <c r="N1856" s="659"/>
      <c r="O1856" s="659"/>
      <c r="P1856" s="659"/>
    </row>
    <row r="1857" spans="14:16">
      <c r="N1857" s="659"/>
      <c r="O1857" s="659"/>
      <c r="P1857" s="659"/>
    </row>
    <row r="1858" spans="14:16">
      <c r="N1858" s="659"/>
      <c r="O1858" s="659"/>
      <c r="P1858" s="659"/>
    </row>
    <row r="1859" spans="14:16">
      <c r="N1859" s="659"/>
      <c r="O1859" s="659"/>
      <c r="P1859" s="659"/>
    </row>
    <row r="1860" spans="14:16">
      <c r="N1860" s="659"/>
      <c r="O1860" s="659"/>
      <c r="P1860" s="659"/>
    </row>
    <row r="1861" spans="14:16">
      <c r="N1861" s="659"/>
      <c r="O1861" s="659"/>
      <c r="P1861" s="659"/>
    </row>
    <row r="1862" spans="14:16">
      <c r="N1862" s="659"/>
      <c r="O1862" s="659"/>
      <c r="P1862" s="659"/>
    </row>
    <row r="1863" spans="14:16">
      <c r="N1863" s="659"/>
      <c r="O1863" s="659"/>
      <c r="P1863" s="659"/>
    </row>
    <row r="1864" spans="14:16">
      <c r="N1864" s="659"/>
      <c r="O1864" s="659"/>
      <c r="P1864" s="659"/>
    </row>
    <row r="1865" spans="14:16">
      <c r="N1865" s="659"/>
      <c r="O1865" s="659"/>
      <c r="P1865" s="659"/>
    </row>
    <row r="1866" spans="14:16">
      <c r="N1866" s="659"/>
      <c r="O1866" s="659"/>
      <c r="P1866" s="659"/>
    </row>
    <row r="1867" spans="14:16">
      <c r="N1867" s="659"/>
      <c r="O1867" s="659"/>
      <c r="P1867" s="659"/>
    </row>
    <row r="1868" spans="14:16">
      <c r="N1868" s="659"/>
      <c r="O1868" s="659"/>
      <c r="P1868" s="659"/>
    </row>
    <row r="1869" spans="14:16">
      <c r="N1869" s="659"/>
      <c r="O1869" s="659"/>
      <c r="P1869" s="659"/>
    </row>
    <row r="1870" spans="14:16">
      <c r="N1870" s="659"/>
      <c r="O1870" s="659"/>
      <c r="P1870" s="659"/>
    </row>
    <row r="1871" spans="14:16">
      <c r="N1871" s="659"/>
      <c r="O1871" s="659"/>
      <c r="P1871" s="659"/>
    </row>
    <row r="1872" spans="14:16">
      <c r="N1872" s="659"/>
      <c r="O1872" s="659"/>
      <c r="P1872" s="659"/>
    </row>
    <row r="1873" spans="14:16">
      <c r="N1873" s="659"/>
      <c r="O1873" s="659"/>
      <c r="P1873" s="659"/>
    </row>
    <row r="1874" spans="14:16">
      <c r="N1874" s="659"/>
      <c r="O1874" s="659"/>
      <c r="P1874" s="659"/>
    </row>
    <row r="1875" spans="14:16">
      <c r="N1875" s="659"/>
      <c r="O1875" s="659"/>
      <c r="P1875" s="659"/>
    </row>
    <row r="1876" spans="14:16">
      <c r="N1876" s="659"/>
      <c r="O1876" s="659"/>
      <c r="P1876" s="659"/>
    </row>
    <row r="1877" spans="14:16">
      <c r="N1877" s="659"/>
      <c r="O1877" s="659"/>
      <c r="P1877" s="659"/>
    </row>
    <row r="1878" spans="14:16">
      <c r="N1878" s="659"/>
      <c r="O1878" s="659"/>
      <c r="P1878" s="659"/>
    </row>
    <row r="1879" spans="14:16">
      <c r="N1879" s="659"/>
      <c r="O1879" s="659"/>
      <c r="P1879" s="659"/>
    </row>
    <row r="1880" spans="14:16">
      <c r="N1880" s="659"/>
      <c r="O1880" s="659"/>
      <c r="P1880" s="659"/>
    </row>
    <row r="1881" spans="14:16">
      <c r="N1881" s="659"/>
      <c r="O1881" s="659"/>
      <c r="P1881" s="659"/>
    </row>
    <row r="1882" spans="14:16">
      <c r="N1882" s="659"/>
      <c r="O1882" s="659"/>
      <c r="P1882" s="659"/>
    </row>
    <row r="1883" spans="14:16">
      <c r="N1883" s="659"/>
      <c r="O1883" s="659"/>
      <c r="P1883" s="659"/>
    </row>
    <row r="1884" spans="14:16">
      <c r="N1884" s="659"/>
      <c r="O1884" s="659"/>
      <c r="P1884" s="659"/>
    </row>
    <row r="1885" spans="14:16">
      <c r="N1885" s="659"/>
      <c r="O1885" s="659"/>
      <c r="P1885" s="659"/>
    </row>
    <row r="1886" spans="14:16">
      <c r="N1886" s="659"/>
      <c r="O1886" s="659"/>
      <c r="P1886" s="659"/>
    </row>
    <row r="1887" spans="14:16">
      <c r="N1887" s="659"/>
      <c r="O1887" s="659"/>
      <c r="P1887" s="659"/>
    </row>
    <row r="1888" spans="14:16">
      <c r="N1888" s="659"/>
      <c r="O1888" s="659"/>
      <c r="P1888" s="659"/>
    </row>
    <row r="1889" spans="14:16">
      <c r="N1889" s="659"/>
      <c r="O1889" s="659"/>
      <c r="P1889" s="659"/>
    </row>
    <row r="1890" spans="14:16">
      <c r="N1890" s="659"/>
      <c r="O1890" s="659"/>
      <c r="P1890" s="659"/>
    </row>
    <row r="1891" spans="14:16">
      <c r="N1891" s="659"/>
      <c r="O1891" s="659"/>
      <c r="P1891" s="659"/>
    </row>
    <row r="1892" spans="14:16">
      <c r="N1892" s="659"/>
      <c r="O1892" s="659"/>
      <c r="P1892" s="659"/>
    </row>
    <row r="1893" spans="14:16">
      <c r="N1893" s="659"/>
      <c r="O1893" s="659"/>
      <c r="P1893" s="659"/>
    </row>
    <row r="1894" spans="14:16">
      <c r="N1894" s="659"/>
      <c r="O1894" s="659"/>
      <c r="P1894" s="659"/>
    </row>
    <row r="1895" spans="14:16">
      <c r="N1895" s="659"/>
      <c r="O1895" s="659"/>
      <c r="P1895" s="659"/>
    </row>
    <row r="1896" spans="14:16">
      <c r="N1896" s="659"/>
      <c r="O1896" s="659"/>
      <c r="P1896" s="659"/>
    </row>
    <row r="1897" spans="14:16">
      <c r="N1897" s="659"/>
      <c r="O1897" s="659"/>
      <c r="P1897" s="659"/>
    </row>
    <row r="1898" spans="14:16">
      <c r="N1898" s="659"/>
      <c r="O1898" s="659"/>
      <c r="P1898" s="659"/>
    </row>
    <row r="1899" spans="14:16">
      <c r="N1899" s="659"/>
      <c r="O1899" s="659"/>
      <c r="P1899" s="659"/>
    </row>
    <row r="1900" spans="14:16">
      <c r="N1900" s="659"/>
      <c r="O1900" s="659"/>
      <c r="P1900" s="659"/>
    </row>
    <row r="1901" spans="14:16">
      <c r="N1901" s="659"/>
      <c r="O1901" s="659"/>
      <c r="P1901" s="659"/>
    </row>
    <row r="1902" spans="14:16">
      <c r="N1902" s="659"/>
      <c r="O1902" s="659"/>
      <c r="P1902" s="659"/>
    </row>
    <row r="1903" spans="14:16">
      <c r="N1903" s="659"/>
      <c r="O1903" s="659"/>
      <c r="P1903" s="659"/>
    </row>
    <row r="1904" spans="14:16">
      <c r="N1904" s="659"/>
      <c r="O1904" s="659"/>
      <c r="P1904" s="659"/>
    </row>
    <row r="1905" spans="14:16">
      <c r="N1905" s="659"/>
      <c r="O1905" s="659"/>
      <c r="P1905" s="659"/>
    </row>
    <row r="1906" spans="14:16">
      <c r="N1906" s="659"/>
      <c r="O1906" s="659"/>
      <c r="P1906" s="659"/>
    </row>
    <row r="1907" spans="14:16">
      <c r="N1907" s="659"/>
      <c r="O1907" s="659"/>
      <c r="P1907" s="659"/>
    </row>
    <row r="1908" spans="14:16">
      <c r="N1908" s="659"/>
      <c r="O1908" s="659"/>
      <c r="P1908" s="659"/>
    </row>
    <row r="1909" spans="14:16">
      <c r="N1909" s="659"/>
      <c r="O1909" s="659"/>
      <c r="P1909" s="659"/>
    </row>
    <row r="1910" spans="14:16">
      <c r="N1910" s="659"/>
      <c r="O1910" s="659"/>
      <c r="P1910" s="659"/>
    </row>
    <row r="1911" spans="14:16">
      <c r="N1911" s="659"/>
      <c r="O1911" s="659"/>
      <c r="P1911" s="659"/>
    </row>
    <row r="1912" spans="14:16">
      <c r="N1912" s="659"/>
      <c r="O1912" s="659"/>
      <c r="P1912" s="659"/>
    </row>
    <row r="1913" spans="14:16">
      <c r="N1913" s="659"/>
      <c r="O1913" s="659"/>
      <c r="P1913" s="659"/>
    </row>
    <row r="1914" spans="14:16">
      <c r="N1914" s="659"/>
      <c r="O1914" s="659"/>
      <c r="P1914" s="659"/>
    </row>
    <row r="1915" spans="14:16">
      <c r="N1915" s="659"/>
      <c r="O1915" s="659"/>
      <c r="P1915" s="659"/>
    </row>
    <row r="1916" spans="14:16">
      <c r="N1916" s="659"/>
      <c r="O1916" s="659"/>
      <c r="P1916" s="659"/>
    </row>
    <row r="1917" spans="14:16">
      <c r="N1917" s="659"/>
      <c r="O1917" s="659"/>
      <c r="P1917" s="659"/>
    </row>
    <row r="1918" spans="14:16">
      <c r="N1918" s="659"/>
      <c r="O1918" s="659"/>
      <c r="P1918" s="659"/>
    </row>
    <row r="1919" spans="14:16">
      <c r="N1919" s="659"/>
      <c r="O1919" s="659"/>
      <c r="P1919" s="659"/>
    </row>
    <row r="1920" spans="14:16">
      <c r="N1920" s="659"/>
      <c r="O1920" s="659"/>
      <c r="P1920" s="659"/>
    </row>
    <row r="1921" spans="14:16">
      <c r="N1921" s="659"/>
      <c r="O1921" s="659"/>
      <c r="P1921" s="659"/>
    </row>
    <row r="1922" spans="14:16">
      <c r="N1922" s="659"/>
      <c r="O1922" s="659"/>
      <c r="P1922" s="659"/>
    </row>
    <row r="1923" spans="14:16">
      <c r="N1923" s="659"/>
      <c r="O1923" s="659"/>
      <c r="P1923" s="659"/>
    </row>
    <row r="1924" spans="14:16">
      <c r="N1924" s="659"/>
      <c r="O1924" s="659"/>
      <c r="P1924" s="659"/>
    </row>
    <row r="1925" spans="14:16">
      <c r="N1925" s="659"/>
      <c r="O1925" s="659"/>
      <c r="P1925" s="659"/>
    </row>
    <row r="1926" spans="14:16">
      <c r="N1926" s="659"/>
      <c r="O1926" s="659"/>
      <c r="P1926" s="659"/>
    </row>
    <row r="1927" spans="14:16">
      <c r="N1927" s="659"/>
      <c r="O1927" s="659"/>
      <c r="P1927" s="659"/>
    </row>
    <row r="1928" spans="14:16">
      <c r="N1928" s="659"/>
      <c r="O1928" s="659"/>
      <c r="P1928" s="659"/>
    </row>
    <row r="1929" spans="14:16">
      <c r="N1929" s="659"/>
      <c r="O1929" s="659"/>
      <c r="P1929" s="659"/>
    </row>
    <row r="1930" spans="14:16">
      <c r="N1930" s="659"/>
      <c r="O1930" s="659"/>
      <c r="P1930" s="659"/>
    </row>
    <row r="1931" spans="14:16">
      <c r="N1931" s="659"/>
      <c r="O1931" s="659"/>
      <c r="P1931" s="659"/>
    </row>
    <row r="1932" spans="14:16">
      <c r="N1932" s="659"/>
      <c r="O1932" s="659"/>
      <c r="P1932" s="659"/>
    </row>
    <row r="1933" spans="14:16">
      <c r="N1933" s="659"/>
      <c r="O1933" s="659"/>
      <c r="P1933" s="659"/>
    </row>
    <row r="1934" spans="14:16">
      <c r="N1934" s="659"/>
      <c r="O1934" s="659"/>
      <c r="P1934" s="659"/>
    </row>
    <row r="1935" spans="14:16">
      <c r="N1935" s="659"/>
      <c r="O1935" s="659"/>
      <c r="P1935" s="659"/>
    </row>
    <row r="1936" spans="14:16">
      <c r="N1936" s="659"/>
      <c r="O1936" s="659"/>
      <c r="P1936" s="659"/>
    </row>
    <row r="1937" spans="14:16">
      <c r="N1937" s="659"/>
      <c r="O1937" s="659"/>
      <c r="P1937" s="659"/>
    </row>
    <row r="1938" spans="14:16">
      <c r="N1938" s="659"/>
      <c r="O1938" s="659"/>
      <c r="P1938" s="659"/>
    </row>
    <row r="1939" spans="14:16">
      <c r="N1939" s="659"/>
      <c r="O1939" s="659"/>
      <c r="P1939" s="659"/>
    </row>
    <row r="1940" spans="14:16">
      <c r="N1940" s="659"/>
      <c r="O1940" s="659"/>
      <c r="P1940" s="659"/>
    </row>
    <row r="1941" spans="14:16">
      <c r="N1941" s="659"/>
      <c r="O1941" s="659"/>
      <c r="P1941" s="659"/>
    </row>
    <row r="1942" spans="14:16">
      <c r="N1942" s="659"/>
      <c r="O1942" s="659"/>
      <c r="P1942" s="659"/>
    </row>
    <row r="1943" spans="14:16">
      <c r="N1943" s="659"/>
      <c r="O1943" s="659"/>
      <c r="P1943" s="659"/>
    </row>
    <row r="1944" spans="14:16">
      <c r="N1944" s="659"/>
      <c r="O1944" s="659"/>
      <c r="P1944" s="659"/>
    </row>
    <row r="1945" spans="14:16">
      <c r="N1945" s="659"/>
      <c r="O1945" s="659"/>
      <c r="P1945" s="659"/>
    </row>
    <row r="1946" spans="14:16">
      <c r="N1946" s="659"/>
      <c r="O1946" s="659"/>
      <c r="P1946" s="659"/>
    </row>
    <row r="1947" spans="14:16">
      <c r="N1947" s="659"/>
      <c r="O1947" s="659"/>
      <c r="P1947" s="659"/>
    </row>
    <row r="1948" spans="14:16">
      <c r="N1948" s="659"/>
      <c r="O1948" s="659"/>
      <c r="P1948" s="659"/>
    </row>
    <row r="1949" spans="14:16">
      <c r="N1949" s="659"/>
      <c r="O1949" s="659"/>
      <c r="P1949" s="659"/>
    </row>
    <row r="1950" spans="14:16">
      <c r="N1950" s="659"/>
      <c r="O1950" s="659"/>
      <c r="P1950" s="659"/>
    </row>
    <row r="1951" spans="14:16">
      <c r="N1951" s="659"/>
      <c r="O1951" s="659"/>
      <c r="P1951" s="659"/>
    </row>
    <row r="1952" spans="14:16">
      <c r="N1952" s="659"/>
      <c r="O1952" s="659"/>
      <c r="P1952" s="659"/>
    </row>
    <row r="1953" spans="14:16">
      <c r="N1953" s="659"/>
      <c r="O1953" s="659"/>
      <c r="P1953" s="659"/>
    </row>
    <row r="1954" spans="14:16">
      <c r="N1954" s="659"/>
      <c r="O1954" s="659"/>
      <c r="P1954" s="659"/>
    </row>
    <row r="1955" spans="14:16">
      <c r="N1955" s="659"/>
      <c r="O1955" s="659"/>
      <c r="P1955" s="659"/>
    </row>
    <row r="1956" spans="14:16">
      <c r="N1956" s="659"/>
      <c r="O1956" s="659"/>
      <c r="P1956" s="659"/>
    </row>
    <row r="1957" spans="14:16">
      <c r="N1957" s="659"/>
      <c r="O1957" s="659"/>
      <c r="P1957" s="659"/>
    </row>
    <row r="1958" spans="14:16">
      <c r="N1958" s="659"/>
      <c r="O1958" s="659"/>
      <c r="P1958" s="659"/>
    </row>
    <row r="1959" spans="14:16">
      <c r="N1959" s="659"/>
      <c r="O1959" s="659"/>
      <c r="P1959" s="659"/>
    </row>
    <row r="1960" spans="14:16">
      <c r="N1960" s="659"/>
      <c r="O1960" s="659"/>
      <c r="P1960" s="659"/>
    </row>
    <row r="1961" spans="14:16">
      <c r="N1961" s="659"/>
      <c r="O1961" s="659"/>
      <c r="P1961" s="659"/>
    </row>
    <row r="1962" spans="14:16">
      <c r="N1962" s="659"/>
      <c r="O1962" s="659"/>
      <c r="P1962" s="659"/>
    </row>
    <row r="1963" spans="14:16">
      <c r="N1963" s="659"/>
      <c r="O1963" s="659"/>
      <c r="P1963" s="659"/>
    </row>
    <row r="1964" spans="14:16">
      <c r="N1964" s="659"/>
      <c r="O1964" s="659"/>
      <c r="P1964" s="659"/>
    </row>
    <row r="1965" spans="14:16">
      <c r="N1965" s="659"/>
      <c r="O1965" s="659"/>
      <c r="P1965" s="659"/>
    </row>
    <row r="1966" spans="14:16">
      <c r="N1966" s="659"/>
      <c r="O1966" s="659"/>
      <c r="P1966" s="659"/>
    </row>
    <row r="1967" spans="14:16">
      <c r="N1967" s="659"/>
      <c r="O1967" s="659"/>
      <c r="P1967" s="659"/>
    </row>
    <row r="1968" spans="14:16">
      <c r="N1968" s="659"/>
      <c r="O1968" s="659"/>
      <c r="P1968" s="659"/>
    </row>
    <row r="1969" spans="14:16">
      <c r="N1969" s="659"/>
      <c r="O1969" s="659"/>
      <c r="P1969" s="659"/>
    </row>
    <row r="1970" spans="14:16">
      <c r="N1970" s="659"/>
      <c r="O1970" s="659"/>
      <c r="P1970" s="659"/>
    </row>
    <row r="1971" spans="14:16">
      <c r="N1971" s="659"/>
      <c r="O1971" s="659"/>
      <c r="P1971" s="659"/>
    </row>
    <row r="1972" spans="14:16">
      <c r="N1972" s="659"/>
      <c r="O1972" s="659"/>
      <c r="P1972" s="659"/>
    </row>
    <row r="1973" spans="14:16">
      <c r="N1973" s="659"/>
      <c r="O1973" s="659"/>
      <c r="P1973" s="659"/>
    </row>
    <row r="1974" spans="14:16">
      <c r="N1974" s="659"/>
      <c r="O1974" s="659"/>
      <c r="P1974" s="659"/>
    </row>
    <row r="1975" spans="14:16">
      <c r="N1975" s="659"/>
      <c r="O1975" s="659"/>
      <c r="P1975" s="659"/>
    </row>
    <row r="1976" spans="14:16">
      <c r="N1976" s="659"/>
      <c r="O1976" s="659"/>
      <c r="P1976" s="659"/>
    </row>
    <row r="1977" spans="14:16">
      <c r="N1977" s="659"/>
      <c r="O1977" s="659"/>
      <c r="P1977" s="659"/>
    </row>
    <row r="1978" spans="14:16">
      <c r="N1978" s="659"/>
      <c r="O1978" s="659"/>
      <c r="P1978" s="659"/>
    </row>
    <row r="1979" spans="14:16">
      <c r="N1979" s="659"/>
      <c r="O1979" s="659"/>
      <c r="P1979" s="659"/>
    </row>
    <row r="1980" spans="14:16">
      <c r="N1980" s="659"/>
      <c r="O1980" s="659"/>
      <c r="P1980" s="659"/>
    </row>
    <row r="1981" spans="14:16">
      <c r="N1981" s="659"/>
      <c r="O1981" s="659"/>
      <c r="P1981" s="659"/>
    </row>
    <row r="1982" spans="14:16">
      <c r="N1982" s="659"/>
      <c r="O1982" s="659"/>
      <c r="P1982" s="659"/>
    </row>
    <row r="1983" spans="14:16">
      <c r="N1983" s="659"/>
      <c r="O1983" s="659"/>
      <c r="P1983" s="659"/>
    </row>
    <row r="1984" spans="14:16">
      <c r="N1984" s="659"/>
      <c r="O1984" s="659"/>
      <c r="P1984" s="659"/>
    </row>
    <row r="1985" spans="14:16">
      <c r="N1985" s="659"/>
      <c r="O1985" s="659"/>
      <c r="P1985" s="659"/>
    </row>
    <row r="1986" spans="14:16">
      <c r="N1986" s="659"/>
      <c r="O1986" s="659"/>
      <c r="P1986" s="659"/>
    </row>
    <row r="1987" spans="14:16">
      <c r="N1987" s="659"/>
      <c r="O1987" s="659"/>
      <c r="P1987" s="659"/>
    </row>
    <row r="1988" spans="14:16">
      <c r="N1988" s="659"/>
      <c r="O1988" s="659"/>
      <c r="P1988" s="659"/>
    </row>
    <row r="1989" spans="14:16">
      <c r="N1989" s="659"/>
      <c r="O1989" s="659"/>
      <c r="P1989" s="659"/>
    </row>
    <row r="1990" spans="14:16">
      <c r="N1990" s="659"/>
      <c r="O1990" s="659"/>
      <c r="P1990" s="659"/>
    </row>
    <row r="1991" spans="14:16">
      <c r="N1991" s="659"/>
      <c r="O1991" s="659"/>
      <c r="P1991" s="659"/>
    </row>
    <row r="1992" spans="14:16">
      <c r="N1992" s="659"/>
      <c r="O1992" s="659"/>
      <c r="P1992" s="659"/>
    </row>
    <row r="1993" spans="14:16">
      <c r="N1993" s="659"/>
      <c r="O1993" s="659"/>
      <c r="P1993" s="659"/>
    </row>
    <row r="1994" spans="14:16">
      <c r="N1994" s="659"/>
      <c r="O1994" s="659"/>
      <c r="P1994" s="659"/>
    </row>
    <row r="1995" spans="14:16">
      <c r="N1995" s="659"/>
      <c r="O1995" s="659"/>
      <c r="P1995" s="659"/>
    </row>
    <row r="1996" spans="14:16">
      <c r="N1996" s="659"/>
      <c r="O1996" s="659"/>
      <c r="P1996" s="659"/>
    </row>
    <row r="1997" spans="14:16">
      <c r="N1997" s="659"/>
      <c r="O1997" s="659"/>
      <c r="P1997" s="659"/>
    </row>
    <row r="1998" spans="14:16">
      <c r="N1998" s="659"/>
      <c r="O1998" s="659"/>
      <c r="P1998" s="659"/>
    </row>
    <row r="1999" spans="14:16">
      <c r="N1999" s="659"/>
      <c r="O1999" s="659"/>
      <c r="P1999" s="659"/>
    </row>
    <row r="2000" spans="14:16">
      <c r="N2000" s="659"/>
      <c r="O2000" s="659"/>
      <c r="P2000" s="659"/>
    </row>
    <row r="2001" spans="14:16">
      <c r="N2001" s="659"/>
      <c r="O2001" s="659"/>
      <c r="P2001" s="659"/>
    </row>
    <row r="2002" spans="14:16">
      <c r="N2002" s="659"/>
      <c r="O2002" s="659"/>
      <c r="P2002" s="659"/>
    </row>
    <row r="2003" spans="14:16">
      <c r="N2003" s="659"/>
      <c r="O2003" s="659"/>
      <c r="P2003" s="659"/>
    </row>
    <row r="2004" spans="14:16">
      <c r="N2004" s="659"/>
      <c r="O2004" s="659"/>
      <c r="P2004" s="659"/>
    </row>
    <row r="2005" spans="14:16">
      <c r="N2005" s="659"/>
      <c r="O2005" s="659"/>
      <c r="P2005" s="659"/>
    </row>
    <row r="2006" spans="14:16">
      <c r="N2006" s="659"/>
      <c r="O2006" s="659"/>
      <c r="P2006" s="659"/>
    </row>
    <row r="2007" spans="14:16">
      <c r="N2007" s="659"/>
      <c r="O2007" s="659"/>
      <c r="P2007" s="659"/>
    </row>
    <row r="2008" spans="14:16">
      <c r="N2008" s="659"/>
      <c r="O2008" s="659"/>
      <c r="P2008" s="659"/>
    </row>
    <row r="2009" spans="14:16">
      <c r="N2009" s="659"/>
      <c r="O2009" s="659"/>
      <c r="P2009" s="659"/>
    </row>
    <row r="2010" spans="14:16">
      <c r="N2010" s="659"/>
      <c r="O2010" s="659"/>
      <c r="P2010" s="659"/>
    </row>
    <row r="2011" spans="14:16">
      <c r="N2011" s="659"/>
      <c r="O2011" s="659"/>
      <c r="P2011" s="659"/>
    </row>
    <row r="2012" spans="14:16">
      <c r="N2012" s="659"/>
      <c r="O2012" s="659"/>
      <c r="P2012" s="659"/>
    </row>
    <row r="2013" spans="14:16">
      <c r="N2013" s="659"/>
      <c r="O2013" s="659"/>
      <c r="P2013" s="659"/>
    </row>
    <row r="2014" spans="14:16">
      <c r="N2014" s="659"/>
      <c r="O2014" s="659"/>
      <c r="P2014" s="659"/>
    </row>
    <row r="2015" spans="14:16">
      <c r="N2015" s="659"/>
      <c r="O2015" s="659"/>
      <c r="P2015" s="659"/>
    </row>
    <row r="2016" spans="14:16">
      <c r="N2016" s="659"/>
      <c r="O2016" s="659"/>
      <c r="P2016" s="659"/>
    </row>
    <row r="2017" spans="14:16">
      <c r="N2017" s="659"/>
      <c r="O2017" s="659"/>
      <c r="P2017" s="659"/>
    </row>
    <row r="2018" spans="14:16">
      <c r="N2018" s="659"/>
      <c r="O2018" s="659"/>
      <c r="P2018" s="659"/>
    </row>
    <row r="2019" spans="14:16">
      <c r="N2019" s="659"/>
      <c r="O2019" s="659"/>
      <c r="P2019" s="659"/>
    </row>
    <row r="2020" spans="14:16">
      <c r="N2020" s="659"/>
      <c r="O2020" s="659"/>
      <c r="P2020" s="659"/>
    </row>
    <row r="2021" spans="14:16">
      <c r="N2021" s="659"/>
      <c r="O2021" s="659"/>
      <c r="P2021" s="659"/>
    </row>
    <row r="2022" spans="14:16">
      <c r="N2022" s="659"/>
      <c r="O2022" s="659"/>
      <c r="P2022" s="659"/>
    </row>
    <row r="2023" spans="14:16">
      <c r="N2023" s="659"/>
      <c r="O2023" s="659"/>
      <c r="P2023" s="659"/>
    </row>
    <row r="2024" spans="14:16">
      <c r="N2024" s="659"/>
      <c r="O2024" s="659"/>
      <c r="P2024" s="659"/>
    </row>
    <row r="2025" spans="14:16">
      <c r="N2025" s="659"/>
      <c r="O2025" s="659"/>
      <c r="P2025" s="659"/>
    </row>
    <row r="2026" spans="14:16">
      <c r="N2026" s="659"/>
      <c r="O2026" s="659"/>
      <c r="P2026" s="659"/>
    </row>
    <row r="2027" spans="14:16">
      <c r="N2027" s="659"/>
      <c r="O2027" s="659"/>
      <c r="P2027" s="659"/>
    </row>
    <row r="2028" spans="14:16">
      <c r="N2028" s="659"/>
      <c r="O2028" s="659"/>
      <c r="P2028" s="659"/>
    </row>
    <row r="2029" spans="14:16">
      <c r="N2029" s="659"/>
      <c r="O2029" s="659"/>
      <c r="P2029" s="659"/>
    </row>
    <row r="2030" spans="14:16">
      <c r="N2030" s="659"/>
      <c r="O2030" s="659"/>
      <c r="P2030" s="659"/>
    </row>
    <row r="2031" spans="14:16">
      <c r="N2031" s="659"/>
      <c r="O2031" s="659"/>
      <c r="P2031" s="659"/>
    </row>
    <row r="2032" spans="14:16">
      <c r="N2032" s="659"/>
      <c r="O2032" s="659"/>
      <c r="P2032" s="659"/>
    </row>
    <row r="2033" spans="14:16">
      <c r="N2033" s="659"/>
      <c r="O2033" s="659"/>
      <c r="P2033" s="659"/>
    </row>
    <row r="2034" spans="14:16">
      <c r="N2034" s="659"/>
      <c r="O2034" s="659"/>
      <c r="P2034" s="659"/>
    </row>
    <row r="2035" spans="14:16">
      <c r="N2035" s="659"/>
      <c r="O2035" s="659"/>
      <c r="P2035" s="659"/>
    </row>
    <row r="2036" spans="14:16">
      <c r="N2036" s="659"/>
      <c r="O2036" s="659"/>
      <c r="P2036" s="659"/>
    </row>
    <row r="2037" spans="14:16">
      <c r="N2037" s="659"/>
      <c r="O2037" s="659"/>
      <c r="P2037" s="659"/>
    </row>
    <row r="2038" spans="14:16">
      <c r="N2038" s="659"/>
      <c r="O2038" s="659"/>
      <c r="P2038" s="659"/>
    </row>
    <row r="2039" spans="14:16">
      <c r="N2039" s="659"/>
      <c r="O2039" s="659"/>
      <c r="P2039" s="659"/>
    </row>
    <row r="2040" spans="14:16">
      <c r="N2040" s="659"/>
      <c r="O2040" s="659"/>
      <c r="P2040" s="659"/>
    </row>
    <row r="2041" spans="14:16">
      <c r="N2041" s="659"/>
      <c r="O2041" s="659"/>
      <c r="P2041" s="659"/>
    </row>
    <row r="2042" spans="14:16">
      <c r="N2042" s="659"/>
      <c r="O2042" s="659"/>
      <c r="P2042" s="659"/>
    </row>
    <row r="2043" spans="14:16">
      <c r="N2043" s="659"/>
      <c r="O2043" s="659"/>
      <c r="P2043" s="659"/>
    </row>
    <row r="2044" spans="14:16">
      <c r="N2044" s="659"/>
      <c r="O2044" s="659"/>
      <c r="P2044" s="659"/>
    </row>
    <row r="2045" spans="14:16">
      <c r="N2045" s="659"/>
      <c r="O2045" s="659"/>
      <c r="P2045" s="659"/>
    </row>
    <row r="2046" spans="14:16">
      <c r="N2046" s="659"/>
      <c r="O2046" s="659"/>
      <c r="P2046" s="659"/>
    </row>
    <row r="2047" spans="14:16">
      <c r="N2047" s="659"/>
      <c r="O2047" s="659"/>
      <c r="P2047" s="659"/>
    </row>
    <row r="2048" spans="14:16">
      <c r="N2048" s="659"/>
      <c r="O2048" s="659"/>
      <c r="P2048" s="659"/>
    </row>
    <row r="2049" spans="14:16">
      <c r="N2049" s="659"/>
      <c r="O2049" s="659"/>
      <c r="P2049" s="659"/>
    </row>
    <row r="2050" spans="14:16">
      <c r="N2050" s="659"/>
      <c r="O2050" s="659"/>
      <c r="P2050" s="659"/>
    </row>
    <row r="2051" spans="14:16">
      <c r="N2051" s="659"/>
      <c r="O2051" s="659"/>
      <c r="P2051" s="659"/>
    </row>
    <row r="2052" spans="14:16">
      <c r="N2052" s="659"/>
      <c r="O2052" s="659"/>
      <c r="P2052" s="659"/>
    </row>
    <row r="2053" spans="14:16">
      <c r="N2053" s="659"/>
      <c r="O2053" s="659"/>
      <c r="P2053" s="659"/>
    </row>
    <row r="2054" spans="14:16">
      <c r="N2054" s="659"/>
      <c r="O2054" s="659"/>
      <c r="P2054" s="659"/>
    </row>
    <row r="2055" spans="14:16">
      <c r="N2055" s="659"/>
      <c r="O2055" s="659"/>
      <c r="P2055" s="659"/>
    </row>
    <row r="2056" spans="14:16">
      <c r="N2056" s="659"/>
      <c r="O2056" s="659"/>
      <c r="P2056" s="659"/>
    </row>
    <row r="2057" spans="14:16">
      <c r="N2057" s="659"/>
      <c r="O2057" s="659"/>
      <c r="P2057" s="659"/>
    </row>
    <row r="2058" spans="14:16">
      <c r="N2058" s="659"/>
      <c r="O2058" s="659"/>
      <c r="P2058" s="659"/>
    </row>
    <row r="2059" spans="14:16">
      <c r="N2059" s="659"/>
      <c r="O2059" s="659"/>
      <c r="P2059" s="659"/>
    </row>
    <row r="2060" spans="14:16">
      <c r="N2060" s="659"/>
      <c r="O2060" s="659"/>
      <c r="P2060" s="659"/>
    </row>
    <row r="2061" spans="14:16">
      <c r="N2061" s="659"/>
      <c r="O2061" s="659"/>
      <c r="P2061" s="659"/>
    </row>
    <row r="2062" spans="14:16">
      <c r="N2062" s="659"/>
      <c r="O2062" s="659"/>
      <c r="P2062" s="659"/>
    </row>
    <row r="2063" spans="14:16">
      <c r="N2063" s="659"/>
      <c r="O2063" s="659"/>
      <c r="P2063" s="659"/>
    </row>
    <row r="2064" spans="14:16">
      <c r="N2064" s="659"/>
      <c r="O2064" s="659"/>
      <c r="P2064" s="659"/>
    </row>
    <row r="2065" spans="14:16">
      <c r="N2065" s="659"/>
      <c r="O2065" s="659"/>
      <c r="P2065" s="659"/>
    </row>
    <row r="2066" spans="14:16">
      <c r="N2066" s="659"/>
      <c r="O2066" s="659"/>
      <c r="P2066" s="659"/>
    </row>
    <row r="2067" spans="14:16">
      <c r="N2067" s="659"/>
      <c r="O2067" s="659"/>
      <c r="P2067" s="659"/>
    </row>
    <row r="2068" spans="14:16">
      <c r="N2068" s="659"/>
      <c r="O2068" s="659"/>
      <c r="P2068" s="659"/>
    </row>
    <row r="2069" spans="14:16">
      <c r="N2069" s="659"/>
      <c r="O2069" s="659"/>
      <c r="P2069" s="659"/>
    </row>
    <row r="2070" spans="14:16">
      <c r="N2070" s="659"/>
      <c r="O2070" s="659"/>
      <c r="P2070" s="659"/>
    </row>
    <row r="2071" spans="14:16">
      <c r="N2071" s="659"/>
      <c r="O2071" s="659"/>
      <c r="P2071" s="659"/>
    </row>
    <row r="2072" spans="14:16">
      <c r="N2072" s="659"/>
      <c r="O2072" s="659"/>
      <c r="P2072" s="659"/>
    </row>
    <row r="2073" spans="14:16">
      <c r="N2073" s="659"/>
      <c r="O2073" s="659"/>
      <c r="P2073" s="659"/>
    </row>
    <row r="2074" spans="14:16">
      <c r="N2074" s="659"/>
      <c r="O2074" s="659"/>
      <c r="P2074" s="659"/>
    </row>
    <row r="2075" spans="14:16">
      <c r="N2075" s="659"/>
      <c r="O2075" s="659"/>
      <c r="P2075" s="659"/>
    </row>
    <row r="2076" spans="14:16">
      <c r="N2076" s="659"/>
      <c r="O2076" s="659"/>
      <c r="P2076" s="659"/>
    </row>
    <row r="2077" spans="14:16">
      <c r="N2077" s="659"/>
      <c r="O2077" s="659"/>
      <c r="P2077" s="659"/>
    </row>
    <row r="2078" spans="14:16">
      <c r="N2078" s="659"/>
      <c r="O2078" s="659"/>
      <c r="P2078" s="659"/>
    </row>
    <row r="2079" spans="14:16">
      <c r="N2079" s="659"/>
      <c r="O2079" s="659"/>
      <c r="P2079" s="659"/>
    </row>
    <row r="2080" spans="14:16">
      <c r="N2080" s="659"/>
      <c r="O2080" s="659"/>
      <c r="P2080" s="659"/>
    </row>
    <row r="2081" spans="14:16">
      <c r="N2081" s="659"/>
      <c r="O2081" s="659"/>
      <c r="P2081" s="659"/>
    </row>
    <row r="2082" spans="14:16">
      <c r="N2082" s="659"/>
      <c r="O2082" s="659"/>
      <c r="P2082" s="659"/>
    </row>
    <row r="2083" spans="14:16">
      <c r="N2083" s="659"/>
      <c r="O2083" s="659"/>
      <c r="P2083" s="659"/>
    </row>
    <row r="2084" spans="14:16">
      <c r="N2084" s="659"/>
      <c r="O2084" s="659"/>
      <c r="P2084" s="659"/>
    </row>
    <row r="2085" spans="14:16">
      <c r="N2085" s="659"/>
      <c r="O2085" s="659"/>
      <c r="P2085" s="659"/>
    </row>
    <row r="2086" spans="14:16">
      <c r="N2086" s="659"/>
      <c r="O2086" s="659"/>
      <c r="P2086" s="659"/>
    </row>
    <row r="2087" spans="14:16">
      <c r="N2087" s="659"/>
      <c r="O2087" s="659"/>
      <c r="P2087" s="659"/>
    </row>
    <row r="2088" spans="14:16">
      <c r="N2088" s="659"/>
      <c r="O2088" s="659"/>
      <c r="P2088" s="659"/>
    </row>
    <row r="2089" spans="14:16">
      <c r="N2089" s="659"/>
      <c r="O2089" s="659"/>
      <c r="P2089" s="659"/>
    </row>
    <row r="2090" spans="14:16">
      <c r="N2090" s="659"/>
      <c r="O2090" s="659"/>
      <c r="P2090" s="659"/>
    </row>
    <row r="2091" spans="14:16">
      <c r="N2091" s="659"/>
      <c r="O2091" s="659"/>
      <c r="P2091" s="659"/>
    </row>
    <row r="2092" spans="14:16">
      <c r="N2092" s="659"/>
      <c r="O2092" s="659"/>
      <c r="P2092" s="659"/>
    </row>
    <row r="2093" spans="14:16">
      <c r="N2093" s="659"/>
      <c r="O2093" s="659"/>
      <c r="P2093" s="659"/>
    </row>
    <row r="2094" spans="14:16">
      <c r="N2094" s="659"/>
      <c r="O2094" s="659"/>
      <c r="P2094" s="659"/>
    </row>
    <row r="2095" spans="14:16">
      <c r="N2095" s="659"/>
      <c r="O2095" s="659"/>
      <c r="P2095" s="659"/>
    </row>
    <row r="2096" spans="14:16">
      <c r="N2096" s="659"/>
      <c r="O2096" s="659"/>
      <c r="P2096" s="659"/>
    </row>
    <row r="2097" spans="14:16">
      <c r="N2097" s="659"/>
      <c r="O2097" s="659"/>
      <c r="P2097" s="659"/>
    </row>
    <row r="2098" spans="14:16">
      <c r="N2098" s="659"/>
      <c r="O2098" s="659"/>
      <c r="P2098" s="659"/>
    </row>
    <row r="2099" spans="14:16">
      <c r="N2099" s="659"/>
      <c r="O2099" s="659"/>
      <c r="P2099" s="659"/>
    </row>
    <row r="2100" spans="14:16">
      <c r="N2100" s="659"/>
      <c r="O2100" s="659"/>
      <c r="P2100" s="659"/>
    </row>
    <row r="2101" spans="14:16">
      <c r="N2101" s="659"/>
      <c r="O2101" s="659"/>
      <c r="P2101" s="659"/>
    </row>
    <row r="2102" spans="14:16">
      <c r="N2102" s="659"/>
      <c r="O2102" s="659"/>
      <c r="P2102" s="659"/>
    </row>
    <row r="2103" spans="14:16">
      <c r="N2103" s="659"/>
      <c r="O2103" s="659"/>
      <c r="P2103" s="659"/>
    </row>
    <row r="2104" spans="14:16">
      <c r="N2104" s="659"/>
      <c r="O2104" s="659"/>
      <c r="P2104" s="659"/>
    </row>
    <row r="2105" spans="14:16">
      <c r="N2105" s="659"/>
      <c r="O2105" s="659"/>
      <c r="P2105" s="659"/>
    </row>
    <row r="2106" spans="14:16">
      <c r="N2106" s="659"/>
      <c r="O2106" s="659"/>
      <c r="P2106" s="659"/>
    </row>
    <row r="2107" spans="14:16">
      <c r="N2107" s="659"/>
      <c r="O2107" s="659"/>
      <c r="P2107" s="659"/>
    </row>
    <row r="2108" spans="14:16">
      <c r="N2108" s="659"/>
      <c r="O2108" s="659"/>
      <c r="P2108" s="659"/>
    </row>
    <row r="2109" spans="14:16">
      <c r="N2109" s="659"/>
      <c r="O2109" s="659"/>
      <c r="P2109" s="659"/>
    </row>
    <row r="2110" spans="14:16">
      <c r="N2110" s="659"/>
      <c r="O2110" s="659"/>
      <c r="P2110" s="659"/>
    </row>
    <row r="2111" spans="14:16">
      <c r="N2111" s="659"/>
      <c r="O2111" s="659"/>
      <c r="P2111" s="659"/>
    </row>
    <row r="2112" spans="14:16">
      <c r="N2112" s="659"/>
      <c r="O2112" s="659"/>
      <c r="P2112" s="659"/>
    </row>
    <row r="2113" spans="14:16">
      <c r="N2113" s="659"/>
      <c r="O2113" s="659"/>
      <c r="P2113" s="659"/>
    </row>
    <row r="2114" spans="14:16">
      <c r="N2114" s="659"/>
      <c r="O2114" s="659"/>
      <c r="P2114" s="659"/>
    </row>
    <row r="2115" spans="14:16">
      <c r="N2115" s="659"/>
      <c r="O2115" s="659"/>
      <c r="P2115" s="659"/>
    </row>
    <row r="2116" spans="14:16">
      <c r="N2116" s="659"/>
      <c r="O2116" s="659"/>
      <c r="P2116" s="659"/>
    </row>
    <row r="2117" spans="14:16">
      <c r="N2117" s="659"/>
      <c r="O2117" s="659"/>
      <c r="P2117" s="659"/>
    </row>
    <row r="2118" spans="14:16">
      <c r="N2118" s="659"/>
      <c r="O2118" s="659"/>
      <c r="P2118" s="659"/>
    </row>
    <row r="2119" spans="14:16">
      <c r="N2119" s="659"/>
      <c r="O2119" s="659"/>
      <c r="P2119" s="659"/>
    </row>
    <row r="2120" spans="14:16">
      <c r="N2120" s="659"/>
      <c r="O2120" s="659"/>
      <c r="P2120" s="659"/>
    </row>
    <row r="2121" spans="14:16">
      <c r="N2121" s="659"/>
      <c r="O2121" s="659"/>
      <c r="P2121" s="659"/>
    </row>
    <row r="2122" spans="14:16">
      <c r="N2122" s="659"/>
      <c r="O2122" s="659"/>
      <c r="P2122" s="659"/>
    </row>
    <row r="2123" spans="14:16">
      <c r="N2123" s="659"/>
      <c r="O2123" s="659"/>
      <c r="P2123" s="659"/>
    </row>
    <row r="2124" spans="14:16">
      <c r="N2124" s="659"/>
      <c r="O2124" s="659"/>
      <c r="P2124" s="659"/>
    </row>
    <row r="2125" spans="14:16">
      <c r="N2125" s="659"/>
      <c r="O2125" s="659"/>
      <c r="P2125" s="659"/>
    </row>
    <row r="2126" spans="14:16">
      <c r="N2126" s="659"/>
      <c r="O2126" s="659"/>
      <c r="P2126" s="659"/>
    </row>
    <row r="2127" spans="14:16">
      <c r="N2127" s="659"/>
      <c r="O2127" s="659"/>
      <c r="P2127" s="659"/>
    </row>
    <row r="2128" spans="14:16">
      <c r="N2128" s="659"/>
      <c r="O2128" s="659"/>
      <c r="P2128" s="659"/>
    </row>
    <row r="2129" spans="14:16">
      <c r="N2129" s="659"/>
      <c r="O2129" s="659"/>
      <c r="P2129" s="659"/>
    </row>
    <row r="2130" spans="14:16">
      <c r="N2130" s="659"/>
      <c r="O2130" s="659"/>
      <c r="P2130" s="659"/>
    </row>
    <row r="2131" spans="14:16">
      <c r="N2131" s="659"/>
      <c r="O2131" s="659"/>
      <c r="P2131" s="659"/>
    </row>
    <row r="2132" spans="14:16">
      <c r="N2132" s="659"/>
      <c r="O2132" s="659"/>
      <c r="P2132" s="659"/>
    </row>
    <row r="2133" spans="14:16">
      <c r="N2133" s="659"/>
      <c r="O2133" s="659"/>
      <c r="P2133" s="659"/>
    </row>
    <row r="2134" spans="14:16">
      <c r="N2134" s="659"/>
      <c r="O2134" s="659"/>
      <c r="P2134" s="659"/>
    </row>
    <row r="2135" spans="14:16">
      <c r="N2135" s="659"/>
      <c r="O2135" s="659"/>
      <c r="P2135" s="659"/>
    </row>
    <row r="2136" spans="14:16">
      <c r="N2136" s="659"/>
      <c r="O2136" s="659"/>
      <c r="P2136" s="659"/>
    </row>
    <row r="2137" spans="14:16">
      <c r="N2137" s="659"/>
      <c r="O2137" s="659"/>
      <c r="P2137" s="659"/>
    </row>
    <row r="2138" spans="14:16">
      <c r="N2138" s="659"/>
      <c r="O2138" s="659"/>
      <c r="P2138" s="659"/>
    </row>
    <row r="2139" spans="14:16">
      <c r="N2139" s="659"/>
      <c r="O2139" s="659"/>
      <c r="P2139" s="659"/>
    </row>
    <row r="2140" spans="14:16">
      <c r="N2140" s="659"/>
      <c r="O2140" s="659"/>
      <c r="P2140" s="659"/>
    </row>
    <row r="2141" spans="14:16">
      <c r="N2141" s="659"/>
      <c r="O2141" s="659"/>
      <c r="P2141" s="659"/>
    </row>
    <row r="2142" spans="14:16">
      <c r="N2142" s="659"/>
      <c r="O2142" s="659"/>
      <c r="P2142" s="659"/>
    </row>
    <row r="2143" spans="14:16">
      <c r="N2143" s="659"/>
      <c r="O2143" s="659"/>
      <c r="P2143" s="659"/>
    </row>
    <row r="2144" spans="14:16">
      <c r="N2144" s="659"/>
      <c r="O2144" s="659"/>
      <c r="P2144" s="659"/>
    </row>
    <row r="2145" spans="14:16">
      <c r="N2145" s="659"/>
      <c r="O2145" s="659"/>
      <c r="P2145" s="659"/>
    </row>
    <row r="2146" spans="14:16">
      <c r="N2146" s="659"/>
      <c r="O2146" s="659"/>
      <c r="P2146" s="659"/>
    </row>
    <row r="2147" spans="14:16">
      <c r="N2147" s="659"/>
      <c r="O2147" s="659"/>
      <c r="P2147" s="659"/>
    </row>
    <row r="2148" spans="14:16">
      <c r="N2148" s="659"/>
      <c r="O2148" s="659"/>
      <c r="P2148" s="659"/>
    </row>
    <row r="2149" spans="14:16">
      <c r="N2149" s="659"/>
      <c r="O2149" s="659"/>
      <c r="P2149" s="659"/>
    </row>
    <row r="2150" spans="14:16">
      <c r="N2150" s="659"/>
      <c r="O2150" s="659"/>
      <c r="P2150" s="659"/>
    </row>
    <row r="2151" spans="14:16">
      <c r="N2151" s="659"/>
      <c r="O2151" s="659"/>
      <c r="P2151" s="659"/>
    </row>
    <row r="2152" spans="14:16">
      <c r="N2152" s="659"/>
      <c r="O2152" s="659"/>
      <c r="P2152" s="659"/>
    </row>
    <row r="2153" spans="14:16">
      <c r="N2153" s="659"/>
      <c r="O2153" s="659"/>
      <c r="P2153" s="659"/>
    </row>
    <row r="2154" spans="14:16">
      <c r="N2154" s="659"/>
      <c r="O2154" s="659"/>
      <c r="P2154" s="659"/>
    </row>
    <row r="2155" spans="14:16">
      <c r="N2155" s="659"/>
      <c r="O2155" s="659"/>
      <c r="P2155" s="659"/>
    </row>
    <row r="2156" spans="14:16">
      <c r="N2156" s="659"/>
      <c r="O2156" s="659"/>
      <c r="P2156" s="659"/>
    </row>
    <row r="2157" spans="14:16">
      <c r="N2157" s="659"/>
      <c r="O2157" s="659"/>
      <c r="P2157" s="659"/>
    </row>
    <row r="2158" spans="14:16">
      <c r="N2158" s="659"/>
      <c r="O2158" s="659"/>
      <c r="P2158" s="659"/>
    </row>
    <row r="2159" spans="14:16">
      <c r="N2159" s="659"/>
      <c r="O2159" s="659"/>
      <c r="P2159" s="659"/>
    </row>
    <row r="2160" spans="14:16">
      <c r="N2160" s="659"/>
      <c r="O2160" s="659"/>
      <c r="P2160" s="659"/>
    </row>
    <row r="2161" spans="14:16">
      <c r="N2161" s="659"/>
      <c r="O2161" s="659"/>
      <c r="P2161" s="659"/>
    </row>
    <row r="2162" spans="14:16">
      <c r="N2162" s="659"/>
      <c r="O2162" s="659"/>
      <c r="P2162" s="659"/>
    </row>
    <row r="2163" spans="14:16">
      <c r="N2163" s="659"/>
      <c r="O2163" s="659"/>
      <c r="P2163" s="659"/>
    </row>
    <row r="2164" spans="14:16">
      <c r="N2164" s="659"/>
      <c r="O2164" s="659"/>
      <c r="P2164" s="659"/>
    </row>
    <row r="2165" spans="14:16">
      <c r="N2165" s="659"/>
      <c r="O2165" s="659"/>
      <c r="P2165" s="659"/>
    </row>
    <row r="2166" spans="14:16">
      <c r="N2166" s="659"/>
      <c r="O2166" s="659"/>
      <c r="P2166" s="659"/>
    </row>
    <row r="2167" spans="14:16">
      <c r="N2167" s="659"/>
      <c r="O2167" s="659"/>
      <c r="P2167" s="659"/>
    </row>
    <row r="2168" spans="14:16">
      <c r="N2168" s="659"/>
      <c r="O2168" s="659"/>
      <c r="P2168" s="659"/>
    </row>
    <row r="2169" spans="14:16">
      <c r="N2169" s="659"/>
      <c r="O2169" s="659"/>
      <c r="P2169" s="659"/>
    </row>
    <row r="2170" spans="14:16">
      <c r="N2170" s="659"/>
      <c r="O2170" s="659"/>
      <c r="P2170" s="659"/>
    </row>
    <row r="2171" spans="14:16">
      <c r="N2171" s="659"/>
      <c r="O2171" s="659"/>
      <c r="P2171" s="659"/>
    </row>
    <row r="2172" spans="14:16">
      <c r="N2172" s="659"/>
      <c r="O2172" s="659"/>
      <c r="P2172" s="659"/>
    </row>
    <row r="2173" spans="14:16">
      <c r="N2173" s="659"/>
      <c r="O2173" s="659"/>
      <c r="P2173" s="659"/>
    </row>
    <row r="2174" spans="14:16">
      <c r="N2174" s="659"/>
      <c r="O2174" s="659"/>
      <c r="P2174" s="659"/>
    </row>
    <row r="2175" spans="14:16">
      <c r="N2175" s="659"/>
      <c r="O2175" s="659"/>
      <c r="P2175" s="659"/>
    </row>
    <row r="2176" spans="14:16">
      <c r="N2176" s="659"/>
      <c r="O2176" s="659"/>
      <c r="P2176" s="659"/>
    </row>
    <row r="2177" spans="14:16">
      <c r="N2177" s="659"/>
      <c r="O2177" s="659"/>
      <c r="P2177" s="659"/>
    </row>
    <row r="2178" spans="14:16">
      <c r="N2178" s="659"/>
      <c r="O2178" s="659"/>
      <c r="P2178" s="659"/>
    </row>
    <row r="2179" spans="14:16">
      <c r="N2179" s="659"/>
      <c r="O2179" s="659"/>
      <c r="P2179" s="659"/>
    </row>
    <row r="2180" spans="14:16">
      <c r="N2180" s="659"/>
      <c r="O2180" s="659"/>
      <c r="P2180" s="659"/>
    </row>
    <row r="2181" spans="14:16">
      <c r="N2181" s="659"/>
      <c r="O2181" s="659"/>
      <c r="P2181" s="659"/>
    </row>
    <row r="2182" spans="14:16">
      <c r="N2182" s="659"/>
      <c r="O2182" s="659"/>
      <c r="P2182" s="659"/>
    </row>
    <row r="2183" spans="14:16">
      <c r="N2183" s="659"/>
      <c r="O2183" s="659"/>
      <c r="P2183" s="659"/>
    </row>
    <row r="2184" spans="14:16">
      <c r="N2184" s="659"/>
      <c r="O2184" s="659"/>
      <c r="P2184" s="659"/>
    </row>
    <row r="2185" spans="14:16">
      <c r="N2185" s="659"/>
      <c r="O2185" s="659"/>
      <c r="P2185" s="659"/>
    </row>
    <row r="2186" spans="14:16">
      <c r="N2186" s="659"/>
      <c r="O2186" s="659"/>
      <c r="P2186" s="659"/>
    </row>
    <row r="2187" spans="14:16">
      <c r="N2187" s="659"/>
      <c r="O2187" s="659"/>
      <c r="P2187" s="659"/>
    </row>
    <row r="2188" spans="14:16">
      <c r="N2188" s="659"/>
      <c r="O2188" s="659"/>
      <c r="P2188" s="659"/>
    </row>
    <row r="2189" spans="14:16">
      <c r="N2189" s="659"/>
      <c r="O2189" s="659"/>
      <c r="P2189" s="659"/>
    </row>
    <row r="2190" spans="14:16">
      <c r="N2190" s="659"/>
      <c r="O2190" s="659"/>
      <c r="P2190" s="659"/>
    </row>
    <row r="2191" spans="14:16">
      <c r="N2191" s="659"/>
      <c r="O2191" s="659"/>
      <c r="P2191" s="659"/>
    </row>
    <row r="2192" spans="14:16">
      <c r="N2192" s="659"/>
      <c r="O2192" s="659"/>
      <c r="P2192" s="659"/>
    </row>
    <row r="2193" spans="14:16">
      <c r="N2193" s="659"/>
      <c r="O2193" s="659"/>
      <c r="P2193" s="659"/>
    </row>
    <row r="2194" spans="14:16">
      <c r="N2194" s="659"/>
      <c r="O2194" s="659"/>
      <c r="P2194" s="659"/>
    </row>
    <row r="2195" spans="14:16">
      <c r="N2195" s="659"/>
      <c r="O2195" s="659"/>
      <c r="P2195" s="659"/>
    </row>
    <row r="2196" spans="14:16">
      <c r="N2196" s="659"/>
      <c r="O2196" s="659"/>
      <c r="P2196" s="659"/>
    </row>
    <row r="2197" spans="14:16">
      <c r="N2197" s="659"/>
      <c r="O2197" s="659"/>
      <c r="P2197" s="659"/>
    </row>
    <row r="2198" spans="14:16">
      <c r="N2198" s="659"/>
      <c r="O2198" s="659"/>
      <c r="P2198" s="659"/>
    </row>
    <row r="2199" spans="14:16">
      <c r="N2199" s="659"/>
      <c r="O2199" s="659"/>
      <c r="P2199" s="659"/>
    </row>
    <row r="2200" spans="14:16">
      <c r="N2200" s="659"/>
      <c r="O2200" s="659"/>
      <c r="P2200" s="659"/>
    </row>
    <row r="2201" spans="14:16">
      <c r="N2201" s="659"/>
      <c r="O2201" s="659"/>
      <c r="P2201" s="659"/>
    </row>
    <row r="2202" spans="14:16">
      <c r="N2202" s="659"/>
      <c r="O2202" s="659"/>
      <c r="P2202" s="659"/>
    </row>
    <row r="2203" spans="14:16">
      <c r="N2203" s="659"/>
      <c r="O2203" s="659"/>
      <c r="P2203" s="659"/>
    </row>
    <row r="2204" spans="14:16">
      <c r="N2204" s="659"/>
      <c r="O2204" s="659"/>
      <c r="P2204" s="659"/>
    </row>
    <row r="2205" spans="14:16">
      <c r="N2205" s="659"/>
      <c r="O2205" s="659"/>
      <c r="P2205" s="659"/>
    </row>
    <row r="2206" spans="14:16">
      <c r="N2206" s="659"/>
      <c r="O2206" s="659"/>
      <c r="P2206" s="659"/>
    </row>
    <row r="2207" spans="14:16">
      <c r="N2207" s="659"/>
      <c r="O2207" s="659"/>
      <c r="P2207" s="659"/>
    </row>
    <row r="2208" spans="14:16">
      <c r="N2208" s="659"/>
      <c r="O2208" s="659"/>
      <c r="P2208" s="659"/>
    </row>
    <row r="2209" spans="14:16">
      <c r="N2209" s="659"/>
      <c r="O2209" s="659"/>
      <c r="P2209" s="659"/>
    </row>
    <row r="2210" spans="14:16">
      <c r="N2210" s="659"/>
      <c r="O2210" s="659"/>
      <c r="P2210" s="659"/>
    </row>
    <row r="2211" spans="14:16">
      <c r="N2211" s="659"/>
      <c r="O2211" s="659"/>
      <c r="P2211" s="659"/>
    </row>
    <row r="2212" spans="14:16">
      <c r="N2212" s="659"/>
      <c r="O2212" s="659"/>
      <c r="P2212" s="659"/>
    </row>
    <row r="2213" spans="14:16">
      <c r="N2213" s="659"/>
      <c r="O2213" s="659"/>
      <c r="P2213" s="659"/>
    </row>
    <row r="2214" spans="14:16">
      <c r="N2214" s="659"/>
      <c r="O2214" s="659"/>
      <c r="P2214" s="659"/>
    </row>
    <row r="2215" spans="14:16">
      <c r="N2215" s="659"/>
      <c r="O2215" s="659"/>
      <c r="P2215" s="659"/>
    </row>
    <row r="2216" spans="14:16">
      <c r="N2216" s="659"/>
      <c r="O2216" s="659"/>
      <c r="P2216" s="659"/>
    </row>
    <row r="2217" spans="14:16">
      <c r="N2217" s="659"/>
      <c r="O2217" s="659"/>
      <c r="P2217" s="659"/>
    </row>
    <row r="2218" spans="14:16">
      <c r="N2218" s="659"/>
      <c r="O2218" s="659"/>
      <c r="P2218" s="659"/>
    </row>
    <row r="2219" spans="14:16">
      <c r="N2219" s="659"/>
      <c r="O2219" s="659"/>
      <c r="P2219" s="659"/>
    </row>
    <row r="2220" spans="14:16">
      <c r="N2220" s="659"/>
      <c r="O2220" s="659"/>
      <c r="P2220" s="659"/>
    </row>
    <row r="2221" spans="14:16">
      <c r="N2221" s="659"/>
      <c r="O2221" s="659"/>
      <c r="P2221" s="659"/>
    </row>
    <row r="2222" spans="14:16">
      <c r="N2222" s="659"/>
      <c r="O2222" s="659"/>
      <c r="P2222" s="659"/>
    </row>
    <row r="2223" spans="14:16">
      <c r="N2223" s="659"/>
      <c r="O2223" s="659"/>
      <c r="P2223" s="659"/>
    </row>
    <row r="2224" spans="14:16">
      <c r="N2224" s="659"/>
      <c r="O2224" s="659"/>
      <c r="P2224" s="659"/>
    </row>
    <row r="2225" spans="14:16">
      <c r="N2225" s="659"/>
      <c r="O2225" s="659"/>
      <c r="P2225" s="659"/>
    </row>
    <row r="2226" spans="14:16">
      <c r="N2226" s="659"/>
      <c r="O2226" s="659"/>
      <c r="P2226" s="659"/>
    </row>
    <row r="2227" spans="14:16">
      <c r="N2227" s="659"/>
      <c r="O2227" s="659"/>
      <c r="P2227" s="659"/>
    </row>
    <row r="2228" spans="14:16">
      <c r="N2228" s="659"/>
      <c r="O2228" s="659"/>
      <c r="P2228" s="659"/>
    </row>
    <row r="2229" spans="14:16">
      <c r="N2229" s="659"/>
      <c r="O2229" s="659"/>
      <c r="P2229" s="659"/>
    </row>
    <row r="2230" spans="14:16">
      <c r="N2230" s="659"/>
      <c r="O2230" s="659"/>
      <c r="P2230" s="659"/>
    </row>
    <row r="2231" spans="14:16">
      <c r="N2231" s="659"/>
      <c r="O2231" s="659"/>
      <c r="P2231" s="659"/>
    </row>
    <row r="2232" spans="14:16">
      <c r="N2232" s="659"/>
      <c r="O2232" s="659"/>
      <c r="P2232" s="659"/>
    </row>
    <row r="2233" spans="14:16">
      <c r="N2233" s="659"/>
      <c r="O2233" s="659"/>
      <c r="P2233" s="659"/>
    </row>
    <row r="2234" spans="14:16">
      <c r="N2234" s="659"/>
      <c r="O2234" s="659"/>
      <c r="P2234" s="659"/>
    </row>
    <row r="2235" spans="14:16">
      <c r="N2235" s="659"/>
      <c r="O2235" s="659"/>
      <c r="P2235" s="659"/>
    </row>
  </sheetData>
  <autoFilter ref="B1:B48"/>
  <phoneticPr fontId="0" type="noConversion"/>
  <printOptions gridLines="1"/>
  <pageMargins left="0.52" right="0.26" top="0.81" bottom="0.5" header="0.31" footer="0.2"/>
  <pageSetup scale="65" orientation="portrait" r:id="rId1"/>
  <headerFooter alignWithMargins="0">
    <oddHeader xml:space="preserve">&amp;C&amp;"Algerian,Bold"&amp;28Hay'adda Miino Saarka </oddHeader>
    <oddFooter>&amp;R&amp;"Times New Roman,Bold"&amp;14 40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CE40"/>
  <sheetViews>
    <sheetView view="pageBreakPreview" zoomScale="60" zoomScaleNormal="60" workbookViewId="0">
      <selection activeCell="B10" sqref="B10"/>
    </sheetView>
  </sheetViews>
  <sheetFormatPr defaultRowHeight="30" customHeight="1"/>
  <cols>
    <col min="1" max="1" width="15.1640625" style="380" customWidth="1"/>
    <col min="2" max="2" width="82.33203125" style="380" bestFit="1" customWidth="1"/>
    <col min="3" max="3" width="22.33203125" style="380" hidden="1" customWidth="1"/>
    <col min="4" max="4" width="0.1640625" style="380" hidden="1" customWidth="1"/>
    <col min="5" max="5" width="29" style="380" hidden="1" customWidth="1"/>
    <col min="6" max="6" width="0.6640625" style="380" hidden="1" customWidth="1"/>
    <col min="7" max="8" width="25.5" style="380" hidden="1" customWidth="1"/>
    <col min="9" max="10" width="24.5" style="380" bestFit="1" customWidth="1"/>
    <col min="11" max="11" width="0.1640625" style="380" customWidth="1"/>
    <col min="12" max="12" width="24.5" style="380" bestFit="1" customWidth="1"/>
    <col min="13" max="16384" width="9.33203125" style="380"/>
  </cols>
  <sheetData>
    <row r="1" spans="1:83" s="377" customFormat="1" ht="30" customHeight="1">
      <c r="A1" s="371" t="s">
        <v>44</v>
      </c>
      <c r="B1" s="372" t="s">
        <v>76</v>
      </c>
      <c r="C1" s="292"/>
      <c r="D1" s="292"/>
      <c r="E1" s="292"/>
      <c r="F1" s="292"/>
      <c r="G1" s="292"/>
      <c r="H1" s="292"/>
      <c r="I1" s="373"/>
      <c r="J1" s="335"/>
      <c r="K1" s="374"/>
      <c r="L1" s="375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76"/>
      <c r="CB1" s="376"/>
      <c r="CC1" s="376"/>
      <c r="CD1" s="376"/>
      <c r="CE1" s="376"/>
    </row>
    <row r="2" spans="1:83" ht="30" customHeight="1">
      <c r="A2" s="371" t="s">
        <v>28</v>
      </c>
      <c r="B2" s="371" t="s">
        <v>29</v>
      </c>
      <c r="C2" s="271" t="s">
        <v>62</v>
      </c>
      <c r="D2" s="271" t="s">
        <v>70</v>
      </c>
      <c r="E2" s="271" t="s">
        <v>130</v>
      </c>
      <c r="F2" s="271" t="s">
        <v>137</v>
      </c>
      <c r="G2" s="271" t="s">
        <v>166</v>
      </c>
      <c r="H2" s="271" t="s">
        <v>297</v>
      </c>
      <c r="I2" s="378" t="s">
        <v>641</v>
      </c>
      <c r="J2" s="378" t="s">
        <v>1103</v>
      </c>
      <c r="K2" s="379"/>
      <c r="L2" s="271" t="s">
        <v>63</v>
      </c>
    </row>
    <row r="3" spans="1:83" ht="30" customHeight="1">
      <c r="A3" s="292" t="s">
        <v>248</v>
      </c>
      <c r="B3" s="292" t="s">
        <v>165</v>
      </c>
      <c r="C3" s="284"/>
      <c r="D3" s="284"/>
      <c r="E3" s="284"/>
      <c r="F3" s="284"/>
      <c r="G3" s="284"/>
      <c r="H3" s="284"/>
      <c r="I3" s="335"/>
      <c r="J3" s="335"/>
      <c r="K3" s="379"/>
      <c r="L3" s="335"/>
    </row>
    <row r="4" spans="1:83" ht="30" customHeight="1">
      <c r="A4" s="292" t="s">
        <v>249</v>
      </c>
      <c r="B4" s="292" t="s">
        <v>250</v>
      </c>
      <c r="C4" s="284">
        <v>0</v>
      </c>
      <c r="D4" s="336">
        <v>15624000</v>
      </c>
      <c r="E4" s="336">
        <f>20311200+3198000</f>
        <v>23509200</v>
      </c>
      <c r="F4" s="336">
        <v>23509200</v>
      </c>
      <c r="G4" s="336"/>
      <c r="H4" s="336"/>
      <c r="I4" s="336"/>
      <c r="J4" s="336"/>
      <c r="K4" s="379"/>
      <c r="L4" s="335"/>
    </row>
    <row r="5" spans="1:83" ht="30" customHeight="1">
      <c r="A5" s="284" t="s">
        <v>247</v>
      </c>
      <c r="B5" s="284" t="s">
        <v>32</v>
      </c>
      <c r="C5" s="284">
        <v>0</v>
      </c>
      <c r="D5" s="381">
        <v>124320000</v>
      </c>
      <c r="E5" s="381">
        <v>124320000</v>
      </c>
      <c r="F5" s="381">
        <v>124320000</v>
      </c>
      <c r="G5" s="381">
        <v>23509200</v>
      </c>
      <c r="H5" s="381">
        <f>'shaq,3'!H4</f>
        <v>232252800</v>
      </c>
      <c r="I5" s="381">
        <v>185140800</v>
      </c>
      <c r="J5" s="381">
        <v>185140800</v>
      </c>
      <c r="K5" s="379"/>
      <c r="L5" s="336">
        <f>J5-I5</f>
        <v>0</v>
      </c>
    </row>
    <row r="6" spans="1:83" ht="30" customHeight="1">
      <c r="A6" s="284" t="s">
        <v>251</v>
      </c>
      <c r="B6" s="284" t="s">
        <v>1195</v>
      </c>
      <c r="C6" s="284">
        <v>0</v>
      </c>
      <c r="D6" s="336">
        <v>6000000</v>
      </c>
      <c r="E6" s="336">
        <v>6000000</v>
      </c>
      <c r="F6" s="336">
        <v>6000000</v>
      </c>
      <c r="G6" s="336">
        <v>124320000</v>
      </c>
      <c r="H6" s="336">
        <v>124320000</v>
      </c>
      <c r="I6" s="336">
        <v>130320000</v>
      </c>
      <c r="J6" s="336">
        <v>126000000</v>
      </c>
      <c r="K6" s="379"/>
      <c r="L6" s="336">
        <f t="shared" ref="L6:L40" si="0">J6-I6</f>
        <v>-4320000</v>
      </c>
    </row>
    <row r="7" spans="1:83" ht="30" customHeight="1">
      <c r="A7" s="284" t="s">
        <v>252</v>
      </c>
      <c r="B7" s="284" t="s">
        <v>1104</v>
      </c>
      <c r="C7" s="284">
        <v>0</v>
      </c>
      <c r="D7" s="362">
        <v>20800000</v>
      </c>
      <c r="E7" s="362">
        <v>15491840</v>
      </c>
      <c r="F7" s="362">
        <v>17500000</v>
      </c>
      <c r="G7" s="362">
        <v>6000000</v>
      </c>
      <c r="H7" s="362">
        <v>6000000</v>
      </c>
      <c r="I7" s="362">
        <v>66000000</v>
      </c>
      <c r="J7" s="362">
        <v>66000000</v>
      </c>
      <c r="K7" s="379"/>
      <c r="L7" s="336">
        <f t="shared" si="0"/>
        <v>0</v>
      </c>
    </row>
    <row r="8" spans="1:83" ht="30" customHeight="1">
      <c r="A8" s="292" t="s">
        <v>255</v>
      </c>
      <c r="B8" s="292" t="s">
        <v>256</v>
      </c>
      <c r="C8" s="284">
        <v>0</v>
      </c>
      <c r="D8" s="362">
        <v>0</v>
      </c>
      <c r="E8" s="362">
        <v>0</v>
      </c>
      <c r="F8" s="362">
        <v>0</v>
      </c>
      <c r="G8" s="362">
        <v>0</v>
      </c>
      <c r="H8" s="362">
        <v>0</v>
      </c>
      <c r="I8" s="362">
        <v>0</v>
      </c>
      <c r="J8" s="362">
        <v>0</v>
      </c>
      <c r="K8" s="379"/>
      <c r="L8" s="336">
        <f t="shared" si="0"/>
        <v>0</v>
      </c>
    </row>
    <row r="9" spans="1:83" ht="30" customHeight="1">
      <c r="A9" s="284" t="s">
        <v>258</v>
      </c>
      <c r="B9" s="284" t="s">
        <v>261</v>
      </c>
      <c r="C9" s="284">
        <v>0</v>
      </c>
      <c r="D9" s="362"/>
      <c r="E9" s="362"/>
      <c r="F9" s="362"/>
      <c r="G9" s="362">
        <v>0</v>
      </c>
      <c r="H9" s="362">
        <v>0</v>
      </c>
      <c r="I9" s="362">
        <v>0</v>
      </c>
      <c r="J9" s="362">
        <v>0</v>
      </c>
      <c r="K9" s="379"/>
      <c r="L9" s="336">
        <f t="shared" si="0"/>
        <v>0</v>
      </c>
    </row>
    <row r="10" spans="1:83" ht="30" customHeight="1">
      <c r="A10" s="284"/>
      <c r="B10" s="292" t="s">
        <v>119</v>
      </c>
      <c r="C10" s="284">
        <v>0</v>
      </c>
      <c r="D10" s="362">
        <v>0</v>
      </c>
      <c r="E10" s="362">
        <v>0</v>
      </c>
      <c r="F10" s="362">
        <v>0</v>
      </c>
      <c r="G10" s="382">
        <f>SUM(G5:G9)</f>
        <v>153829200</v>
      </c>
      <c r="H10" s="382">
        <f>SUM(H5:H9)</f>
        <v>362572800</v>
      </c>
      <c r="I10" s="382">
        <f>SUM(I5:I9)</f>
        <v>381460800</v>
      </c>
      <c r="J10" s="382">
        <f>SUM(J5:J9)</f>
        <v>377140800</v>
      </c>
      <c r="K10" s="379"/>
      <c r="L10" s="336">
        <f t="shared" si="0"/>
        <v>-4320000</v>
      </c>
    </row>
    <row r="11" spans="1:83" ht="30" customHeight="1">
      <c r="A11" s="292" t="s">
        <v>262</v>
      </c>
      <c r="B11" s="292" t="s">
        <v>263</v>
      </c>
      <c r="C11" s="284">
        <v>0</v>
      </c>
      <c r="D11" s="362">
        <v>0</v>
      </c>
      <c r="E11" s="362">
        <v>0</v>
      </c>
      <c r="F11" s="362">
        <v>0</v>
      </c>
      <c r="G11" s="362"/>
      <c r="H11" s="362"/>
      <c r="I11" s="362"/>
      <c r="J11" s="362"/>
      <c r="K11" s="379"/>
      <c r="L11" s="336">
        <f t="shared" si="0"/>
        <v>0</v>
      </c>
    </row>
    <row r="12" spans="1:83" ht="30" customHeight="1">
      <c r="A12" s="292" t="s">
        <v>265</v>
      </c>
      <c r="B12" s="292" t="s">
        <v>264</v>
      </c>
      <c r="C12" s="284">
        <v>0</v>
      </c>
      <c r="D12" s="362">
        <v>0</v>
      </c>
      <c r="E12" s="362">
        <v>0</v>
      </c>
      <c r="F12" s="362">
        <v>3000000</v>
      </c>
      <c r="G12" s="362"/>
      <c r="H12" s="362"/>
      <c r="I12" s="362"/>
      <c r="J12" s="362"/>
      <c r="K12" s="379"/>
      <c r="L12" s="336">
        <f t="shared" si="0"/>
        <v>0</v>
      </c>
    </row>
    <row r="13" spans="1:83" ht="30" customHeight="1">
      <c r="A13" s="284" t="s">
        <v>266</v>
      </c>
      <c r="B13" s="284" t="s">
        <v>38</v>
      </c>
      <c r="C13" s="284"/>
      <c r="D13" s="362"/>
      <c r="E13" s="362"/>
      <c r="F13" s="362"/>
      <c r="G13" s="362">
        <v>0</v>
      </c>
      <c r="H13" s="362">
        <v>0</v>
      </c>
      <c r="I13" s="362">
        <v>0</v>
      </c>
      <c r="J13" s="362">
        <v>0</v>
      </c>
      <c r="K13" s="379"/>
      <c r="L13" s="336">
        <f t="shared" si="0"/>
        <v>0</v>
      </c>
    </row>
    <row r="14" spans="1:83" ht="30" customHeight="1">
      <c r="A14" s="284" t="s">
        <v>269</v>
      </c>
      <c r="B14" s="284" t="s">
        <v>186</v>
      </c>
      <c r="C14" s="284">
        <v>0</v>
      </c>
      <c r="D14" s="362">
        <v>0</v>
      </c>
      <c r="E14" s="362">
        <v>0</v>
      </c>
      <c r="F14" s="362">
        <v>0</v>
      </c>
      <c r="G14" s="362">
        <v>30000000</v>
      </c>
      <c r="H14" s="362">
        <f>G14*70%</f>
        <v>21000000</v>
      </c>
      <c r="I14" s="362">
        <f>H14</f>
        <v>21000000</v>
      </c>
      <c r="J14" s="362">
        <f>I14</f>
        <v>21000000</v>
      </c>
      <c r="K14" s="379"/>
      <c r="L14" s="336">
        <f t="shared" si="0"/>
        <v>0</v>
      </c>
    </row>
    <row r="15" spans="1:83" ht="30" customHeight="1">
      <c r="A15" s="284" t="s">
        <v>270</v>
      </c>
      <c r="B15" s="284" t="s">
        <v>163</v>
      </c>
      <c r="C15" s="284">
        <v>0</v>
      </c>
      <c r="D15" s="362">
        <v>18000000</v>
      </c>
      <c r="E15" s="362">
        <v>9682400</v>
      </c>
      <c r="F15" s="362">
        <v>9682400</v>
      </c>
      <c r="G15" s="362">
        <v>0</v>
      </c>
      <c r="H15" s="362">
        <v>0</v>
      </c>
      <c r="I15" s="362">
        <v>0</v>
      </c>
      <c r="J15" s="362">
        <v>0</v>
      </c>
      <c r="K15" s="379"/>
      <c r="L15" s="336">
        <f t="shared" si="0"/>
        <v>0</v>
      </c>
    </row>
    <row r="16" spans="1:83" ht="30" customHeight="1">
      <c r="A16" s="284" t="s">
        <v>271</v>
      </c>
      <c r="B16" s="284" t="s">
        <v>154</v>
      </c>
      <c r="C16" s="284">
        <v>0</v>
      </c>
      <c r="D16" s="362">
        <v>0</v>
      </c>
      <c r="E16" s="362">
        <v>0</v>
      </c>
      <c r="F16" s="362">
        <v>0</v>
      </c>
      <c r="G16" s="362">
        <v>0</v>
      </c>
      <c r="H16" s="362">
        <v>0</v>
      </c>
      <c r="I16" s="362">
        <v>0</v>
      </c>
      <c r="J16" s="362">
        <v>0</v>
      </c>
      <c r="K16" s="379"/>
      <c r="L16" s="336">
        <f t="shared" si="0"/>
        <v>0</v>
      </c>
    </row>
    <row r="17" spans="1:12" ht="30" customHeight="1">
      <c r="A17" s="284" t="s">
        <v>272</v>
      </c>
      <c r="B17" s="284" t="s">
        <v>54</v>
      </c>
      <c r="C17" s="284">
        <v>0</v>
      </c>
      <c r="D17" s="362">
        <v>0</v>
      </c>
      <c r="E17" s="362">
        <v>0</v>
      </c>
      <c r="F17" s="362">
        <v>0</v>
      </c>
      <c r="G17" s="362">
        <v>9682400</v>
      </c>
      <c r="H17" s="362">
        <v>6771680</v>
      </c>
      <c r="I17" s="362">
        <f>H17*70%</f>
        <v>4740176</v>
      </c>
      <c r="J17" s="362">
        <v>4740176</v>
      </c>
      <c r="K17" s="379"/>
      <c r="L17" s="336">
        <f t="shared" si="0"/>
        <v>0</v>
      </c>
    </row>
    <row r="18" spans="1:12" ht="30" customHeight="1">
      <c r="A18" s="284" t="s">
        <v>273</v>
      </c>
      <c r="B18" s="284" t="s">
        <v>1194</v>
      </c>
      <c r="C18" s="284">
        <v>0</v>
      </c>
      <c r="D18" s="362">
        <v>0</v>
      </c>
      <c r="E18" s="362">
        <v>0</v>
      </c>
      <c r="F18" s="362">
        <v>0</v>
      </c>
      <c r="G18" s="362">
        <v>0</v>
      </c>
      <c r="H18" s="362">
        <v>0</v>
      </c>
      <c r="I18" s="362">
        <v>0</v>
      </c>
      <c r="J18" s="362">
        <v>4320000</v>
      </c>
      <c r="K18" s="379"/>
      <c r="L18" s="336">
        <f t="shared" si="0"/>
        <v>4320000</v>
      </c>
    </row>
    <row r="19" spans="1:12" ht="30" customHeight="1">
      <c r="A19" s="284" t="s">
        <v>274</v>
      </c>
      <c r="B19" s="284" t="s">
        <v>164</v>
      </c>
      <c r="C19" s="284">
        <v>0</v>
      </c>
      <c r="D19" s="362">
        <v>6000000</v>
      </c>
      <c r="E19" s="362">
        <v>4468800</v>
      </c>
      <c r="F19" s="362">
        <v>4468800</v>
      </c>
      <c r="G19" s="362">
        <v>4468800</v>
      </c>
      <c r="H19" s="362">
        <v>4468800</v>
      </c>
      <c r="I19" s="362">
        <v>4468800</v>
      </c>
      <c r="J19" s="362">
        <v>4468800</v>
      </c>
      <c r="K19" s="379"/>
      <c r="L19" s="336">
        <f t="shared" si="0"/>
        <v>0</v>
      </c>
    </row>
    <row r="20" spans="1:12" ht="30" customHeight="1">
      <c r="A20" s="284" t="s">
        <v>275</v>
      </c>
      <c r="B20" s="284" t="s">
        <v>40</v>
      </c>
      <c r="C20" s="284">
        <v>0</v>
      </c>
      <c r="D20" s="362">
        <v>37516000</v>
      </c>
      <c r="E20" s="362">
        <v>22941917</v>
      </c>
      <c r="F20" s="362">
        <v>15000000</v>
      </c>
      <c r="G20" s="362">
        <v>14000000</v>
      </c>
      <c r="H20" s="362">
        <v>9800000</v>
      </c>
      <c r="I20" s="362">
        <v>9800000</v>
      </c>
      <c r="J20" s="362">
        <v>9800000</v>
      </c>
      <c r="K20" s="379"/>
      <c r="L20" s="336">
        <f t="shared" si="0"/>
        <v>0</v>
      </c>
    </row>
    <row r="21" spans="1:12" ht="30" customHeight="1">
      <c r="A21" s="292" t="s">
        <v>340</v>
      </c>
      <c r="B21" s="284" t="s">
        <v>1120</v>
      </c>
      <c r="C21" s="284">
        <v>0</v>
      </c>
      <c r="D21" s="362">
        <v>0</v>
      </c>
      <c r="E21" s="362">
        <v>0</v>
      </c>
      <c r="F21" s="362">
        <v>0</v>
      </c>
      <c r="G21" s="362">
        <v>22941916</v>
      </c>
      <c r="H21" s="362">
        <f>22941916+180000000*70%</f>
        <v>148941916</v>
      </c>
      <c r="I21" s="362">
        <v>0</v>
      </c>
      <c r="J21" s="362">
        <v>148941916</v>
      </c>
      <c r="K21" s="379"/>
      <c r="L21" s="336">
        <f t="shared" si="0"/>
        <v>148941916</v>
      </c>
    </row>
    <row r="22" spans="1:12" ht="30" customHeight="1">
      <c r="A22" s="284"/>
      <c r="B22" s="292" t="s">
        <v>119</v>
      </c>
      <c r="C22" s="284">
        <v>0</v>
      </c>
      <c r="D22" s="362">
        <v>0</v>
      </c>
      <c r="E22" s="362">
        <v>0</v>
      </c>
      <c r="F22" s="362">
        <v>0</v>
      </c>
      <c r="G22" s="382">
        <f>SUM(G13:G21)</f>
        <v>81093116</v>
      </c>
      <c r="H22" s="382">
        <f>SUM(H13:H21)</f>
        <v>190982396</v>
      </c>
      <c r="I22" s="382">
        <f>SUM(I13:I21)</f>
        <v>40008976</v>
      </c>
      <c r="J22" s="382">
        <f>SUM(J13:J21)</f>
        <v>193270892</v>
      </c>
      <c r="K22" s="379"/>
      <c r="L22" s="361">
        <f t="shared" si="0"/>
        <v>153261916</v>
      </c>
    </row>
    <row r="23" spans="1:12" ht="30" customHeight="1">
      <c r="A23" s="292" t="s">
        <v>279</v>
      </c>
      <c r="B23" s="292" t="s">
        <v>278</v>
      </c>
      <c r="C23" s="284">
        <v>0</v>
      </c>
      <c r="D23" s="362">
        <v>0</v>
      </c>
      <c r="E23" s="362">
        <v>0</v>
      </c>
      <c r="F23" s="362">
        <v>0</v>
      </c>
      <c r="G23" s="362"/>
      <c r="H23" s="362"/>
      <c r="I23" s="362"/>
      <c r="J23" s="362"/>
      <c r="K23" s="379"/>
      <c r="L23" s="336">
        <f t="shared" si="0"/>
        <v>0</v>
      </c>
    </row>
    <row r="24" spans="1:12" ht="30" customHeight="1">
      <c r="A24" s="284" t="s">
        <v>280</v>
      </c>
      <c r="B24" s="284" t="s">
        <v>160</v>
      </c>
      <c r="C24" s="292">
        <v>0</v>
      </c>
      <c r="D24" s="382">
        <f>SUM(D14:D23)</f>
        <v>61516000</v>
      </c>
      <c r="E24" s="382">
        <f>SUM(E14:E23)</f>
        <v>37093117</v>
      </c>
      <c r="F24" s="382">
        <f>SUM(F14:F23)</f>
        <v>29151200</v>
      </c>
      <c r="G24" s="362">
        <v>0</v>
      </c>
      <c r="H24" s="362">
        <v>0</v>
      </c>
      <c r="I24" s="362">
        <v>0</v>
      </c>
      <c r="J24" s="362">
        <v>0</v>
      </c>
      <c r="K24" s="379"/>
      <c r="L24" s="336">
        <f t="shared" si="0"/>
        <v>0</v>
      </c>
    </row>
    <row r="25" spans="1:12" ht="30" customHeight="1">
      <c r="A25" s="284" t="s">
        <v>281</v>
      </c>
      <c r="B25" s="284" t="s">
        <v>161</v>
      </c>
      <c r="C25" s="292">
        <v>0</v>
      </c>
      <c r="D25" s="382" t="e">
        <f>D24+#REF!+#REF!+#REF!</f>
        <v>#REF!</v>
      </c>
      <c r="E25" s="382" t="e">
        <f>E24+#REF!+#REF!+#REF!+#REF!</f>
        <v>#REF!</v>
      </c>
      <c r="F25" s="382" t="e">
        <f>F24+#REF!+#REF!+#REF!+#REF!</f>
        <v>#REF!</v>
      </c>
      <c r="G25" s="362">
        <v>95000000</v>
      </c>
      <c r="H25" s="362">
        <f>95000000*70%</f>
        <v>66499999.999999993</v>
      </c>
      <c r="I25" s="362">
        <f>H25</f>
        <v>66499999.999999993</v>
      </c>
      <c r="J25" s="362">
        <f>I25</f>
        <v>66499999.999999993</v>
      </c>
      <c r="K25" s="379"/>
      <c r="L25" s="336">
        <f t="shared" si="0"/>
        <v>0</v>
      </c>
    </row>
    <row r="26" spans="1:12" ht="30" customHeight="1">
      <c r="A26" s="284" t="s">
        <v>282</v>
      </c>
      <c r="B26" s="284" t="s">
        <v>155</v>
      </c>
      <c r="C26" s="335"/>
      <c r="D26" s="335"/>
      <c r="E26" s="335"/>
      <c r="F26" s="335"/>
      <c r="G26" s="336">
        <v>15491840</v>
      </c>
      <c r="H26" s="336">
        <f>15491840*70%</f>
        <v>10844288</v>
      </c>
      <c r="I26" s="336">
        <f>15491840*70%</f>
        <v>10844288</v>
      </c>
      <c r="J26" s="336">
        <f>15491840*70%</f>
        <v>10844288</v>
      </c>
      <c r="K26" s="379"/>
      <c r="L26" s="336">
        <f t="shared" si="0"/>
        <v>0</v>
      </c>
    </row>
    <row r="27" spans="1:12" ht="30" customHeight="1">
      <c r="A27" s="284" t="s">
        <v>283</v>
      </c>
      <c r="B27" s="284" t="s">
        <v>156</v>
      </c>
      <c r="C27" s="335"/>
      <c r="D27" s="335"/>
      <c r="E27" s="335"/>
      <c r="F27" s="335"/>
      <c r="G27" s="284">
        <v>11074486</v>
      </c>
      <c r="H27" s="284">
        <f>11074486*70%</f>
        <v>7752140.1999999993</v>
      </c>
      <c r="I27" s="284">
        <f>11074486*70%</f>
        <v>7752140.1999999993</v>
      </c>
      <c r="J27" s="284">
        <f>11074486*70%</f>
        <v>7752140.1999999993</v>
      </c>
      <c r="K27" s="379"/>
      <c r="L27" s="336">
        <f t="shared" si="0"/>
        <v>0</v>
      </c>
    </row>
    <row r="28" spans="1:12" ht="30" customHeight="1">
      <c r="A28" s="284"/>
      <c r="B28" s="292" t="s">
        <v>119</v>
      </c>
      <c r="C28" s="335"/>
      <c r="D28" s="335"/>
      <c r="E28" s="335"/>
      <c r="F28" s="335"/>
      <c r="G28" s="382">
        <v>121566326</v>
      </c>
      <c r="H28" s="382">
        <f>SUM(H24:H27)</f>
        <v>85096428.200000003</v>
      </c>
      <c r="I28" s="382">
        <f>SUM(I24:I27)</f>
        <v>85096428.200000003</v>
      </c>
      <c r="J28" s="382">
        <f>SUM(J24:J27)</f>
        <v>85096428.200000003</v>
      </c>
      <c r="K28" s="379"/>
      <c r="L28" s="361">
        <f t="shared" si="0"/>
        <v>0</v>
      </c>
    </row>
    <row r="29" spans="1:12" ht="30" customHeight="1">
      <c r="A29" s="292" t="s">
        <v>285</v>
      </c>
      <c r="B29" s="292" t="s">
        <v>158</v>
      </c>
      <c r="C29" s="335"/>
      <c r="D29" s="335"/>
      <c r="E29" s="335"/>
      <c r="F29" s="335"/>
      <c r="G29" s="383"/>
      <c r="H29" s="383"/>
      <c r="I29" s="383"/>
      <c r="J29" s="383"/>
      <c r="K29" s="379"/>
      <c r="L29" s="336">
        <f t="shared" si="0"/>
        <v>0</v>
      </c>
    </row>
    <row r="30" spans="1:12" ht="30" customHeight="1">
      <c r="A30" s="284" t="s">
        <v>286</v>
      </c>
      <c r="B30" s="284" t="s">
        <v>55</v>
      </c>
      <c r="C30" s="335"/>
      <c r="D30" s="335"/>
      <c r="E30" s="335"/>
      <c r="F30" s="335"/>
      <c r="G30" s="360">
        <v>20000000</v>
      </c>
      <c r="H30" s="360">
        <f>20000000*70%</f>
        <v>14000000</v>
      </c>
      <c r="I30" s="360">
        <f>20000000*70%</f>
        <v>14000000</v>
      </c>
      <c r="J30" s="360">
        <f>20000000*70%</f>
        <v>14000000</v>
      </c>
      <c r="K30" s="379"/>
      <c r="L30" s="336">
        <f t="shared" si="0"/>
        <v>0</v>
      </c>
    </row>
    <row r="31" spans="1:12" ht="30" customHeight="1">
      <c r="A31" s="284" t="s">
        <v>288</v>
      </c>
      <c r="B31" s="284" t="s">
        <v>287</v>
      </c>
      <c r="C31" s="379"/>
      <c r="D31" s="379"/>
      <c r="E31" s="379"/>
      <c r="F31" s="379"/>
      <c r="G31" s="335">
        <v>0</v>
      </c>
      <c r="H31" s="335">
        <v>0</v>
      </c>
      <c r="I31" s="384">
        <v>0</v>
      </c>
      <c r="J31" s="384">
        <v>0</v>
      </c>
      <c r="K31" s="379"/>
      <c r="L31" s="336">
        <f t="shared" si="0"/>
        <v>0</v>
      </c>
    </row>
    <row r="32" spans="1:12" ht="30" customHeight="1">
      <c r="A32" s="284" t="s">
        <v>289</v>
      </c>
      <c r="B32" s="284" t="s">
        <v>290</v>
      </c>
      <c r="C32" s="379"/>
      <c r="D32" s="379"/>
      <c r="E32" s="379"/>
      <c r="F32" s="379"/>
      <c r="G32" s="335">
        <v>0</v>
      </c>
      <c r="H32" s="335">
        <v>0</v>
      </c>
      <c r="I32" s="384">
        <v>0</v>
      </c>
      <c r="J32" s="384">
        <v>0</v>
      </c>
      <c r="K32" s="379"/>
      <c r="L32" s="336">
        <f t="shared" si="0"/>
        <v>0</v>
      </c>
    </row>
    <row r="33" spans="1:12" ht="30" customHeight="1">
      <c r="A33" s="284"/>
      <c r="B33" s="292" t="s">
        <v>119</v>
      </c>
      <c r="C33" s="379"/>
      <c r="D33" s="379"/>
      <c r="E33" s="379"/>
      <c r="F33" s="379"/>
      <c r="G33" s="383">
        <v>20000000</v>
      </c>
      <c r="H33" s="383">
        <f>SUM(H30:H32)</f>
        <v>14000000</v>
      </c>
      <c r="I33" s="383">
        <f>SUM(I30:I32)</f>
        <v>14000000</v>
      </c>
      <c r="J33" s="383">
        <f>SUM(J30:J32)</f>
        <v>14000000</v>
      </c>
      <c r="K33" s="379"/>
      <c r="L33" s="361">
        <f t="shared" si="0"/>
        <v>0</v>
      </c>
    </row>
    <row r="34" spans="1:12" ht="30" customHeight="1">
      <c r="A34" s="292" t="s">
        <v>293</v>
      </c>
      <c r="B34" s="292" t="s">
        <v>292</v>
      </c>
      <c r="C34" s="379"/>
      <c r="D34" s="379"/>
      <c r="E34" s="379"/>
      <c r="F34" s="379"/>
      <c r="G34" s="335"/>
      <c r="H34" s="335"/>
      <c r="I34" s="335"/>
      <c r="J34" s="335"/>
      <c r="K34" s="379"/>
      <c r="L34" s="336">
        <f t="shared" si="0"/>
        <v>0</v>
      </c>
    </row>
    <row r="35" spans="1:12" ht="30" customHeight="1">
      <c r="A35" s="292" t="s">
        <v>294</v>
      </c>
      <c r="B35" s="292" t="s">
        <v>291</v>
      </c>
      <c r="C35" s="379"/>
      <c r="D35" s="379"/>
      <c r="E35" s="379"/>
      <c r="F35" s="379"/>
      <c r="G35" s="335"/>
      <c r="H35" s="335"/>
      <c r="I35" s="335"/>
      <c r="J35" s="335"/>
      <c r="K35" s="379"/>
      <c r="L35" s="336">
        <f t="shared" si="0"/>
        <v>0</v>
      </c>
    </row>
    <row r="36" spans="1:12" ht="30" customHeight="1">
      <c r="A36" s="292" t="s">
        <v>389</v>
      </c>
      <c r="B36" s="284" t="s">
        <v>422</v>
      </c>
      <c r="C36" s="379"/>
      <c r="D36" s="379"/>
      <c r="E36" s="379"/>
      <c r="F36" s="379"/>
      <c r="G36" s="335">
        <v>0</v>
      </c>
      <c r="H36" s="335">
        <v>0</v>
      </c>
      <c r="I36" s="384">
        <v>0</v>
      </c>
      <c r="J36" s="384">
        <v>0</v>
      </c>
      <c r="K36" s="379"/>
      <c r="L36" s="336">
        <f t="shared" si="0"/>
        <v>0</v>
      </c>
    </row>
    <row r="37" spans="1:12" ht="30" customHeight="1">
      <c r="A37" s="284" t="s">
        <v>295</v>
      </c>
      <c r="B37" s="284" t="s">
        <v>176</v>
      </c>
      <c r="C37" s="379"/>
      <c r="D37" s="379"/>
      <c r="E37" s="379"/>
      <c r="F37" s="379"/>
      <c r="G37" s="360">
        <v>3000000</v>
      </c>
      <c r="H37" s="360">
        <f>3000000*70%</f>
        <v>2100000</v>
      </c>
      <c r="I37" s="384">
        <v>0</v>
      </c>
      <c r="J37" s="384">
        <v>0</v>
      </c>
      <c r="K37" s="379"/>
      <c r="L37" s="336">
        <f t="shared" si="0"/>
        <v>0</v>
      </c>
    </row>
    <row r="38" spans="1:12" ht="30" customHeight="1">
      <c r="A38" s="284" t="s">
        <v>296</v>
      </c>
      <c r="B38" s="284" t="s">
        <v>177</v>
      </c>
      <c r="C38" s="379"/>
      <c r="D38" s="379"/>
      <c r="E38" s="379"/>
      <c r="F38" s="379"/>
      <c r="G38" s="335">
        <v>0</v>
      </c>
      <c r="H38" s="335">
        <v>0</v>
      </c>
      <c r="I38" s="384">
        <v>0</v>
      </c>
      <c r="J38" s="384">
        <v>0</v>
      </c>
      <c r="K38" s="379"/>
      <c r="L38" s="336">
        <f t="shared" si="0"/>
        <v>0</v>
      </c>
    </row>
    <row r="39" spans="1:12" ht="30" customHeight="1">
      <c r="A39" s="284"/>
      <c r="B39" s="292" t="s">
        <v>119</v>
      </c>
      <c r="C39" s="379"/>
      <c r="D39" s="379"/>
      <c r="E39" s="379"/>
      <c r="F39" s="379"/>
      <c r="G39" s="292">
        <v>3000000</v>
      </c>
      <c r="H39" s="292">
        <f>SUM(H36:H38)</f>
        <v>2100000</v>
      </c>
      <c r="I39" s="292">
        <f>SUM(I36:I38)</f>
        <v>0</v>
      </c>
      <c r="J39" s="292">
        <f>SUM(J36:J38)</f>
        <v>0</v>
      </c>
      <c r="K39" s="379"/>
      <c r="L39" s="336">
        <f t="shared" si="0"/>
        <v>0</v>
      </c>
    </row>
    <row r="40" spans="1:12" ht="30" customHeight="1">
      <c r="A40" s="284"/>
      <c r="B40" s="292" t="s">
        <v>42</v>
      </c>
      <c r="C40" s="379"/>
      <c r="D40" s="379"/>
      <c r="E40" s="379"/>
      <c r="F40" s="379"/>
      <c r="G40" s="383">
        <v>379488642</v>
      </c>
      <c r="H40" s="383">
        <f>H39+H33+H28+H22+H10</f>
        <v>654751624.20000005</v>
      </c>
      <c r="I40" s="383">
        <f>I39+I33+I28+I22+I10</f>
        <v>520566204.19999999</v>
      </c>
      <c r="J40" s="383">
        <f>J39+J33+J28+J22+J10</f>
        <v>669508120.20000005</v>
      </c>
      <c r="K40" s="379"/>
      <c r="L40" s="361">
        <f t="shared" si="0"/>
        <v>148941916.00000006</v>
      </c>
    </row>
  </sheetData>
  <phoneticPr fontId="0" type="noConversion"/>
  <pageMargins left="0.67" right="0.3" top="0.62" bottom="0.22" header="0.22" footer="0.54"/>
  <pageSetup scale="60" orientation="portrait" r:id="rId1"/>
  <headerFooter alignWithMargins="0">
    <oddHeader xml:space="preserve">&amp;C&amp;"Arial Narrow,Bold"&amp;28Commission-ka Qaranka ee la Dagaalanka HIV-Aides.
</oddHeader>
    <oddFooter>&amp;R.
.
&amp;"Times New Roman,Bold"&amp;20 2</oddFooter>
  </headerFooter>
  <ignoredErrors>
    <ignoredError sqref="E25" formula="1"/>
  </ignoredErrors>
</worksheet>
</file>

<file path=xl/worksheets/sheet50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zoomScaleNormal="70" workbookViewId="0">
      <selection sqref="A1:XFD1048576"/>
    </sheetView>
  </sheetViews>
  <sheetFormatPr defaultRowHeight="12.75"/>
  <cols>
    <col min="1" max="1" width="16.33203125" style="386" customWidth="1"/>
    <col min="2" max="2" width="78.5" style="386" customWidth="1"/>
    <col min="3" max="11" width="9.33203125" style="386" hidden="1" customWidth="1"/>
    <col min="12" max="12" width="17.6640625" style="386" hidden="1" customWidth="1"/>
    <col min="13" max="13" width="24.5" style="386" hidden="1" customWidth="1"/>
    <col min="14" max="14" width="24.5" style="386" bestFit="1" customWidth="1"/>
    <col min="15" max="16" width="24.5" style="386" customWidth="1"/>
    <col min="17" max="17" width="18.33203125" style="386" customWidth="1"/>
    <col min="18" max="16384" width="9.33203125" style="386"/>
  </cols>
  <sheetData>
    <row r="1" spans="1:17" ht="24" customHeight="1">
      <c r="A1" s="373" t="s">
        <v>44</v>
      </c>
      <c r="B1" s="443" t="s">
        <v>875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73"/>
      <c r="O1" s="373"/>
      <c r="P1" s="373"/>
      <c r="Q1" s="660"/>
    </row>
    <row r="2" spans="1:17" ht="24" customHeight="1">
      <c r="A2" s="373" t="s">
        <v>28</v>
      </c>
      <c r="B2" s="443" t="s">
        <v>1</v>
      </c>
      <c r="C2" s="378" t="s">
        <v>29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71</v>
      </c>
      <c r="I2" s="378" t="s">
        <v>128</v>
      </c>
      <c r="J2" s="378" t="s">
        <v>135</v>
      </c>
      <c r="K2" s="378" t="s">
        <v>146</v>
      </c>
      <c r="L2" s="378" t="s">
        <v>180</v>
      </c>
      <c r="M2" s="378" t="s">
        <v>297</v>
      </c>
      <c r="N2" s="378" t="s">
        <v>643</v>
      </c>
      <c r="O2" s="378" t="s">
        <v>1111</v>
      </c>
      <c r="P2" s="378" t="s">
        <v>63</v>
      </c>
      <c r="Q2" s="661"/>
    </row>
    <row r="3" spans="1:17" ht="24" customHeight="1">
      <c r="A3" s="373" t="s">
        <v>485</v>
      </c>
      <c r="B3" s="378" t="s">
        <v>486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661"/>
    </row>
    <row r="4" spans="1:17" ht="24" customHeight="1">
      <c r="A4" s="373" t="s">
        <v>476</v>
      </c>
      <c r="B4" s="373" t="s">
        <v>31</v>
      </c>
      <c r="C4" s="373"/>
      <c r="D4" s="373"/>
      <c r="E4" s="373"/>
      <c r="F4" s="373" t="s">
        <v>4</v>
      </c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660"/>
    </row>
    <row r="5" spans="1:17" ht="24" customHeight="1">
      <c r="A5" s="284" t="s">
        <v>692</v>
      </c>
      <c r="B5" s="284" t="s">
        <v>32</v>
      </c>
      <c r="C5" s="284">
        <v>180000</v>
      </c>
      <c r="D5" s="284">
        <v>21588000</v>
      </c>
      <c r="E5" s="284">
        <v>21588000</v>
      </c>
      <c r="F5" s="284">
        <v>14196000</v>
      </c>
      <c r="G5" s="284">
        <v>17388000</v>
      </c>
      <c r="H5" s="284">
        <f>G5+3912000</f>
        <v>21300000</v>
      </c>
      <c r="I5" s="284">
        <f>25802400+3198000</f>
        <v>29000400</v>
      </c>
      <c r="J5" s="284">
        <f>25802400+27000000+3000000</f>
        <v>55802400</v>
      </c>
      <c r="K5" s="284">
        <f>55802400+6000000</f>
        <v>61802400</v>
      </c>
      <c r="L5" s="284">
        <f>55802400+6000000</f>
        <v>61802400</v>
      </c>
      <c r="M5" s="284">
        <f>'shaq,3'!H44-74131200-108000000</f>
        <v>192549600</v>
      </c>
      <c r="N5" s="284">
        <v>108198800</v>
      </c>
      <c r="O5" s="284">
        <v>141211200</v>
      </c>
      <c r="P5" s="284">
        <f>O5-N5</f>
        <v>33012400</v>
      </c>
      <c r="Q5" s="662"/>
    </row>
    <row r="6" spans="1:17" ht="24" customHeight="1">
      <c r="A6" s="284" t="s">
        <v>251</v>
      </c>
      <c r="B6" s="284" t="s">
        <v>33</v>
      </c>
      <c r="C6" s="284">
        <v>3219320</v>
      </c>
      <c r="D6" s="284">
        <v>0</v>
      </c>
      <c r="E6" s="284">
        <v>0</v>
      </c>
      <c r="F6" s="284">
        <v>0</v>
      </c>
      <c r="G6" s="284">
        <f>F6</f>
        <v>0</v>
      </c>
      <c r="H6" s="284">
        <f>G6</f>
        <v>0</v>
      </c>
      <c r="I6" s="284">
        <v>0</v>
      </c>
      <c r="J6" s="284">
        <v>0</v>
      </c>
      <c r="K6" s="284">
        <v>0</v>
      </c>
      <c r="L6" s="284">
        <v>0</v>
      </c>
      <c r="M6" s="284">
        <v>0</v>
      </c>
      <c r="N6" s="284">
        <v>97200000</v>
      </c>
      <c r="O6" s="284">
        <v>97200000</v>
      </c>
      <c r="P6" s="284">
        <f t="shared" ref="P6:P45" si="0">O6-N6</f>
        <v>0</v>
      </c>
      <c r="Q6" s="662"/>
    </row>
    <row r="7" spans="1:17" ht="24" customHeight="1">
      <c r="A7" s="284" t="s">
        <v>678</v>
      </c>
      <c r="B7" s="284" t="s">
        <v>679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>
        <v>32400000</v>
      </c>
      <c r="N7" s="284">
        <v>40200000</v>
      </c>
      <c r="O7" s="284">
        <v>43200000</v>
      </c>
      <c r="P7" s="284">
        <f t="shared" si="0"/>
        <v>3000000</v>
      </c>
      <c r="Q7" s="662"/>
    </row>
    <row r="8" spans="1:17" ht="24" customHeight="1">
      <c r="A8" s="284" t="s">
        <v>676</v>
      </c>
      <c r="B8" s="284" t="s">
        <v>674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>
        <v>24000000</v>
      </c>
      <c r="N8" s="284">
        <f>M8</f>
        <v>24000000</v>
      </c>
      <c r="O8" s="284">
        <f>N8</f>
        <v>24000000</v>
      </c>
      <c r="P8" s="284">
        <f t="shared" si="0"/>
        <v>0</v>
      </c>
      <c r="Q8" s="662"/>
    </row>
    <row r="9" spans="1:17" ht="24" customHeight="1">
      <c r="A9" s="284"/>
      <c r="B9" s="292" t="s">
        <v>5</v>
      </c>
      <c r="C9" s="284"/>
      <c r="D9" s="284"/>
      <c r="E9" s="284"/>
      <c r="F9" s="284"/>
      <c r="G9" s="284"/>
      <c r="H9" s="284"/>
      <c r="I9" s="284"/>
      <c r="J9" s="284"/>
      <c r="K9" s="292">
        <f>SUM(K5:K6)</f>
        <v>61802400</v>
      </c>
      <c r="L9" s="292">
        <f>SUM(L5:L6)</f>
        <v>61802400</v>
      </c>
      <c r="M9" s="292">
        <f>M8+M7+M6+M5</f>
        <v>248949600</v>
      </c>
      <c r="N9" s="292">
        <f>N8+N7+N6+N5</f>
        <v>269598800</v>
      </c>
      <c r="O9" s="292">
        <f>SUM(O5:O8)</f>
        <v>305611200</v>
      </c>
      <c r="P9" s="292">
        <f t="shared" si="0"/>
        <v>36012400</v>
      </c>
      <c r="Q9" s="663"/>
    </row>
    <row r="10" spans="1:17" ht="24" customHeight="1">
      <c r="A10" s="292" t="s">
        <v>477</v>
      </c>
      <c r="B10" s="292" t="s">
        <v>189</v>
      </c>
      <c r="C10" s="284">
        <v>0</v>
      </c>
      <c r="D10" s="284">
        <v>0</v>
      </c>
      <c r="E10" s="284">
        <v>0</v>
      </c>
      <c r="F10" s="284">
        <v>0</v>
      </c>
      <c r="G10" s="335"/>
      <c r="H10" s="652" t="s">
        <v>129</v>
      </c>
      <c r="I10" s="652"/>
      <c r="J10" s="652"/>
      <c r="K10" s="652"/>
      <c r="L10" s="652"/>
      <c r="M10" s="652"/>
      <c r="N10" s="652"/>
      <c r="O10" s="652"/>
      <c r="P10" s="664">
        <f t="shared" si="0"/>
        <v>0</v>
      </c>
      <c r="Q10" s="662"/>
    </row>
    <row r="11" spans="1:17" ht="24" customHeight="1">
      <c r="A11" s="292" t="s">
        <v>478</v>
      </c>
      <c r="B11" s="292" t="s">
        <v>487</v>
      </c>
      <c r="C11" s="284"/>
      <c r="D11" s="284"/>
      <c r="E11" s="284"/>
      <c r="F11" s="284"/>
      <c r="G11" s="335"/>
      <c r="H11" s="652"/>
      <c r="I11" s="652"/>
      <c r="J11" s="652"/>
      <c r="K11" s="652"/>
      <c r="L11" s="652"/>
      <c r="M11" s="652"/>
      <c r="N11" s="652"/>
      <c r="O11" s="652"/>
      <c r="P11" s="664">
        <f t="shared" si="0"/>
        <v>0</v>
      </c>
      <c r="Q11" s="662"/>
    </row>
    <row r="12" spans="1:17" ht="24" customHeight="1">
      <c r="A12" s="284" t="s">
        <v>266</v>
      </c>
      <c r="B12" s="284" t="s">
        <v>188</v>
      </c>
      <c r="C12" s="284">
        <v>6300000</v>
      </c>
      <c r="D12" s="284">
        <v>9000000</v>
      </c>
      <c r="E12" s="284">
        <f>9000000+2000000</f>
        <v>11000000</v>
      </c>
      <c r="F12" s="284">
        <f>9000000+2000000</f>
        <v>11000000</v>
      </c>
      <c r="G12" s="284">
        <v>21600000</v>
      </c>
      <c r="H12" s="284">
        <v>27000000</v>
      </c>
      <c r="I12" s="284">
        <v>27000000</v>
      </c>
      <c r="J12" s="284">
        <v>59942000</v>
      </c>
      <c r="K12" s="284">
        <v>7448000</v>
      </c>
      <c r="L12" s="284">
        <v>7448000</v>
      </c>
      <c r="M12" s="284">
        <f>7448000*70%</f>
        <v>5213600</v>
      </c>
      <c r="N12" s="284">
        <f>7448000*70%</f>
        <v>5213600</v>
      </c>
      <c r="O12" s="284">
        <f>7448000*70%</f>
        <v>5213600</v>
      </c>
      <c r="P12" s="284">
        <f t="shared" si="0"/>
        <v>0</v>
      </c>
      <c r="Q12" s="662"/>
    </row>
    <row r="13" spans="1:17" ht="24" customHeight="1">
      <c r="A13" s="284" t="s">
        <v>308</v>
      </c>
      <c r="B13" s="284" t="s">
        <v>152</v>
      </c>
      <c r="C13" s="284">
        <v>5150000</v>
      </c>
      <c r="D13" s="284">
        <v>6000000</v>
      </c>
      <c r="E13" s="284">
        <v>6000000</v>
      </c>
      <c r="F13" s="284">
        <v>6000000</v>
      </c>
      <c r="G13" s="284">
        <v>6400000</v>
      </c>
      <c r="H13" s="284">
        <v>8400000</v>
      </c>
      <c r="I13" s="284">
        <v>6256320</v>
      </c>
      <c r="J13" s="284">
        <v>10000000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f t="shared" si="0"/>
        <v>0</v>
      </c>
      <c r="Q13" s="662"/>
    </row>
    <row r="14" spans="1:17" ht="24" customHeight="1">
      <c r="A14" s="284" t="s">
        <v>479</v>
      </c>
      <c r="B14" s="284" t="s">
        <v>187</v>
      </c>
      <c r="C14" s="284">
        <v>1500000</v>
      </c>
      <c r="D14" s="284">
        <v>726000</v>
      </c>
      <c r="E14" s="284">
        <v>726000</v>
      </c>
      <c r="F14" s="284">
        <v>726000</v>
      </c>
      <c r="G14" s="284">
        <v>38400000</v>
      </c>
      <c r="H14" s="284">
        <v>48000000</v>
      </c>
      <c r="I14" s="284">
        <v>5958400</v>
      </c>
      <c r="J14" s="284">
        <v>40000000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f t="shared" si="0"/>
        <v>0</v>
      </c>
      <c r="Q14" s="662"/>
    </row>
    <row r="15" spans="1:17" ht="24" customHeight="1">
      <c r="A15" s="284" t="s">
        <v>480</v>
      </c>
      <c r="B15" s="284" t="s">
        <v>186</v>
      </c>
      <c r="C15" s="284">
        <v>0</v>
      </c>
      <c r="D15" s="284">
        <v>0</v>
      </c>
      <c r="E15" s="284">
        <v>0</v>
      </c>
      <c r="F15" s="284">
        <v>0</v>
      </c>
      <c r="G15" s="284">
        <v>2400000</v>
      </c>
      <c r="H15" s="284">
        <v>3000000</v>
      </c>
      <c r="I15" s="284">
        <v>2234400</v>
      </c>
      <c r="J15" s="284">
        <v>3500000</v>
      </c>
      <c r="K15" s="284">
        <v>11172000</v>
      </c>
      <c r="L15" s="284">
        <v>30000000</v>
      </c>
      <c r="M15" s="284">
        <v>21000000</v>
      </c>
      <c r="N15" s="284">
        <v>21000000</v>
      </c>
      <c r="O15" s="284">
        <v>21000000</v>
      </c>
      <c r="P15" s="284">
        <f t="shared" si="0"/>
        <v>0</v>
      </c>
      <c r="Q15" s="662"/>
    </row>
    <row r="16" spans="1:17" ht="24" customHeight="1">
      <c r="A16" s="284" t="s">
        <v>488</v>
      </c>
      <c r="B16" s="284" t="s">
        <v>191</v>
      </c>
      <c r="C16" s="292">
        <f>SUM(C10:C15)</f>
        <v>12950000</v>
      </c>
      <c r="D16" s="292">
        <f>SUM(D10:D15)</f>
        <v>15726000</v>
      </c>
      <c r="E16" s="292">
        <f>SUM(E10:E15)</f>
        <v>17726000</v>
      </c>
      <c r="F16" s="292">
        <f>SUM(F10:F15)</f>
        <v>17726000</v>
      </c>
      <c r="G16" s="292">
        <f>SUM(G12:G15)</f>
        <v>68800000</v>
      </c>
      <c r="H16" s="292">
        <f>SUM(H12:H15)</f>
        <v>86400000</v>
      </c>
      <c r="I16" s="292">
        <f>SUM(I10:I15)</f>
        <v>41449120</v>
      </c>
      <c r="J16" s="292">
        <f>SUM(J12:J15)</f>
        <v>113442000</v>
      </c>
      <c r="K16" s="292">
        <v>0</v>
      </c>
      <c r="L16" s="292">
        <v>0</v>
      </c>
      <c r="M16" s="284">
        <f>97920000*70%</f>
        <v>68544000</v>
      </c>
      <c r="N16" s="284">
        <v>0</v>
      </c>
      <c r="O16" s="284">
        <v>0</v>
      </c>
      <c r="P16" s="284">
        <f t="shared" si="0"/>
        <v>0</v>
      </c>
      <c r="Q16" s="662"/>
    </row>
    <row r="17" spans="1:17" ht="24" customHeight="1">
      <c r="A17" s="284" t="s">
        <v>434</v>
      </c>
      <c r="B17" s="284" t="s">
        <v>547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>
        <v>0</v>
      </c>
      <c r="M17" s="284">
        <f>16800000*70%</f>
        <v>11760000</v>
      </c>
      <c r="N17" s="284">
        <v>0</v>
      </c>
      <c r="O17" s="284">
        <v>0</v>
      </c>
      <c r="P17" s="284">
        <f t="shared" si="0"/>
        <v>0</v>
      </c>
      <c r="Q17" s="662"/>
    </row>
    <row r="18" spans="1:17" ht="24" customHeight="1">
      <c r="A18" s="284" t="s">
        <v>438</v>
      </c>
      <c r="B18" s="284" t="s">
        <v>185</v>
      </c>
      <c r="C18" s="284"/>
      <c r="D18" s="284"/>
      <c r="E18" s="284"/>
      <c r="F18" s="284"/>
      <c r="G18" s="284"/>
      <c r="H18" s="284"/>
      <c r="I18" s="284"/>
      <c r="J18" s="284"/>
      <c r="K18" s="284">
        <v>22344000</v>
      </c>
      <c r="L18" s="284">
        <v>50000000</v>
      </c>
      <c r="M18" s="284">
        <f>50000000*70%</f>
        <v>35000000</v>
      </c>
      <c r="N18" s="284">
        <f>M18*70%</f>
        <v>24500000</v>
      </c>
      <c r="O18" s="284">
        <v>30000000</v>
      </c>
      <c r="P18" s="284">
        <f t="shared" si="0"/>
        <v>5500000</v>
      </c>
      <c r="Q18" s="662"/>
    </row>
    <row r="19" spans="1:17" ht="24" customHeight="1">
      <c r="A19" s="284" t="s">
        <v>489</v>
      </c>
      <c r="B19" s="284" t="s">
        <v>184</v>
      </c>
      <c r="C19" s="284">
        <v>18500000</v>
      </c>
      <c r="D19" s="284">
        <v>2500000</v>
      </c>
      <c r="E19" s="284">
        <v>500000</v>
      </c>
      <c r="F19" s="284">
        <v>0</v>
      </c>
      <c r="G19" s="284">
        <v>4000000</v>
      </c>
      <c r="H19" s="284">
        <v>5000000</v>
      </c>
      <c r="I19" s="284">
        <v>0</v>
      </c>
      <c r="J19" s="284">
        <v>0</v>
      </c>
      <c r="K19" s="284">
        <v>7448000</v>
      </c>
      <c r="L19" s="284">
        <v>7448000</v>
      </c>
      <c r="M19" s="284">
        <f>7448000*70%</f>
        <v>5213600</v>
      </c>
      <c r="N19" s="284">
        <f>7448000*70%</f>
        <v>5213600</v>
      </c>
      <c r="O19" s="284">
        <f>7448000*70%</f>
        <v>5213600</v>
      </c>
      <c r="P19" s="284">
        <f t="shared" si="0"/>
        <v>0</v>
      </c>
      <c r="Q19" s="662"/>
    </row>
    <row r="20" spans="1:17" ht="24" customHeight="1">
      <c r="A20" s="284" t="s">
        <v>490</v>
      </c>
      <c r="B20" s="284" t="s">
        <v>183</v>
      </c>
      <c r="C20" s="284">
        <v>1000000</v>
      </c>
      <c r="D20" s="284">
        <v>1500000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f>5000000*70%</f>
        <v>3500000</v>
      </c>
      <c r="N20" s="284">
        <f>5000000*70%</f>
        <v>3500000</v>
      </c>
      <c r="O20" s="284">
        <f>5000000*70%</f>
        <v>3500000</v>
      </c>
      <c r="P20" s="284">
        <f t="shared" si="0"/>
        <v>0</v>
      </c>
      <c r="Q20" s="662"/>
    </row>
    <row r="21" spans="1:17" ht="24" customHeight="1">
      <c r="A21" s="284" t="s">
        <v>330</v>
      </c>
      <c r="B21" s="284" t="s">
        <v>192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21450000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f t="shared" si="0"/>
        <v>0</v>
      </c>
      <c r="Q21" s="662"/>
    </row>
    <row r="22" spans="1:17" ht="24" customHeight="1">
      <c r="A22" s="284" t="s">
        <v>321</v>
      </c>
      <c r="B22" s="284" t="s">
        <v>193</v>
      </c>
      <c r="C22" s="284"/>
      <c r="D22" s="284"/>
      <c r="E22" s="284"/>
      <c r="F22" s="284">
        <v>0</v>
      </c>
      <c r="G22" s="284">
        <v>2400000</v>
      </c>
      <c r="H22" s="284">
        <v>3000000</v>
      </c>
      <c r="I22" s="284">
        <v>1117200</v>
      </c>
      <c r="J22" s="284">
        <v>1500000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f t="shared" si="0"/>
        <v>0</v>
      </c>
      <c r="Q22" s="662"/>
    </row>
    <row r="23" spans="1:17" ht="24" customHeight="1">
      <c r="A23" s="284" t="s">
        <v>733</v>
      </c>
      <c r="B23" s="284" t="s">
        <v>751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>
        <v>14000000</v>
      </c>
      <c r="P23" s="284">
        <f t="shared" si="0"/>
        <v>14000000</v>
      </c>
      <c r="Q23" s="662"/>
    </row>
    <row r="24" spans="1:17" ht="24" customHeight="1">
      <c r="A24" s="284"/>
      <c r="B24" s="292" t="s">
        <v>5</v>
      </c>
      <c r="C24" s="284"/>
      <c r="D24" s="284"/>
      <c r="E24" s="284"/>
      <c r="F24" s="284"/>
      <c r="G24" s="284"/>
      <c r="H24" s="284"/>
      <c r="I24" s="284"/>
      <c r="J24" s="284"/>
      <c r="K24" s="292">
        <f>SUM(K12:K22)</f>
        <v>48412000</v>
      </c>
      <c r="L24" s="292">
        <f>SUM(L12:L22)</f>
        <v>94896000</v>
      </c>
      <c r="M24" s="292">
        <f>SUM(M12:M22)</f>
        <v>150231200</v>
      </c>
      <c r="N24" s="292">
        <f>SUM(N12:N22)</f>
        <v>59427200</v>
      </c>
      <c r="O24" s="292">
        <f>SUM(O12:O23)</f>
        <v>78927200</v>
      </c>
      <c r="P24" s="292">
        <f>O24-N24</f>
        <v>19500000</v>
      </c>
      <c r="Q24" s="663"/>
    </row>
    <row r="25" spans="1:17" ht="24" customHeight="1">
      <c r="A25" s="292" t="s">
        <v>481</v>
      </c>
      <c r="B25" s="292" t="s">
        <v>614</v>
      </c>
      <c r="C25" s="284">
        <v>2500000</v>
      </c>
      <c r="D25" s="284">
        <v>1000000</v>
      </c>
      <c r="E25" s="284">
        <v>1000000</v>
      </c>
      <c r="F25" s="284">
        <v>2000000</v>
      </c>
      <c r="G25" s="284">
        <v>3200000</v>
      </c>
      <c r="H25" s="284">
        <v>6000000</v>
      </c>
      <c r="I25" s="284">
        <v>7448000</v>
      </c>
      <c r="J25" s="284">
        <v>10000000</v>
      </c>
      <c r="K25" s="284"/>
      <c r="L25" s="284"/>
      <c r="M25" s="284"/>
      <c r="N25" s="284"/>
      <c r="O25" s="284"/>
      <c r="P25" s="284">
        <f t="shared" si="0"/>
        <v>0</v>
      </c>
      <c r="Q25" s="662"/>
    </row>
    <row r="26" spans="1:17" ht="24" customHeight="1">
      <c r="A26" s="284" t="s">
        <v>482</v>
      </c>
      <c r="B26" s="284" t="s">
        <v>160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f t="shared" si="0"/>
        <v>0</v>
      </c>
      <c r="Q26" s="662"/>
    </row>
    <row r="27" spans="1:17" ht="24" customHeight="1">
      <c r="A27" s="284" t="s">
        <v>483</v>
      </c>
      <c r="B27" s="284" t="s">
        <v>161</v>
      </c>
      <c r="C27" s="284">
        <v>0</v>
      </c>
      <c r="D27" s="284">
        <v>500000</v>
      </c>
      <c r="E27" s="284">
        <v>500000</v>
      </c>
      <c r="F27" s="284">
        <v>0</v>
      </c>
      <c r="G27" s="284">
        <v>800000</v>
      </c>
      <c r="H27" s="284">
        <v>1500000</v>
      </c>
      <c r="I27" s="284">
        <v>1117200</v>
      </c>
      <c r="J27" s="284">
        <v>0</v>
      </c>
      <c r="K27" s="284">
        <v>27000000</v>
      </c>
      <c r="L27" s="284">
        <f>60000000+13730000</f>
        <v>73730000</v>
      </c>
      <c r="M27" s="284">
        <v>51611000</v>
      </c>
      <c r="N27" s="284">
        <v>61288800</v>
      </c>
      <c r="O27" s="284">
        <v>100000000</v>
      </c>
      <c r="P27" s="284">
        <f t="shared" si="0"/>
        <v>38711200</v>
      </c>
      <c r="Q27" s="662"/>
    </row>
    <row r="28" spans="1:17" ht="24" customHeight="1">
      <c r="A28" s="284" t="s">
        <v>493</v>
      </c>
      <c r="B28" s="284" t="s">
        <v>155</v>
      </c>
      <c r="C28" s="284">
        <v>0</v>
      </c>
      <c r="D28" s="284">
        <v>0</v>
      </c>
      <c r="E28" s="284">
        <v>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284">
        <v>6256320</v>
      </c>
      <c r="L28" s="284">
        <v>6256320</v>
      </c>
      <c r="M28" s="284">
        <f>6256320*70%</f>
        <v>4379424</v>
      </c>
      <c r="N28" s="284">
        <v>14379424</v>
      </c>
      <c r="O28" s="284">
        <v>14379424</v>
      </c>
      <c r="P28" s="284">
        <f t="shared" si="0"/>
        <v>0</v>
      </c>
      <c r="Q28" s="662"/>
    </row>
    <row r="29" spans="1:17" ht="24" customHeight="1">
      <c r="A29" s="284" t="s">
        <v>494</v>
      </c>
      <c r="B29" s="284" t="s">
        <v>156</v>
      </c>
      <c r="C29" s="284">
        <v>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5958400</v>
      </c>
      <c r="L29" s="284">
        <v>5958400</v>
      </c>
      <c r="M29" s="284">
        <f>78000000*70%</f>
        <v>54600000</v>
      </c>
      <c r="N29" s="284">
        <f>78000000*70%</f>
        <v>54600000</v>
      </c>
      <c r="O29" s="284">
        <v>4600000</v>
      </c>
      <c r="P29" s="284">
        <f t="shared" si="0"/>
        <v>-50000000</v>
      </c>
      <c r="Q29" s="662"/>
    </row>
    <row r="30" spans="1:17" ht="24" customHeight="1">
      <c r="A30" s="284" t="s">
        <v>492</v>
      </c>
      <c r="B30" s="284" t="s">
        <v>491</v>
      </c>
      <c r="C30" s="292">
        <f>SUM(C25:C27)</f>
        <v>2500000</v>
      </c>
      <c r="D30" s="292">
        <f>SUM(D25:D27)</f>
        <v>1500000</v>
      </c>
      <c r="E30" s="292">
        <f>SUM(E25:E27)</f>
        <v>1500000</v>
      </c>
      <c r="F30" s="292">
        <f>SUM(F25:F27)</f>
        <v>2000000</v>
      </c>
      <c r="G30" s="292">
        <f>SUM(G25:G28)</f>
        <v>4000000</v>
      </c>
      <c r="H30" s="292">
        <f>SUM(H25:H28)</f>
        <v>7500000</v>
      </c>
      <c r="I30" s="292">
        <f>SUM(I25:I28)</f>
        <v>8565200</v>
      </c>
      <c r="J30" s="292">
        <f>SUM(J25:J28)</f>
        <v>10000000</v>
      </c>
      <c r="K30" s="284">
        <v>2234400</v>
      </c>
      <c r="L30" s="284">
        <v>5718446</v>
      </c>
      <c r="M30" s="284">
        <f>5718446*70%</f>
        <v>4002912.1999999997</v>
      </c>
      <c r="N30" s="284">
        <v>0</v>
      </c>
      <c r="O30" s="284">
        <v>0</v>
      </c>
      <c r="P30" s="284">
        <f t="shared" si="0"/>
        <v>0</v>
      </c>
      <c r="Q30" s="662"/>
    </row>
    <row r="31" spans="1:17" ht="24" customHeight="1">
      <c r="A31" s="284"/>
      <c r="B31" s="292" t="s">
        <v>119</v>
      </c>
      <c r="C31" s="284">
        <v>0</v>
      </c>
      <c r="D31" s="284">
        <v>0</v>
      </c>
      <c r="E31" s="284">
        <v>0</v>
      </c>
      <c r="F31" s="284">
        <v>0</v>
      </c>
      <c r="G31" s="284">
        <v>0</v>
      </c>
      <c r="H31" s="284">
        <v>0</v>
      </c>
      <c r="I31" s="284">
        <v>0</v>
      </c>
      <c r="J31" s="284">
        <v>0</v>
      </c>
      <c r="K31" s="292">
        <f>SUM(K26:K29)</f>
        <v>39214720</v>
      </c>
      <c r="L31" s="292">
        <f>SUM(L26:L29)</f>
        <v>85944720</v>
      </c>
      <c r="M31" s="292">
        <f>SUM(M26:M29)</f>
        <v>110590424</v>
      </c>
      <c r="N31" s="292">
        <f>SUM(N26:N29)</f>
        <v>130268224</v>
      </c>
      <c r="O31" s="292">
        <f>SUM(O26:O30)</f>
        <v>118979424</v>
      </c>
      <c r="P31" s="292">
        <f t="shared" si="0"/>
        <v>-11288800</v>
      </c>
      <c r="Q31" s="663"/>
    </row>
    <row r="32" spans="1:17" ht="24" customHeight="1">
      <c r="A32" s="292" t="s">
        <v>4</v>
      </c>
      <c r="B32" s="292" t="s">
        <v>4</v>
      </c>
      <c r="C32" s="292">
        <f t="shared" ref="C32:H32" si="1">SUM(C25:C31)</f>
        <v>5000000</v>
      </c>
      <c r="D32" s="292">
        <f t="shared" si="1"/>
        <v>3000000</v>
      </c>
      <c r="E32" s="292">
        <f t="shared" si="1"/>
        <v>3000000</v>
      </c>
      <c r="F32" s="292">
        <f t="shared" si="1"/>
        <v>4000000</v>
      </c>
      <c r="G32" s="292">
        <f t="shared" si="1"/>
        <v>8000000</v>
      </c>
      <c r="H32" s="292">
        <f t="shared" si="1"/>
        <v>15000000</v>
      </c>
      <c r="I32" s="292">
        <f>SUM(I25:I31)</f>
        <v>17130400</v>
      </c>
      <c r="J32" s="292">
        <f>SUM(J25:J31)</f>
        <v>20000000</v>
      </c>
      <c r="K32" s="292"/>
      <c r="L32" s="292"/>
      <c r="M32" s="292"/>
      <c r="N32" s="292"/>
      <c r="O32" s="292"/>
      <c r="P32" s="292">
        <f t="shared" si="0"/>
        <v>0</v>
      </c>
      <c r="Q32" s="662"/>
    </row>
    <row r="33" spans="1:17" ht="24" customHeight="1">
      <c r="A33" s="292" t="s">
        <v>495</v>
      </c>
      <c r="B33" s="292" t="s">
        <v>496</v>
      </c>
      <c r="C33" s="284"/>
      <c r="D33" s="284"/>
      <c r="E33" s="284"/>
      <c r="F33" s="284">
        <v>0</v>
      </c>
      <c r="G33" s="284"/>
      <c r="H33" s="284"/>
      <c r="I33" s="284"/>
      <c r="J33" s="284"/>
      <c r="K33" s="284"/>
      <c r="L33" s="284"/>
      <c r="M33" s="284"/>
      <c r="N33" s="284"/>
      <c r="O33" s="284"/>
      <c r="P33" s="284">
        <f t="shared" si="0"/>
        <v>0</v>
      </c>
      <c r="Q33" s="662"/>
    </row>
    <row r="34" spans="1:17" ht="24" customHeight="1">
      <c r="A34" s="292" t="s">
        <v>497</v>
      </c>
      <c r="B34" s="292" t="s">
        <v>498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>
        <f t="shared" si="0"/>
        <v>0</v>
      </c>
      <c r="Q34" s="662"/>
    </row>
    <row r="35" spans="1:17" ht="24" customHeight="1">
      <c r="A35" s="284" t="s">
        <v>499</v>
      </c>
      <c r="B35" s="284" t="s">
        <v>174</v>
      </c>
      <c r="C35" s="284">
        <v>0</v>
      </c>
      <c r="D35" s="284">
        <v>0</v>
      </c>
      <c r="E35" s="284">
        <v>0</v>
      </c>
      <c r="F35" s="284">
        <v>0</v>
      </c>
      <c r="G35" s="284">
        <v>9600000</v>
      </c>
      <c r="H35" s="284">
        <v>10000000</v>
      </c>
      <c r="I35" s="284">
        <v>7448000</v>
      </c>
      <c r="J35" s="284">
        <v>10000000</v>
      </c>
      <c r="K35" s="284">
        <v>0</v>
      </c>
      <c r="L35" s="284">
        <v>0</v>
      </c>
      <c r="M35" s="284">
        <f>5000000*70%</f>
        <v>3500000</v>
      </c>
      <c r="N35" s="284">
        <v>0</v>
      </c>
      <c r="O35" s="284">
        <v>0</v>
      </c>
      <c r="P35" s="284">
        <f t="shared" si="0"/>
        <v>0</v>
      </c>
      <c r="Q35" s="662"/>
    </row>
    <row r="36" spans="1:17" ht="24" customHeight="1">
      <c r="A36" s="284" t="s">
        <v>388</v>
      </c>
      <c r="B36" s="284" t="s">
        <v>175</v>
      </c>
      <c r="C36" s="284">
        <v>0</v>
      </c>
      <c r="D36" s="284">
        <v>0</v>
      </c>
      <c r="E36" s="284">
        <v>0</v>
      </c>
      <c r="F36" s="284">
        <v>0</v>
      </c>
      <c r="G36" s="284">
        <v>0</v>
      </c>
      <c r="H36" s="284">
        <v>0</v>
      </c>
      <c r="I36" s="284">
        <v>0</v>
      </c>
      <c r="J36" s="284">
        <v>0</v>
      </c>
      <c r="K36" s="284">
        <v>0</v>
      </c>
      <c r="L36" s="284">
        <v>0</v>
      </c>
      <c r="M36" s="284">
        <v>108000000</v>
      </c>
      <c r="N36" s="284">
        <v>90000000</v>
      </c>
      <c r="O36" s="284">
        <v>138000000</v>
      </c>
      <c r="P36" s="284">
        <f t="shared" si="0"/>
        <v>48000000</v>
      </c>
      <c r="Q36" s="662"/>
    </row>
    <row r="37" spans="1:17" ht="24" customHeight="1">
      <c r="A37" s="284" t="s">
        <v>500</v>
      </c>
      <c r="B37" s="284" t="s">
        <v>176</v>
      </c>
      <c r="C37" s="284">
        <v>2500000</v>
      </c>
      <c r="D37" s="284">
        <v>2500000</v>
      </c>
      <c r="E37" s="284">
        <f>2500000+1500000</f>
        <v>4000000</v>
      </c>
      <c r="F37" s="284">
        <f>2500000+1500000</f>
        <v>4000000</v>
      </c>
      <c r="G37" s="284">
        <v>12000000</v>
      </c>
      <c r="H37" s="284">
        <v>15000000</v>
      </c>
      <c r="I37" s="284">
        <v>11172000</v>
      </c>
      <c r="J37" s="284">
        <v>25000000</v>
      </c>
      <c r="K37" s="284">
        <v>0</v>
      </c>
      <c r="L37" s="284"/>
      <c r="M37" s="284"/>
      <c r="N37" s="284"/>
      <c r="O37" s="284"/>
      <c r="P37" s="284">
        <f t="shared" si="0"/>
        <v>0</v>
      </c>
      <c r="Q37" s="662"/>
    </row>
    <row r="38" spans="1:17" ht="24" customHeight="1">
      <c r="A38" s="284" t="s">
        <v>501</v>
      </c>
      <c r="B38" s="284" t="s">
        <v>177</v>
      </c>
      <c r="C38" s="284">
        <v>6000000</v>
      </c>
      <c r="D38" s="284">
        <v>10000000</v>
      </c>
      <c r="E38" s="284">
        <v>10000000</v>
      </c>
      <c r="F38" s="284">
        <v>10000000</v>
      </c>
      <c r="G38" s="284">
        <v>0</v>
      </c>
      <c r="H38" s="284">
        <v>0</v>
      </c>
      <c r="I38" s="284">
        <v>0</v>
      </c>
      <c r="J38" s="284">
        <v>0</v>
      </c>
      <c r="K38" s="284">
        <v>1117200</v>
      </c>
      <c r="L38" s="284">
        <v>1117200</v>
      </c>
      <c r="M38" s="284">
        <v>1117200</v>
      </c>
      <c r="N38" s="284">
        <v>0</v>
      </c>
      <c r="O38" s="284">
        <v>0</v>
      </c>
      <c r="P38" s="284">
        <f t="shared" si="0"/>
        <v>0</v>
      </c>
      <c r="Q38" s="662"/>
    </row>
    <row r="39" spans="1:17" ht="24" customHeight="1">
      <c r="A39" s="284"/>
      <c r="B39" s="292" t="s">
        <v>119</v>
      </c>
      <c r="C39" s="284">
        <v>0</v>
      </c>
      <c r="D39" s="284">
        <v>1300000</v>
      </c>
      <c r="E39" s="284">
        <v>1300000</v>
      </c>
      <c r="F39" s="284">
        <v>1300000</v>
      </c>
      <c r="G39" s="284">
        <v>0</v>
      </c>
      <c r="H39" s="284">
        <v>0</v>
      </c>
      <c r="I39" s="284">
        <v>0</v>
      </c>
      <c r="J39" s="284">
        <v>0</v>
      </c>
      <c r="K39" s="292">
        <f>SUM(K35:K38)</f>
        <v>1117200</v>
      </c>
      <c r="L39" s="292">
        <f>SUM(L35:L38)</f>
        <v>1117200</v>
      </c>
      <c r="M39" s="292">
        <f>SUM(M35:M38)</f>
        <v>112617200</v>
      </c>
      <c r="N39" s="292">
        <f>SUM(N35:N38)</f>
        <v>90000000</v>
      </c>
      <c r="O39" s="292">
        <f>SUM(O35:O38)</f>
        <v>138000000</v>
      </c>
      <c r="P39" s="292">
        <f t="shared" si="0"/>
        <v>48000000</v>
      </c>
      <c r="Q39" s="663"/>
    </row>
    <row r="40" spans="1:17" ht="24" customHeight="1">
      <c r="A40" s="292" t="s">
        <v>502</v>
      </c>
      <c r="B40" s="292" t="s">
        <v>158</v>
      </c>
      <c r="C40" s="284">
        <v>0</v>
      </c>
      <c r="D40" s="284">
        <v>0</v>
      </c>
      <c r="E40" s="284">
        <v>0</v>
      </c>
      <c r="F40" s="284">
        <v>0</v>
      </c>
      <c r="G40" s="284">
        <v>48000000</v>
      </c>
      <c r="H40" s="284">
        <v>48000000</v>
      </c>
      <c r="I40" s="284">
        <v>22344000</v>
      </c>
      <c r="J40" s="284">
        <v>35000000</v>
      </c>
      <c r="K40" s="284"/>
      <c r="L40" s="284"/>
      <c r="M40" s="284"/>
      <c r="N40" s="284"/>
      <c r="O40" s="284"/>
      <c r="P40" s="284">
        <f t="shared" si="0"/>
        <v>0</v>
      </c>
      <c r="Q40" s="662"/>
    </row>
    <row r="41" spans="1:17" ht="24" customHeight="1">
      <c r="A41" s="284" t="s">
        <v>503</v>
      </c>
      <c r="B41" s="284" t="s">
        <v>178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7448000</v>
      </c>
      <c r="L41" s="284">
        <v>10932000</v>
      </c>
      <c r="M41" s="284">
        <f>13932000*70%</f>
        <v>9752400</v>
      </c>
      <c r="N41" s="284">
        <v>29752400</v>
      </c>
      <c r="O41" s="284">
        <v>29752400</v>
      </c>
      <c r="P41" s="284">
        <f t="shared" si="0"/>
        <v>0</v>
      </c>
      <c r="Q41" s="662"/>
    </row>
    <row r="42" spans="1:17" ht="24" customHeight="1">
      <c r="A42" s="284" t="s">
        <v>504</v>
      </c>
      <c r="B42" s="284" t="s">
        <v>179</v>
      </c>
      <c r="C42" s="284">
        <v>0</v>
      </c>
      <c r="D42" s="284">
        <v>0</v>
      </c>
      <c r="E42" s="284">
        <v>0</v>
      </c>
      <c r="F42" s="284">
        <v>0</v>
      </c>
      <c r="G42" s="284">
        <v>0</v>
      </c>
      <c r="H42" s="284">
        <v>0</v>
      </c>
      <c r="I42" s="284">
        <v>0</v>
      </c>
      <c r="J42" s="284">
        <v>0</v>
      </c>
      <c r="K42" s="284">
        <v>0</v>
      </c>
      <c r="L42" s="284">
        <v>0</v>
      </c>
      <c r="M42" s="284">
        <v>0</v>
      </c>
      <c r="N42" s="284">
        <v>0</v>
      </c>
      <c r="O42" s="284">
        <v>0</v>
      </c>
      <c r="P42" s="284">
        <f t="shared" si="0"/>
        <v>0</v>
      </c>
      <c r="Q42" s="662"/>
    </row>
    <row r="43" spans="1:17" ht="24" customHeight="1">
      <c r="A43" s="284" t="s">
        <v>505</v>
      </c>
      <c r="B43" s="284" t="s">
        <v>181</v>
      </c>
      <c r="C43" s="284">
        <v>0</v>
      </c>
      <c r="D43" s="284">
        <v>0</v>
      </c>
      <c r="E43" s="284">
        <v>0</v>
      </c>
      <c r="F43" s="284">
        <v>0</v>
      </c>
      <c r="G43" s="284">
        <v>0</v>
      </c>
      <c r="H43" s="284">
        <v>0</v>
      </c>
      <c r="I43" s="284">
        <v>0</v>
      </c>
      <c r="J43" s="284">
        <v>0</v>
      </c>
      <c r="K43" s="284">
        <v>1117200</v>
      </c>
      <c r="L43" s="284">
        <v>1117200</v>
      </c>
      <c r="M43" s="284">
        <v>1117200</v>
      </c>
      <c r="N43" s="284">
        <v>1117200</v>
      </c>
      <c r="O43" s="284">
        <v>1117200</v>
      </c>
      <c r="P43" s="284">
        <f t="shared" si="0"/>
        <v>0</v>
      </c>
      <c r="Q43" s="662"/>
    </row>
    <row r="44" spans="1:17" ht="24" customHeight="1">
      <c r="A44" s="284"/>
      <c r="B44" s="292" t="s">
        <v>5</v>
      </c>
      <c r="C44" s="284">
        <v>5000000</v>
      </c>
      <c r="D44" s="284">
        <v>5000000</v>
      </c>
      <c r="E44" s="284">
        <v>5000000</v>
      </c>
      <c r="F44" s="284">
        <v>5000000</v>
      </c>
      <c r="G44" s="284">
        <v>4000000</v>
      </c>
      <c r="H44" s="284">
        <v>5000000</v>
      </c>
      <c r="I44" s="284">
        <v>7448000</v>
      </c>
      <c r="J44" s="284">
        <v>30000000</v>
      </c>
      <c r="K44" s="292">
        <f>SUM(K41:K43)</f>
        <v>8565200</v>
      </c>
      <c r="L44" s="292">
        <f>SUM(L41:L43)</f>
        <v>12049200</v>
      </c>
      <c r="M44" s="292">
        <f>SUM(M41:M43)</f>
        <v>10869600</v>
      </c>
      <c r="N44" s="292">
        <f>SUM(N41:N43)</f>
        <v>30869600</v>
      </c>
      <c r="O44" s="292">
        <f>SUM(O41:O43)</f>
        <v>30869600</v>
      </c>
      <c r="P44" s="292">
        <f t="shared" si="0"/>
        <v>0</v>
      </c>
      <c r="Q44" s="663"/>
    </row>
    <row r="45" spans="1:17" ht="24" customHeight="1" thickBot="1">
      <c r="A45" s="404"/>
      <c r="B45" s="405" t="s">
        <v>42</v>
      </c>
      <c r="C45" s="404">
        <v>3600000</v>
      </c>
      <c r="D45" s="404">
        <v>1614000</v>
      </c>
      <c r="E45" s="404">
        <v>1614000</v>
      </c>
      <c r="F45" s="404">
        <v>1614000</v>
      </c>
      <c r="G45" s="404">
        <v>0</v>
      </c>
      <c r="H45" s="404">
        <v>0</v>
      </c>
      <c r="I45" s="404">
        <v>0</v>
      </c>
      <c r="J45" s="404">
        <v>0</v>
      </c>
      <c r="K45" s="405">
        <f>K44+K39+K31+K24+K9</f>
        <v>159111520</v>
      </c>
      <c r="L45" s="405">
        <f>L44+L39+L31+L24+L9</f>
        <v>255809520</v>
      </c>
      <c r="M45" s="405">
        <f>M44+M39+M31+M24+M9</f>
        <v>633258024</v>
      </c>
      <c r="N45" s="405">
        <f>N44+N39+N31+N24+N9</f>
        <v>580163824</v>
      </c>
      <c r="O45" s="405">
        <f>O44+O39+O31+O24+O9</f>
        <v>672387424</v>
      </c>
      <c r="P45" s="405">
        <f t="shared" si="0"/>
        <v>92223600</v>
      </c>
      <c r="Q45" s="663"/>
    </row>
    <row r="47" spans="1:17">
      <c r="A47" s="437"/>
    </row>
    <row r="48" spans="1:17">
      <c r="A48" s="437"/>
    </row>
    <row r="49" spans="1:1">
      <c r="A49" s="437"/>
    </row>
  </sheetData>
  <pageMargins left="0.39" right="0.26" top="0.68" bottom="0.64" header="0.23" footer="0.26"/>
  <pageSetup scale="64" orientation="portrait" r:id="rId1"/>
  <headerFooter>
    <oddHeader>&amp;C&amp;"Times,Bold"&amp;22Xidhiidhka Golayaasha.</oddHeader>
    <oddFooter>&amp;R&amp;"Times New Roman,Bold"&amp;14 41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6" zoomScaleSheetLayoutView="66" zoomScalePageLayoutView="85" workbookViewId="0">
      <selection sqref="A1:XFD1048576"/>
    </sheetView>
  </sheetViews>
  <sheetFormatPr defaultRowHeight="15"/>
  <cols>
    <col min="1" max="1" width="15.5" style="473" bestFit="1" customWidth="1"/>
    <col min="2" max="2" width="82.6640625" style="473" bestFit="1" customWidth="1"/>
    <col min="3" max="3" width="1.83203125" style="473" hidden="1" customWidth="1"/>
    <col min="4" max="9" width="9.33203125" style="473" hidden="1" customWidth="1"/>
    <col min="10" max="10" width="18.5" style="473" hidden="1" customWidth="1"/>
    <col min="11" max="11" width="28.1640625" style="473" hidden="1" customWidth="1"/>
    <col min="12" max="12" width="27.6640625" style="485" bestFit="1" customWidth="1"/>
    <col min="13" max="13" width="28.1640625" style="485" bestFit="1" customWidth="1"/>
    <col min="14" max="14" width="26.1640625" style="485" bestFit="1" customWidth="1"/>
    <col min="15" max="16384" width="9.33203125" style="473"/>
  </cols>
  <sheetData>
    <row r="1" spans="1:15" ht="30" customHeight="1">
      <c r="A1" s="373" t="s">
        <v>44</v>
      </c>
      <c r="B1" s="443">
        <v>30</v>
      </c>
      <c r="C1" s="373"/>
      <c r="D1" s="373"/>
      <c r="E1" s="373"/>
      <c r="F1" s="373"/>
      <c r="G1" s="373"/>
      <c r="H1" s="373"/>
      <c r="I1" s="373"/>
      <c r="J1" s="373"/>
      <c r="K1" s="373"/>
      <c r="L1" s="292"/>
      <c r="M1" s="292"/>
      <c r="N1" s="292"/>
      <c r="O1" s="665"/>
    </row>
    <row r="2" spans="1:15" ht="30" customHeight="1">
      <c r="A2" s="371" t="s">
        <v>28</v>
      </c>
      <c r="B2" s="371" t="s">
        <v>29</v>
      </c>
      <c r="C2" s="378" t="s">
        <v>48</v>
      </c>
      <c r="D2" s="378" t="s">
        <v>52</v>
      </c>
      <c r="E2" s="378" t="s">
        <v>62</v>
      </c>
      <c r="F2" s="378" t="s">
        <v>69</v>
      </c>
      <c r="G2" s="378" t="s">
        <v>128</v>
      </c>
      <c r="H2" s="378" t="s">
        <v>135</v>
      </c>
      <c r="I2" s="378" t="s">
        <v>146</v>
      </c>
      <c r="J2" s="378" t="s">
        <v>180</v>
      </c>
      <c r="K2" s="378" t="s">
        <v>297</v>
      </c>
      <c r="L2" s="271" t="s">
        <v>643</v>
      </c>
      <c r="M2" s="271" t="s">
        <v>1111</v>
      </c>
      <c r="N2" s="271" t="s">
        <v>63</v>
      </c>
      <c r="O2" s="333"/>
    </row>
    <row r="3" spans="1:15" ht="30" customHeight="1">
      <c r="A3" s="292" t="s">
        <v>248</v>
      </c>
      <c r="B3" s="292" t="s">
        <v>165</v>
      </c>
      <c r="C3" s="373"/>
      <c r="D3" s="373"/>
      <c r="E3" s="373"/>
      <c r="F3" s="373"/>
      <c r="G3" s="373"/>
      <c r="H3" s="373"/>
      <c r="I3" s="373"/>
      <c r="J3" s="373"/>
      <c r="K3" s="373"/>
      <c r="L3" s="284"/>
      <c r="M3" s="284"/>
      <c r="N3" s="284"/>
      <c r="O3" s="665"/>
    </row>
    <row r="4" spans="1:15" ht="30" customHeight="1">
      <c r="A4" s="292" t="s">
        <v>249</v>
      </c>
      <c r="B4" s="292" t="s">
        <v>250</v>
      </c>
      <c r="C4" s="336">
        <v>0</v>
      </c>
      <c r="D4" s="336">
        <v>45168000</v>
      </c>
      <c r="E4" s="336">
        <v>82272000</v>
      </c>
      <c r="F4" s="336">
        <v>82272000</v>
      </c>
      <c r="G4" s="336">
        <v>167590800</v>
      </c>
      <c r="H4" s="336">
        <f>135236400+4149600+27000000+3000000</f>
        <v>169386000</v>
      </c>
      <c r="I4" s="336">
        <f>169386000+6000000+4149600</f>
        <v>179535600</v>
      </c>
      <c r="J4" s="336"/>
      <c r="K4" s="336"/>
      <c r="L4" s="284"/>
      <c r="M4" s="284"/>
      <c r="N4" s="284"/>
      <c r="O4" s="665"/>
    </row>
    <row r="5" spans="1:15" ht="30" customHeight="1">
      <c r="A5" s="284" t="s">
        <v>247</v>
      </c>
      <c r="B5" s="284" t="s">
        <v>32</v>
      </c>
      <c r="C5" s="336">
        <v>0</v>
      </c>
      <c r="D5" s="336">
        <v>24500000</v>
      </c>
      <c r="E5" s="336">
        <v>0</v>
      </c>
      <c r="F5" s="336">
        <v>0</v>
      </c>
      <c r="G5" s="336">
        <v>0</v>
      </c>
      <c r="H5" s="336">
        <v>0</v>
      </c>
      <c r="I5" s="336">
        <v>0</v>
      </c>
      <c r="J5" s="336">
        <f>179535600+5085600-4149600+108872400</f>
        <v>289344000</v>
      </c>
      <c r="K5" s="336">
        <f>'shaq,3'!H44+36000000+704589600</f>
        <v>1115270400</v>
      </c>
      <c r="L5" s="284">
        <v>1136210400</v>
      </c>
      <c r="M5" s="284">
        <v>1142731200</v>
      </c>
      <c r="N5" s="284">
        <f>M5-L5</f>
        <v>6520800</v>
      </c>
      <c r="O5" s="665"/>
    </row>
    <row r="6" spans="1:15" ht="30" customHeight="1">
      <c r="A6" s="284" t="s">
        <v>251</v>
      </c>
      <c r="B6" s="284" t="s">
        <v>812</v>
      </c>
      <c r="C6" s="284">
        <v>0</v>
      </c>
      <c r="D6" s="284">
        <v>10800000</v>
      </c>
      <c r="E6" s="284">
        <v>14400000</v>
      </c>
      <c r="F6" s="284">
        <v>14400000</v>
      </c>
      <c r="G6" s="284">
        <v>14400000</v>
      </c>
      <c r="H6" s="284">
        <f>14400000+16200000+720000</f>
        <v>31320000</v>
      </c>
      <c r="I6" s="284">
        <f>31320000+720000+3960000</f>
        <v>36000000</v>
      </c>
      <c r="J6" s="336">
        <v>0</v>
      </c>
      <c r="K6" s="336">
        <v>0</v>
      </c>
      <c r="L6" s="284">
        <v>97200000</v>
      </c>
      <c r="M6" s="284">
        <v>97200000</v>
      </c>
      <c r="N6" s="284">
        <f t="shared" ref="N6:N38" si="0">M6-L6</f>
        <v>0</v>
      </c>
      <c r="O6" s="665"/>
    </row>
    <row r="7" spans="1:15" ht="30" customHeight="1">
      <c r="A7" s="284" t="s">
        <v>252</v>
      </c>
      <c r="B7" s="284" t="s">
        <v>34</v>
      </c>
      <c r="C7" s="292">
        <v>0</v>
      </c>
      <c r="D7" s="292">
        <f>SUM(D4:D6)</f>
        <v>80468000</v>
      </c>
      <c r="E7" s="292">
        <f>SUM(E4:E6)</f>
        <v>96672000</v>
      </c>
      <c r="F7" s="292">
        <f>SUM(F4:F6)</f>
        <v>96672000</v>
      </c>
      <c r="G7" s="292">
        <f>SUM(G4:G6)</f>
        <v>181990800</v>
      </c>
      <c r="H7" s="292">
        <f>SUM(H4:H6)</f>
        <v>200706000</v>
      </c>
      <c r="I7" s="284">
        <v>0</v>
      </c>
      <c r="J7" s="284">
        <f>36000000+2400000+13200000</f>
        <v>51600000</v>
      </c>
      <c r="K7" s="284">
        <f>36000000+2400000+13200000</f>
        <v>51600000</v>
      </c>
      <c r="L7" s="284">
        <v>80400000</v>
      </c>
      <c r="M7" s="284">
        <v>140400000</v>
      </c>
      <c r="N7" s="284">
        <f t="shared" si="0"/>
        <v>60000000</v>
      </c>
      <c r="O7" s="665"/>
    </row>
    <row r="8" spans="1:15" ht="30" customHeight="1">
      <c r="A8" s="284"/>
      <c r="B8" s="292" t="s">
        <v>119</v>
      </c>
      <c r="C8" s="292">
        <v>0</v>
      </c>
      <c r="D8" s="292" t="e">
        <f>SUM(#REF!)</f>
        <v>#REF!</v>
      </c>
      <c r="E8" s="292" t="e">
        <f>SUM(#REF!)</f>
        <v>#REF!</v>
      </c>
      <c r="F8" s="292" t="e">
        <f>SUM(#REF!)</f>
        <v>#REF!</v>
      </c>
      <c r="G8" s="292" t="e">
        <f>SUM(#REF!)</f>
        <v>#REF!</v>
      </c>
      <c r="H8" s="292" t="e">
        <f>SUM(#REF!)</f>
        <v>#REF!</v>
      </c>
      <c r="I8" s="284">
        <v>0</v>
      </c>
      <c r="J8" s="292">
        <f>SUM(J5:J7)</f>
        <v>340944000</v>
      </c>
      <c r="K8" s="292">
        <f>SUM(K5:K7)</f>
        <v>1166870400</v>
      </c>
      <c r="L8" s="292">
        <f>SUM(L5:L7)</f>
        <v>1313810400</v>
      </c>
      <c r="M8" s="292">
        <f>SUM(M5:M7)</f>
        <v>1380331200</v>
      </c>
      <c r="N8" s="292">
        <f t="shared" si="0"/>
        <v>66520800</v>
      </c>
      <c r="O8" s="665"/>
    </row>
    <row r="9" spans="1:15" ht="30" customHeight="1">
      <c r="A9" s="292" t="s">
        <v>262</v>
      </c>
      <c r="B9" s="292" t="s">
        <v>263</v>
      </c>
      <c r="C9" s="284" t="s">
        <v>4</v>
      </c>
      <c r="D9" s="284"/>
      <c r="E9" s="284"/>
      <c r="F9" s="284"/>
      <c r="G9" s="284"/>
      <c r="H9" s="284"/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4">
        <f t="shared" si="0"/>
        <v>0</v>
      </c>
      <c r="O9" s="665"/>
    </row>
    <row r="10" spans="1:15" ht="30" customHeight="1">
      <c r="A10" s="292" t="s">
        <v>265</v>
      </c>
      <c r="B10" s="292" t="s">
        <v>264</v>
      </c>
      <c r="C10" s="284">
        <v>0</v>
      </c>
      <c r="D10" s="284">
        <v>22600000</v>
      </c>
      <c r="E10" s="284">
        <v>0</v>
      </c>
      <c r="F10" s="284">
        <v>0</v>
      </c>
      <c r="G10" s="284">
        <v>0</v>
      </c>
      <c r="H10" s="284">
        <v>0</v>
      </c>
      <c r="I10" s="284">
        <v>7448000</v>
      </c>
      <c r="J10" s="284">
        <v>0</v>
      </c>
      <c r="K10" s="284">
        <v>0</v>
      </c>
      <c r="L10" s="284">
        <v>0</v>
      </c>
      <c r="M10" s="284">
        <v>0</v>
      </c>
      <c r="N10" s="284">
        <f t="shared" si="0"/>
        <v>0</v>
      </c>
      <c r="O10" s="665"/>
    </row>
    <row r="11" spans="1:15" ht="30" customHeight="1">
      <c r="A11" s="284" t="s">
        <v>266</v>
      </c>
      <c r="B11" s="284" t="s">
        <v>38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7448000</v>
      </c>
      <c r="J11" s="284">
        <f>11172000+33516000</f>
        <v>44688000</v>
      </c>
      <c r="K11" s="284">
        <v>44688000</v>
      </c>
      <c r="L11" s="284">
        <v>44688000</v>
      </c>
      <c r="M11" s="284">
        <v>44688000</v>
      </c>
      <c r="N11" s="284">
        <f t="shared" si="0"/>
        <v>0</v>
      </c>
      <c r="O11" s="665"/>
    </row>
    <row r="12" spans="1:15" ht="30" customHeight="1">
      <c r="A12" s="284" t="s">
        <v>269</v>
      </c>
      <c r="B12" s="284" t="s">
        <v>186</v>
      </c>
      <c r="C12" s="284"/>
      <c r="D12" s="284"/>
      <c r="E12" s="284"/>
      <c r="F12" s="284"/>
      <c r="G12" s="284"/>
      <c r="H12" s="284"/>
      <c r="I12" s="284">
        <v>37240000</v>
      </c>
      <c r="J12" s="284">
        <f>43561192+20000000</f>
        <v>63561192</v>
      </c>
      <c r="K12" s="284">
        <f>J12*70%</f>
        <v>44492834.399999999</v>
      </c>
      <c r="L12" s="284">
        <f>K12</f>
        <v>44492834.399999999</v>
      </c>
      <c r="M12" s="284">
        <f>L12</f>
        <v>44492834.399999999</v>
      </c>
      <c r="N12" s="284">
        <f t="shared" si="0"/>
        <v>0</v>
      </c>
      <c r="O12" s="665"/>
    </row>
    <row r="13" spans="1:15" ht="30" customHeight="1">
      <c r="A13" s="284" t="s">
        <v>272</v>
      </c>
      <c r="B13" s="284" t="s">
        <v>54</v>
      </c>
      <c r="C13" s="284">
        <v>0</v>
      </c>
      <c r="D13" s="284">
        <v>4000000</v>
      </c>
      <c r="E13" s="284">
        <v>8000000</v>
      </c>
      <c r="F13" s="284">
        <v>17000000</v>
      </c>
      <c r="G13" s="284">
        <v>12661600</v>
      </c>
      <c r="H13" s="284">
        <v>25000000</v>
      </c>
      <c r="I13" s="292">
        <f>SUM(I8:I12)</f>
        <v>52136000</v>
      </c>
      <c r="J13" s="284">
        <f>7448000+11000000</f>
        <v>18448000</v>
      </c>
      <c r="K13" s="284">
        <f>J13*70%</f>
        <v>12913600</v>
      </c>
      <c r="L13" s="284">
        <f>K13*70%</f>
        <v>9039520</v>
      </c>
      <c r="M13" s="284">
        <v>19039520</v>
      </c>
      <c r="N13" s="284">
        <f t="shared" si="0"/>
        <v>10000000</v>
      </c>
      <c r="O13" s="665"/>
    </row>
    <row r="14" spans="1:15" ht="30" customHeight="1">
      <c r="A14" s="284" t="s">
        <v>274</v>
      </c>
      <c r="B14" s="284" t="s">
        <v>164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/>
      <c r="J14" s="284">
        <f>7448000+5586000</f>
        <v>13034000</v>
      </c>
      <c r="K14" s="284">
        <f>7448000+5586000</f>
        <v>13034000</v>
      </c>
      <c r="L14" s="284">
        <f>7448000+5586000</f>
        <v>13034000</v>
      </c>
      <c r="M14" s="284">
        <f>7448000+5586000</f>
        <v>13034000</v>
      </c>
      <c r="N14" s="284">
        <f t="shared" si="0"/>
        <v>0</v>
      </c>
      <c r="O14" s="665"/>
    </row>
    <row r="15" spans="1:15" ht="30" customHeight="1">
      <c r="A15" s="284" t="s">
        <v>275</v>
      </c>
      <c r="B15" s="284" t="s">
        <v>40</v>
      </c>
      <c r="C15" s="284" t="s">
        <v>4</v>
      </c>
      <c r="D15" s="284">
        <v>0</v>
      </c>
      <c r="E15" s="284">
        <v>0</v>
      </c>
      <c r="F15" s="284">
        <v>3000000</v>
      </c>
      <c r="G15" s="284">
        <v>2234400</v>
      </c>
      <c r="H15" s="284">
        <v>2234400</v>
      </c>
      <c r="I15" s="284">
        <v>0</v>
      </c>
      <c r="J15" s="284">
        <f>27000000+5000000</f>
        <v>32000000</v>
      </c>
      <c r="K15" s="284">
        <f>J15*70%</f>
        <v>22400000</v>
      </c>
      <c r="L15" s="284">
        <f>K15</f>
        <v>22400000</v>
      </c>
      <c r="M15" s="284">
        <f>L15</f>
        <v>22400000</v>
      </c>
      <c r="N15" s="284">
        <f t="shared" si="0"/>
        <v>0</v>
      </c>
      <c r="O15" s="665"/>
    </row>
    <row r="16" spans="1:15" ht="30" customHeight="1">
      <c r="A16" s="284" t="s">
        <v>330</v>
      </c>
      <c r="B16" s="284" t="s">
        <v>171</v>
      </c>
      <c r="C16" s="284"/>
      <c r="D16" s="284"/>
      <c r="E16" s="284"/>
      <c r="F16" s="284"/>
      <c r="G16" s="284">
        <v>0</v>
      </c>
      <c r="H16" s="284">
        <v>100000000</v>
      </c>
      <c r="I16" s="284">
        <v>90000000</v>
      </c>
      <c r="J16" s="284">
        <v>10000000</v>
      </c>
      <c r="K16" s="284">
        <v>10000000</v>
      </c>
      <c r="L16" s="284">
        <v>0</v>
      </c>
      <c r="M16" s="284">
        <v>0</v>
      </c>
      <c r="N16" s="284">
        <f t="shared" si="0"/>
        <v>0</v>
      </c>
      <c r="O16" s="665"/>
    </row>
    <row r="17" spans="1:15" ht="30" customHeight="1">
      <c r="A17" s="284" t="s">
        <v>1250</v>
      </c>
      <c r="B17" s="284" t="s">
        <v>1144</v>
      </c>
      <c r="C17" s="292">
        <v>0</v>
      </c>
      <c r="D17" s="292">
        <f>SUM(D13:D15)</f>
        <v>4000000</v>
      </c>
      <c r="E17" s="292">
        <f>SUM(E13:E15)</f>
        <v>8000000</v>
      </c>
      <c r="F17" s="292">
        <f>SUM(F13:F15)</f>
        <v>20000000</v>
      </c>
      <c r="G17" s="292">
        <f>SUM(G13:G16)</f>
        <v>14896000</v>
      </c>
      <c r="H17" s="292">
        <f>SUM(H13:H16)</f>
        <v>127234400</v>
      </c>
      <c r="I17" s="284">
        <v>11172000</v>
      </c>
      <c r="J17" s="284">
        <f>41000000+52136000</f>
        <v>93136000</v>
      </c>
      <c r="K17" s="284">
        <f>41000000+52136000</f>
        <v>93136000</v>
      </c>
      <c r="L17" s="284">
        <v>0</v>
      </c>
      <c r="M17" s="284">
        <v>100000000</v>
      </c>
      <c r="N17" s="284">
        <f t="shared" si="0"/>
        <v>100000000</v>
      </c>
      <c r="O17" s="665"/>
    </row>
    <row r="18" spans="1:15" ht="30" customHeight="1">
      <c r="A18" s="284"/>
      <c r="B18" s="292" t="s">
        <v>119</v>
      </c>
      <c r="C18" s="284" t="s">
        <v>4</v>
      </c>
      <c r="D18" s="284"/>
      <c r="E18" s="284"/>
      <c r="F18" s="284"/>
      <c r="G18" s="284"/>
      <c r="H18" s="284"/>
      <c r="I18" s="284">
        <v>3724000</v>
      </c>
      <c r="J18" s="292">
        <f>SUM(J9:J17)</f>
        <v>274867192</v>
      </c>
      <c r="K18" s="292">
        <f>SUM(K9:K17)</f>
        <v>240664434.40000001</v>
      </c>
      <c r="L18" s="292">
        <f>SUM(L9:L17)</f>
        <v>133654354.40000001</v>
      </c>
      <c r="M18" s="292">
        <f>SUM(M9:M17)</f>
        <v>243654354.40000001</v>
      </c>
      <c r="N18" s="292">
        <f t="shared" si="0"/>
        <v>110000000</v>
      </c>
      <c r="O18" s="665"/>
    </row>
    <row r="19" spans="1:15" ht="30" customHeight="1">
      <c r="A19" s="292" t="s">
        <v>279</v>
      </c>
      <c r="B19" s="292" t="s">
        <v>278</v>
      </c>
      <c r="C19" s="284">
        <v>0</v>
      </c>
      <c r="D19" s="284">
        <v>6000000</v>
      </c>
      <c r="E19" s="284">
        <v>7200000</v>
      </c>
      <c r="F19" s="284">
        <v>10000000</v>
      </c>
      <c r="G19" s="284">
        <v>11172000</v>
      </c>
      <c r="H19" s="284">
        <v>11172000</v>
      </c>
      <c r="I19" s="292">
        <f>SUM(I15:I18)</f>
        <v>104896000</v>
      </c>
      <c r="J19" s="292"/>
      <c r="K19" s="292"/>
      <c r="L19" s="292"/>
      <c r="M19" s="292"/>
      <c r="N19" s="292">
        <f t="shared" si="0"/>
        <v>0</v>
      </c>
      <c r="O19" s="665"/>
    </row>
    <row r="20" spans="1:15" ht="30" customHeight="1">
      <c r="A20" s="284" t="s">
        <v>281</v>
      </c>
      <c r="B20" s="284" t="s">
        <v>161</v>
      </c>
      <c r="C20" s="284">
        <v>0</v>
      </c>
      <c r="D20" s="284">
        <v>17000000</v>
      </c>
      <c r="E20" s="284">
        <v>9734400</v>
      </c>
      <c r="F20" s="284">
        <v>20000000</v>
      </c>
      <c r="G20" s="284">
        <v>18620000</v>
      </c>
      <c r="H20" s="284">
        <v>30000000</v>
      </c>
      <c r="I20" s="284"/>
      <c r="J20" s="284">
        <f>211531200+148960000</f>
        <v>360491200</v>
      </c>
      <c r="K20" s="284">
        <f>J20*70%</f>
        <v>252343839.99999997</v>
      </c>
      <c r="L20" s="284">
        <f>K20</f>
        <v>252343839.99999997</v>
      </c>
      <c r="M20" s="284">
        <v>282343840</v>
      </c>
      <c r="N20" s="284">
        <f t="shared" si="0"/>
        <v>30000000.00000003</v>
      </c>
      <c r="O20" s="665"/>
    </row>
    <row r="21" spans="1:15" ht="30" customHeight="1">
      <c r="A21" s="284" t="s">
        <v>282</v>
      </c>
      <c r="B21" s="284" t="s">
        <v>155</v>
      </c>
      <c r="C21" s="284">
        <v>0</v>
      </c>
      <c r="D21" s="284">
        <v>0</v>
      </c>
      <c r="E21" s="284">
        <v>14592000</v>
      </c>
      <c r="F21" s="284">
        <v>0</v>
      </c>
      <c r="G21" s="284">
        <v>0</v>
      </c>
      <c r="H21" s="284">
        <v>10000000</v>
      </c>
      <c r="I21" s="284">
        <v>0</v>
      </c>
      <c r="J21" s="284">
        <f>11172000+12000000</f>
        <v>23172000</v>
      </c>
      <c r="K21" s="284">
        <f>J21*70%</f>
        <v>16220399.999999998</v>
      </c>
      <c r="L21" s="284">
        <f>K21*2</f>
        <v>32440799.999999996</v>
      </c>
      <c r="M21" s="284">
        <f>L21</f>
        <v>32440799.999999996</v>
      </c>
      <c r="N21" s="284">
        <f t="shared" si="0"/>
        <v>0</v>
      </c>
      <c r="O21" s="665"/>
    </row>
    <row r="22" spans="1:15" ht="30" customHeight="1">
      <c r="A22" s="284" t="s">
        <v>283</v>
      </c>
      <c r="B22" s="284" t="s">
        <v>156</v>
      </c>
      <c r="C22" s="284">
        <v>0</v>
      </c>
      <c r="D22" s="284">
        <v>0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  <c r="J22" s="284">
        <f>3724000+3724000</f>
        <v>7448000</v>
      </c>
      <c r="K22" s="284">
        <f>7448000*70%</f>
        <v>5213600</v>
      </c>
      <c r="L22" s="284">
        <f>7448000*70%</f>
        <v>5213600</v>
      </c>
      <c r="M22" s="284">
        <f>7448000*70%</f>
        <v>5213600</v>
      </c>
      <c r="N22" s="284">
        <f t="shared" si="0"/>
        <v>0</v>
      </c>
      <c r="O22" s="665"/>
    </row>
    <row r="23" spans="1:15" ht="30" customHeight="1">
      <c r="A23" s="284" t="s">
        <v>603</v>
      </c>
      <c r="B23" s="284" t="s">
        <v>819</v>
      </c>
      <c r="C23" s="284"/>
      <c r="D23" s="284"/>
      <c r="E23" s="284"/>
      <c r="F23" s="284"/>
      <c r="G23" s="284"/>
      <c r="H23" s="284"/>
      <c r="I23" s="284"/>
      <c r="J23" s="284"/>
      <c r="K23" s="284">
        <v>0</v>
      </c>
      <c r="L23" s="284">
        <v>280800000</v>
      </c>
      <c r="M23" s="284">
        <v>280800000</v>
      </c>
      <c r="N23" s="284">
        <f t="shared" si="0"/>
        <v>0</v>
      </c>
      <c r="O23" s="665"/>
    </row>
    <row r="24" spans="1:15" ht="30" customHeight="1">
      <c r="A24" s="284" t="s">
        <v>298</v>
      </c>
      <c r="B24" s="284" t="s">
        <v>219</v>
      </c>
      <c r="C24" s="284">
        <v>0</v>
      </c>
      <c r="D24" s="284">
        <v>3000000</v>
      </c>
      <c r="E24" s="284">
        <v>8000000</v>
      </c>
      <c r="F24" s="284">
        <v>10000000</v>
      </c>
      <c r="G24" s="284">
        <v>7448000</v>
      </c>
      <c r="H24" s="284">
        <v>7448000</v>
      </c>
      <c r="I24" s="284">
        <v>2979200</v>
      </c>
      <c r="J24" s="284">
        <f>14896000+8937600</f>
        <v>23833600</v>
      </c>
      <c r="K24" s="284">
        <f>23833600*70%</f>
        <v>16683519.999999998</v>
      </c>
      <c r="L24" s="284">
        <v>0</v>
      </c>
      <c r="M24" s="284">
        <v>0</v>
      </c>
      <c r="N24" s="284">
        <f t="shared" si="0"/>
        <v>0</v>
      </c>
      <c r="O24" s="665"/>
    </row>
    <row r="25" spans="1:15" ht="30" customHeight="1">
      <c r="A25" s="284"/>
      <c r="B25" s="292" t="s">
        <v>119</v>
      </c>
      <c r="C25" s="284">
        <v>0</v>
      </c>
      <c r="D25" s="284">
        <v>0</v>
      </c>
      <c r="E25" s="284"/>
      <c r="F25" s="284">
        <v>0</v>
      </c>
      <c r="G25" s="284">
        <v>0</v>
      </c>
      <c r="H25" s="284">
        <v>0</v>
      </c>
      <c r="I25" s="284">
        <v>4468800</v>
      </c>
      <c r="J25" s="292">
        <f>SUM(J20:J24)</f>
        <v>414944800</v>
      </c>
      <c r="K25" s="292">
        <f>SUM(K20:K24)</f>
        <v>290461359.99999994</v>
      </c>
      <c r="L25" s="292">
        <f>SUM(L20:L24)</f>
        <v>570798240</v>
      </c>
      <c r="M25" s="292">
        <f>SUM(M20:M24)</f>
        <v>600798240</v>
      </c>
      <c r="N25" s="292">
        <f t="shared" si="0"/>
        <v>30000000</v>
      </c>
      <c r="O25" s="665"/>
    </row>
    <row r="26" spans="1:15" ht="30" customHeight="1">
      <c r="A26" s="292" t="s">
        <v>285</v>
      </c>
      <c r="B26" s="292" t="s">
        <v>158</v>
      </c>
      <c r="C26" s="284">
        <v>0</v>
      </c>
      <c r="D26" s="284">
        <v>0</v>
      </c>
      <c r="E26" s="284"/>
      <c r="F26" s="284">
        <v>0</v>
      </c>
      <c r="G26" s="284">
        <v>0</v>
      </c>
      <c r="H26" s="284">
        <v>0</v>
      </c>
      <c r="I26" s="292">
        <f>SUM(I21:I25)</f>
        <v>7448000</v>
      </c>
      <c r="J26" s="292"/>
      <c r="K26" s="292"/>
      <c r="L26" s="292"/>
      <c r="M26" s="292"/>
      <c r="N26" s="292">
        <f t="shared" si="0"/>
        <v>0</v>
      </c>
      <c r="O26" s="665"/>
    </row>
    <row r="27" spans="1:15" ht="30" customHeight="1">
      <c r="A27" s="284" t="s">
        <v>286</v>
      </c>
      <c r="B27" s="284" t="s">
        <v>55</v>
      </c>
      <c r="C27" s="284">
        <v>0</v>
      </c>
      <c r="D27" s="284">
        <v>0</v>
      </c>
      <c r="E27" s="284"/>
      <c r="F27" s="284">
        <v>0</v>
      </c>
      <c r="G27" s="284">
        <v>0</v>
      </c>
      <c r="H27" s="284">
        <v>0</v>
      </c>
      <c r="I27" s="284">
        <v>0</v>
      </c>
      <c r="J27" s="284">
        <f>33725600+18896000</f>
        <v>52621600</v>
      </c>
      <c r="K27" s="284">
        <f>J27*70%</f>
        <v>36835120</v>
      </c>
      <c r="L27" s="284">
        <f>K27</f>
        <v>36835120</v>
      </c>
      <c r="M27" s="284">
        <f>L27</f>
        <v>36835120</v>
      </c>
      <c r="N27" s="284">
        <f t="shared" si="0"/>
        <v>0</v>
      </c>
      <c r="O27" s="665"/>
    </row>
    <row r="28" spans="1:15" ht="30" customHeight="1">
      <c r="A28" s="284" t="s">
        <v>288</v>
      </c>
      <c r="B28" s="284" t="s">
        <v>287</v>
      </c>
      <c r="C28" s="284">
        <v>0</v>
      </c>
      <c r="D28" s="284">
        <v>5000000</v>
      </c>
      <c r="E28" s="284">
        <v>6400000</v>
      </c>
      <c r="F28" s="284">
        <v>10000000</v>
      </c>
      <c r="G28" s="284">
        <v>7448000</v>
      </c>
      <c r="H28" s="284">
        <v>7448000</v>
      </c>
      <c r="I28" s="284">
        <v>12661600</v>
      </c>
      <c r="J28" s="284">
        <f>2234400+8949691</f>
        <v>11184091</v>
      </c>
      <c r="K28" s="284">
        <f>11184091*70%</f>
        <v>7828863.6999999993</v>
      </c>
      <c r="L28" s="284">
        <f>11184091*70%</f>
        <v>7828863.6999999993</v>
      </c>
      <c r="M28" s="284">
        <f>11184091*70%</f>
        <v>7828863.6999999993</v>
      </c>
      <c r="N28" s="284">
        <f t="shared" si="0"/>
        <v>0</v>
      </c>
      <c r="O28" s="665"/>
    </row>
    <row r="29" spans="1:15" ht="30" customHeight="1">
      <c r="A29" s="284" t="s">
        <v>289</v>
      </c>
      <c r="B29" s="284" t="s">
        <v>290</v>
      </c>
      <c r="C29" s="284">
        <v>0</v>
      </c>
      <c r="D29" s="284">
        <v>0</v>
      </c>
      <c r="E29" s="284">
        <v>28000000</v>
      </c>
      <c r="F29" s="284">
        <v>40000000</v>
      </c>
      <c r="G29" s="284">
        <v>37240000</v>
      </c>
      <c r="H29" s="284">
        <v>75000000</v>
      </c>
      <c r="I29" s="284">
        <v>0</v>
      </c>
      <c r="J29" s="284">
        <v>2979200</v>
      </c>
      <c r="K29" s="284">
        <f>2979200*70%</f>
        <v>2085439.9999999998</v>
      </c>
      <c r="L29" s="284">
        <f>2979200*70%</f>
        <v>2085439.9999999998</v>
      </c>
      <c r="M29" s="284">
        <f>2979200*70%</f>
        <v>2085439.9999999998</v>
      </c>
      <c r="N29" s="284">
        <f t="shared" si="0"/>
        <v>0</v>
      </c>
      <c r="O29" s="665"/>
    </row>
    <row r="30" spans="1:15" ht="30" customHeight="1">
      <c r="A30" s="284"/>
      <c r="B30" s="292" t="s">
        <v>119</v>
      </c>
      <c r="C30" s="284"/>
      <c r="D30" s="284"/>
      <c r="E30" s="284"/>
      <c r="F30" s="284">
        <v>0</v>
      </c>
      <c r="G30" s="284">
        <v>0</v>
      </c>
      <c r="H30" s="284">
        <v>0</v>
      </c>
      <c r="I30" s="292">
        <f>SUM(I27:I29)</f>
        <v>12661600</v>
      </c>
      <c r="J30" s="292">
        <f>SUM(J27:J29)</f>
        <v>66784891</v>
      </c>
      <c r="K30" s="292">
        <f>SUM(K27:K29)</f>
        <v>46749423.700000003</v>
      </c>
      <c r="L30" s="292">
        <f>SUM(L27:L29)</f>
        <v>46749423.700000003</v>
      </c>
      <c r="M30" s="292">
        <f>SUM(M27:M29)</f>
        <v>46749423.700000003</v>
      </c>
      <c r="N30" s="292">
        <f t="shared" si="0"/>
        <v>0</v>
      </c>
      <c r="O30" s="665"/>
    </row>
    <row r="31" spans="1:15" ht="30" customHeight="1" thickBot="1">
      <c r="A31" s="292" t="s">
        <v>293</v>
      </c>
      <c r="B31" s="292" t="s">
        <v>292</v>
      </c>
      <c r="C31" s="405">
        <v>0</v>
      </c>
      <c r="D31" s="405">
        <f>SUM(D19:D29)</f>
        <v>31000000</v>
      </c>
      <c r="E31" s="405">
        <f>SUM(E19:E29)</f>
        <v>73926400</v>
      </c>
      <c r="F31" s="405">
        <f>SUM(F19:F30)</f>
        <v>90000000</v>
      </c>
      <c r="G31" s="405">
        <f>SUM(G19:G30)</f>
        <v>81928000</v>
      </c>
      <c r="H31" s="405">
        <f>SUM(H19:H30)</f>
        <v>141068000</v>
      </c>
      <c r="I31" s="405" t="e">
        <f>I30+I26+I19+I13+#REF!</f>
        <v>#REF!</v>
      </c>
      <c r="J31" s="394"/>
      <c r="K31" s="394"/>
      <c r="L31" s="394"/>
      <c r="M31" s="394"/>
      <c r="N31" s="292">
        <f t="shared" si="0"/>
        <v>0</v>
      </c>
      <c r="O31" s="665"/>
    </row>
    <row r="32" spans="1:15" ht="30" customHeight="1">
      <c r="A32" s="292" t="s">
        <v>294</v>
      </c>
      <c r="B32" s="292" t="s">
        <v>291</v>
      </c>
      <c r="C32" s="666"/>
      <c r="D32" s="666">
        <v>0</v>
      </c>
      <c r="E32" s="666"/>
      <c r="F32" s="666"/>
      <c r="G32" s="666"/>
      <c r="H32" s="666"/>
      <c r="I32" s="667"/>
      <c r="J32" s="358"/>
      <c r="K32" s="358"/>
      <c r="L32" s="284"/>
      <c r="M32" s="284"/>
      <c r="N32" s="284">
        <f t="shared" si="0"/>
        <v>0</v>
      </c>
      <c r="O32" s="665"/>
    </row>
    <row r="33" spans="1:15" ht="30" customHeight="1">
      <c r="A33" s="284" t="s">
        <v>389</v>
      </c>
      <c r="B33" s="284" t="s">
        <v>307</v>
      </c>
      <c r="C33" s="395"/>
      <c r="D33" s="395" t="e">
        <f>#REF!-D32</f>
        <v>#REF!</v>
      </c>
      <c r="E33" s="395"/>
      <c r="F33" s="395"/>
      <c r="G33" s="395"/>
      <c r="H33" s="395"/>
      <c r="I33" s="395"/>
      <c r="J33" s="336">
        <f t="shared" ref="J33:M34" si="1">I33-H33</f>
        <v>0</v>
      </c>
      <c r="K33" s="336">
        <f t="shared" si="1"/>
        <v>0</v>
      </c>
      <c r="L33" s="284">
        <f t="shared" si="1"/>
        <v>0</v>
      </c>
      <c r="M33" s="284">
        <f t="shared" si="1"/>
        <v>0</v>
      </c>
      <c r="N33" s="284">
        <f t="shared" si="0"/>
        <v>0</v>
      </c>
      <c r="O33" s="665"/>
    </row>
    <row r="34" spans="1:15" ht="30" customHeight="1">
      <c r="A34" s="284" t="s">
        <v>388</v>
      </c>
      <c r="B34" s="284" t="s">
        <v>855</v>
      </c>
      <c r="C34" s="379"/>
      <c r="D34" s="379"/>
      <c r="E34" s="379"/>
      <c r="F34" s="379"/>
      <c r="G34" s="379"/>
      <c r="H34" s="379"/>
      <c r="I34" s="379"/>
      <c r="J34" s="336">
        <f t="shared" si="1"/>
        <v>0</v>
      </c>
      <c r="K34" s="360">
        <v>108000000</v>
      </c>
      <c r="L34" s="284">
        <v>30900000</v>
      </c>
      <c r="M34" s="284"/>
      <c r="N34" s="284">
        <f t="shared" si="0"/>
        <v>-30900000</v>
      </c>
      <c r="O34" s="665"/>
    </row>
    <row r="35" spans="1:15" ht="30" customHeight="1">
      <c r="A35" s="284" t="s">
        <v>295</v>
      </c>
      <c r="B35" s="284" t="s">
        <v>176</v>
      </c>
      <c r="C35" s="379"/>
      <c r="D35" s="379"/>
      <c r="E35" s="379"/>
      <c r="F35" s="379"/>
      <c r="G35" s="379"/>
      <c r="H35" s="379"/>
      <c r="I35" s="379"/>
      <c r="J35" s="360">
        <f>2979200+2234400</f>
        <v>5213600</v>
      </c>
      <c r="K35" s="360">
        <f>5213600*70%</f>
        <v>3649520</v>
      </c>
      <c r="L35" s="284">
        <v>0</v>
      </c>
      <c r="M35" s="284">
        <v>0</v>
      </c>
      <c r="N35" s="284">
        <f t="shared" si="0"/>
        <v>0</v>
      </c>
      <c r="O35" s="665"/>
    </row>
    <row r="36" spans="1:15" ht="30" customHeight="1">
      <c r="A36" s="284" t="s">
        <v>296</v>
      </c>
      <c r="B36" s="284" t="s">
        <v>177</v>
      </c>
      <c r="C36" s="379"/>
      <c r="D36" s="379"/>
      <c r="E36" s="379"/>
      <c r="F36" s="379"/>
      <c r="G36" s="379"/>
      <c r="H36" s="379"/>
      <c r="I36" s="379"/>
      <c r="J36" s="360">
        <f>4468800+5000000</f>
        <v>9468800</v>
      </c>
      <c r="K36" s="360">
        <f>9468800*70%</f>
        <v>6628160</v>
      </c>
      <c r="L36" s="284">
        <v>0</v>
      </c>
      <c r="M36" s="284">
        <v>0</v>
      </c>
      <c r="N36" s="284">
        <f t="shared" si="0"/>
        <v>0</v>
      </c>
      <c r="O36" s="665"/>
    </row>
    <row r="37" spans="1:15" ht="30" customHeight="1">
      <c r="A37" s="284"/>
      <c r="B37" s="292" t="s">
        <v>119</v>
      </c>
      <c r="C37" s="379"/>
      <c r="D37" s="379"/>
      <c r="E37" s="379"/>
      <c r="F37" s="379"/>
      <c r="G37" s="379"/>
      <c r="H37" s="379"/>
      <c r="I37" s="379"/>
      <c r="J37" s="383">
        <f>SUM(J35:J36)</f>
        <v>14682400</v>
      </c>
      <c r="K37" s="383">
        <f>SUM(K33:K36)</f>
        <v>118277680</v>
      </c>
      <c r="L37" s="292">
        <f>SUM(L33:L36)</f>
        <v>30900000</v>
      </c>
      <c r="M37" s="292">
        <f>SUM(M33:M36)</f>
        <v>0</v>
      </c>
      <c r="N37" s="292">
        <f t="shared" si="0"/>
        <v>-30900000</v>
      </c>
      <c r="O37" s="665"/>
    </row>
    <row r="38" spans="1:15" ht="30" customHeight="1">
      <c r="A38" s="284"/>
      <c r="B38" s="292" t="s">
        <v>42</v>
      </c>
      <c r="C38" s="379"/>
      <c r="D38" s="379"/>
      <c r="E38" s="379"/>
      <c r="F38" s="379"/>
      <c r="G38" s="379"/>
      <c r="H38" s="379"/>
      <c r="I38" s="379"/>
      <c r="J38" s="383">
        <f>J37+J30+J25+J18+J8</f>
        <v>1112223283</v>
      </c>
      <c r="K38" s="383">
        <f>K37+K30+K25+K18+K8</f>
        <v>1863023298.0999999</v>
      </c>
      <c r="L38" s="292">
        <f>L37+L30+L25+L18+L8</f>
        <v>2095912418.0999999</v>
      </c>
      <c r="M38" s="292">
        <f>M37+M30+M25+M18+M8</f>
        <v>2271533218.0999999</v>
      </c>
      <c r="N38" s="292">
        <f t="shared" si="0"/>
        <v>175620800</v>
      </c>
      <c r="O38" s="665"/>
    </row>
  </sheetData>
  <pageMargins left="0.67" right="0.31" top="0.75" bottom="0.45" header="0.3" footer="0.22"/>
  <pageSetup scale="54" orientation="portrait" r:id="rId1"/>
  <headerFooter>
    <oddHeader>&amp;C&amp;"Arial Narrow,Bold"&amp;22Wasaaradda Shaqadda &amp; Arrimaha Bulshadda.</oddHeader>
    <oddFooter>&amp;R&amp;"Times New Roman,Bold"&amp;14 42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3"/>
  <sheetViews>
    <sheetView view="pageBreakPreview" zoomScale="61" zoomScaleNormal="110" zoomScaleSheetLayoutView="61" workbookViewId="0">
      <selection sqref="A1:XFD1048576"/>
    </sheetView>
  </sheetViews>
  <sheetFormatPr defaultRowHeight="12.75"/>
  <cols>
    <col min="1" max="1" width="18.1640625" style="386" bestFit="1" customWidth="1"/>
    <col min="2" max="2" width="81.6640625" style="386" bestFit="1" customWidth="1"/>
    <col min="3" max="11" width="9.33203125" style="386" hidden="1" customWidth="1"/>
    <col min="12" max="12" width="18.5" style="386" hidden="1" customWidth="1"/>
    <col min="13" max="13" width="27.6640625" style="386" hidden="1" customWidth="1"/>
    <col min="14" max="15" width="27.6640625" style="386" bestFit="1" customWidth="1"/>
    <col min="16" max="16" width="25" style="386" customWidth="1"/>
    <col min="17" max="16384" width="9.33203125" style="386"/>
  </cols>
  <sheetData>
    <row r="1" spans="1:16" ht="30.95" customHeight="1">
      <c r="A1" s="668" t="s">
        <v>44</v>
      </c>
      <c r="B1" s="669" t="s">
        <v>1271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1"/>
      <c r="N1" s="671"/>
      <c r="O1" s="672"/>
      <c r="P1" s="672"/>
    </row>
    <row r="2" spans="1:16" ht="30.95" customHeight="1">
      <c r="A2" s="673" t="s">
        <v>28</v>
      </c>
      <c r="B2" s="443" t="s">
        <v>1</v>
      </c>
      <c r="C2" s="373" t="s">
        <v>49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70</v>
      </c>
      <c r="I2" s="378" t="s">
        <v>130</v>
      </c>
      <c r="J2" s="378" t="s">
        <v>137</v>
      </c>
      <c r="K2" s="378" t="s">
        <v>143</v>
      </c>
      <c r="L2" s="378" t="s">
        <v>180</v>
      </c>
      <c r="M2" s="474" t="s">
        <v>297</v>
      </c>
      <c r="N2" s="474" t="s">
        <v>643</v>
      </c>
      <c r="O2" s="474" t="s">
        <v>1111</v>
      </c>
      <c r="P2" s="474" t="s">
        <v>63</v>
      </c>
    </row>
    <row r="3" spans="1:16" ht="30.95" customHeight="1">
      <c r="A3" s="292" t="s">
        <v>248</v>
      </c>
      <c r="B3" s="292" t="s">
        <v>165</v>
      </c>
      <c r="C3" s="373"/>
      <c r="D3" s="373"/>
      <c r="E3" s="373"/>
      <c r="F3" s="373"/>
      <c r="G3" s="373"/>
      <c r="H3" s="373"/>
      <c r="I3" s="373"/>
      <c r="J3" s="373"/>
      <c r="K3" s="373"/>
      <c r="L3" s="335"/>
      <c r="M3" s="335"/>
      <c r="N3" s="375"/>
      <c r="O3" s="375"/>
      <c r="P3" s="375"/>
    </row>
    <row r="4" spans="1:16" ht="30.95" customHeight="1">
      <c r="A4" s="292" t="s">
        <v>249</v>
      </c>
      <c r="B4" s="292" t="s">
        <v>250</v>
      </c>
      <c r="C4" s="336">
        <v>0</v>
      </c>
      <c r="D4" s="336">
        <v>45168000</v>
      </c>
      <c r="E4" s="336">
        <v>82272000</v>
      </c>
      <c r="F4" s="336">
        <v>82272000</v>
      </c>
      <c r="G4" s="336">
        <v>167590800</v>
      </c>
      <c r="H4" s="336">
        <f>135236400+4149600+27000000+3000000</f>
        <v>169386000</v>
      </c>
      <c r="I4" s="336">
        <f>169386000+6000000+4149600</f>
        <v>179535600</v>
      </c>
      <c r="J4" s="336"/>
      <c r="K4" s="336"/>
      <c r="L4" s="336"/>
      <c r="M4" s="284"/>
      <c r="N4" s="284"/>
      <c r="O4" s="284"/>
      <c r="P4" s="284"/>
    </row>
    <row r="5" spans="1:16" ht="30.95" customHeight="1">
      <c r="A5" s="284" t="s">
        <v>247</v>
      </c>
      <c r="B5" s="284" t="s">
        <v>32</v>
      </c>
      <c r="C5" s="336">
        <v>0</v>
      </c>
      <c r="D5" s="336">
        <v>24500000</v>
      </c>
      <c r="E5" s="336">
        <v>0</v>
      </c>
      <c r="F5" s="336">
        <v>0</v>
      </c>
      <c r="G5" s="336">
        <v>0</v>
      </c>
      <c r="H5" s="336">
        <v>0</v>
      </c>
      <c r="I5" s="336">
        <v>0</v>
      </c>
      <c r="J5" s="336">
        <v>0</v>
      </c>
      <c r="K5" s="336">
        <v>37471200</v>
      </c>
      <c r="L5" s="336">
        <f>416952000+321662671</f>
        <v>738614671</v>
      </c>
      <c r="M5" s="336">
        <f>'shaq,3'!H45+36000000</f>
        <v>1321502400</v>
      </c>
      <c r="N5" s="336">
        <v>1371957600</v>
      </c>
      <c r="O5" s="336">
        <v>1087912800</v>
      </c>
      <c r="P5" s="336">
        <f>O5-N5</f>
        <v>-284044800</v>
      </c>
    </row>
    <row r="6" spans="1:16" ht="30.95" customHeight="1">
      <c r="A6" s="284" t="s">
        <v>251</v>
      </c>
      <c r="B6" s="284" t="s">
        <v>903</v>
      </c>
      <c r="C6" s="284">
        <v>0</v>
      </c>
      <c r="D6" s="284">
        <v>10800000</v>
      </c>
      <c r="E6" s="284">
        <v>14400000</v>
      </c>
      <c r="F6" s="284">
        <v>14400000</v>
      </c>
      <c r="G6" s="284">
        <v>14400000</v>
      </c>
      <c r="H6" s="284">
        <f>14400000+16200000+720000</f>
        <v>31320000</v>
      </c>
      <c r="I6" s="284">
        <f>31320000+720000+3960000</f>
        <v>36000000</v>
      </c>
      <c r="J6" s="336">
        <v>0</v>
      </c>
      <c r="K6" s="336">
        <v>0</v>
      </c>
      <c r="L6" s="336">
        <v>66000000</v>
      </c>
      <c r="M6" s="336">
        <v>132000000</v>
      </c>
      <c r="N6" s="336">
        <v>349200000</v>
      </c>
      <c r="O6" s="336">
        <v>349200000</v>
      </c>
      <c r="P6" s="336">
        <f t="shared" ref="P6:P41" si="0">O6-N6</f>
        <v>0</v>
      </c>
    </row>
    <row r="7" spans="1:16" ht="30.95" customHeight="1">
      <c r="A7" s="284" t="s">
        <v>252</v>
      </c>
      <c r="B7" s="284" t="s">
        <v>34</v>
      </c>
      <c r="C7" s="292">
        <v>0</v>
      </c>
      <c r="D7" s="292">
        <f>SUM(D4:D6)</f>
        <v>80468000</v>
      </c>
      <c r="E7" s="292">
        <f>SUM(E4:E6)</f>
        <v>96672000</v>
      </c>
      <c r="F7" s="292">
        <f>SUM(F4:F6)</f>
        <v>96672000</v>
      </c>
      <c r="G7" s="292">
        <f>SUM(G4:G6)</f>
        <v>181990800</v>
      </c>
      <c r="H7" s="292">
        <f>SUM(H4:H6)</f>
        <v>200706000</v>
      </c>
      <c r="I7" s="284">
        <v>0</v>
      </c>
      <c r="J7" s="284">
        <v>0</v>
      </c>
      <c r="K7" s="284">
        <v>34800000</v>
      </c>
      <c r="L7" s="336">
        <v>63000000</v>
      </c>
      <c r="M7" s="336">
        <v>84600000</v>
      </c>
      <c r="N7" s="336">
        <v>120600000</v>
      </c>
      <c r="O7" s="336">
        <v>151200000</v>
      </c>
      <c r="P7" s="336">
        <f t="shared" si="0"/>
        <v>30600000</v>
      </c>
    </row>
    <row r="8" spans="1:16" ht="30.95" customHeight="1">
      <c r="A8" s="284" t="s">
        <v>254</v>
      </c>
      <c r="B8" s="284" t="s">
        <v>667</v>
      </c>
      <c r="C8" s="292"/>
      <c r="D8" s="292"/>
      <c r="E8" s="292"/>
      <c r="F8" s="292"/>
      <c r="G8" s="292"/>
      <c r="H8" s="292"/>
      <c r="I8" s="284"/>
      <c r="J8" s="284"/>
      <c r="K8" s="284"/>
      <c r="L8" s="336"/>
      <c r="M8" s="336"/>
      <c r="N8" s="336">
        <v>0</v>
      </c>
      <c r="O8" s="336">
        <v>13500000</v>
      </c>
      <c r="P8" s="336">
        <f t="shared" si="0"/>
        <v>13500000</v>
      </c>
    </row>
    <row r="9" spans="1:16" ht="30.95" customHeight="1">
      <c r="A9" s="284"/>
      <c r="B9" s="292" t="s">
        <v>119</v>
      </c>
      <c r="C9" s="292">
        <v>0</v>
      </c>
      <c r="D9" s="292" t="e">
        <f>SUM(#REF!)</f>
        <v>#REF!</v>
      </c>
      <c r="E9" s="292" t="e">
        <f>SUM(#REF!)</f>
        <v>#REF!</v>
      </c>
      <c r="F9" s="292" t="e">
        <f>SUM(#REF!)</f>
        <v>#REF!</v>
      </c>
      <c r="G9" s="292" t="e">
        <f>SUM(#REF!)</f>
        <v>#REF!</v>
      </c>
      <c r="H9" s="292" t="e">
        <f>SUM(#REF!)</f>
        <v>#REF!</v>
      </c>
      <c r="I9" s="284">
        <v>0</v>
      </c>
      <c r="J9" s="292">
        <f>SUM(J5:J7)</f>
        <v>0</v>
      </c>
      <c r="K9" s="292">
        <f>SUM(K5:K7)</f>
        <v>72271200</v>
      </c>
      <c r="L9" s="361">
        <f>SUM(L5:L7)</f>
        <v>867614671</v>
      </c>
      <c r="M9" s="361">
        <f>SUM(M5:M7)</f>
        <v>1538102400</v>
      </c>
      <c r="N9" s="361">
        <f>SUM(N5:N8)</f>
        <v>1841757600</v>
      </c>
      <c r="O9" s="361">
        <f>SUM(O5:O8)</f>
        <v>1601812800</v>
      </c>
      <c r="P9" s="361">
        <f t="shared" si="0"/>
        <v>-239944800</v>
      </c>
    </row>
    <row r="10" spans="1:16" ht="30.95" customHeight="1">
      <c r="A10" s="292" t="s">
        <v>262</v>
      </c>
      <c r="B10" s="292" t="s">
        <v>263</v>
      </c>
      <c r="C10" s="284" t="s">
        <v>4</v>
      </c>
      <c r="D10" s="284"/>
      <c r="E10" s="284"/>
      <c r="F10" s="284"/>
      <c r="G10" s="284"/>
      <c r="H10" s="284"/>
      <c r="I10" s="284">
        <v>0</v>
      </c>
      <c r="J10" s="284"/>
      <c r="K10" s="284"/>
      <c r="L10" s="336"/>
      <c r="M10" s="336"/>
      <c r="N10" s="336"/>
      <c r="O10" s="336"/>
      <c r="P10" s="336">
        <f t="shared" si="0"/>
        <v>0</v>
      </c>
    </row>
    <row r="11" spans="1:16" ht="30.95" customHeight="1">
      <c r="A11" s="292" t="s">
        <v>265</v>
      </c>
      <c r="B11" s="292" t="s">
        <v>264</v>
      </c>
      <c r="C11" s="284">
        <v>0</v>
      </c>
      <c r="D11" s="284">
        <v>22600000</v>
      </c>
      <c r="E11" s="284">
        <v>0</v>
      </c>
      <c r="F11" s="284">
        <v>0</v>
      </c>
      <c r="G11" s="284">
        <v>0</v>
      </c>
      <c r="H11" s="284">
        <v>0</v>
      </c>
      <c r="I11" s="284">
        <v>7448000</v>
      </c>
      <c r="J11" s="284"/>
      <c r="K11" s="284"/>
      <c r="L11" s="336"/>
      <c r="M11" s="336"/>
      <c r="N11" s="336"/>
      <c r="O11" s="336"/>
      <c r="P11" s="336">
        <f t="shared" si="0"/>
        <v>0</v>
      </c>
    </row>
    <row r="12" spans="1:16" ht="30.95" customHeight="1">
      <c r="A12" s="284" t="s">
        <v>266</v>
      </c>
      <c r="B12" s="284" t="s">
        <v>38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7448000</v>
      </c>
      <c r="J12" s="284">
        <v>0</v>
      </c>
      <c r="K12" s="284">
        <v>40000000</v>
      </c>
      <c r="L12" s="336">
        <v>11172000</v>
      </c>
      <c r="M12" s="336">
        <f>11172000*70%</f>
        <v>7820399.9999999991</v>
      </c>
      <c r="N12" s="336">
        <f>11172000*70%</f>
        <v>7820399.9999999991</v>
      </c>
      <c r="O12" s="336">
        <v>28000000</v>
      </c>
      <c r="P12" s="336">
        <f t="shared" si="0"/>
        <v>20179600</v>
      </c>
    </row>
    <row r="13" spans="1:16" ht="30.95" customHeight="1">
      <c r="A13" s="284" t="s">
        <v>269</v>
      </c>
      <c r="B13" s="284" t="s">
        <v>186</v>
      </c>
      <c r="C13" s="284"/>
      <c r="D13" s="284"/>
      <c r="E13" s="284"/>
      <c r="F13" s="284"/>
      <c r="G13" s="284"/>
      <c r="H13" s="284"/>
      <c r="I13" s="284">
        <v>37240000</v>
      </c>
      <c r="J13" s="284">
        <v>0</v>
      </c>
      <c r="K13" s="284">
        <v>15000000</v>
      </c>
      <c r="L13" s="336">
        <v>18620000</v>
      </c>
      <c r="M13" s="336">
        <f>18620000*70%</f>
        <v>13034000</v>
      </c>
      <c r="N13" s="336">
        <f>18620000*70%</f>
        <v>13034000</v>
      </c>
      <c r="O13" s="336">
        <f>18620000*70%</f>
        <v>13034000</v>
      </c>
      <c r="P13" s="336">
        <f t="shared" si="0"/>
        <v>0</v>
      </c>
    </row>
    <row r="14" spans="1:16" ht="30.95" customHeight="1">
      <c r="A14" s="284" t="s">
        <v>488</v>
      </c>
      <c r="B14" s="284" t="s">
        <v>1236</v>
      </c>
      <c r="C14" s="284"/>
      <c r="D14" s="284"/>
      <c r="E14" s="284"/>
      <c r="F14" s="284"/>
      <c r="G14" s="284"/>
      <c r="H14" s="284"/>
      <c r="I14" s="284"/>
      <c r="J14" s="284"/>
      <c r="K14" s="284"/>
      <c r="L14" s="336">
        <v>15640800</v>
      </c>
      <c r="M14" s="336">
        <f>15640800*70%</f>
        <v>10948560</v>
      </c>
      <c r="N14" s="336">
        <v>43200000</v>
      </c>
      <c r="O14" s="336">
        <v>72000000</v>
      </c>
      <c r="P14" s="336">
        <f t="shared" si="0"/>
        <v>28800000</v>
      </c>
    </row>
    <row r="15" spans="1:16" ht="30.95" customHeight="1">
      <c r="A15" s="284" t="s">
        <v>271</v>
      </c>
      <c r="B15" s="284" t="s">
        <v>154</v>
      </c>
      <c r="C15" s="284">
        <v>0</v>
      </c>
      <c r="D15" s="284">
        <v>4000000</v>
      </c>
      <c r="E15" s="284">
        <v>8000000</v>
      </c>
      <c r="F15" s="284">
        <v>17000000</v>
      </c>
      <c r="G15" s="284">
        <v>12661600</v>
      </c>
      <c r="H15" s="284">
        <v>25000000</v>
      </c>
      <c r="I15" s="292">
        <f>SUM(I9:I13)</f>
        <v>52136000</v>
      </c>
      <c r="J15" s="284">
        <v>0</v>
      </c>
      <c r="K15" s="284">
        <v>0</v>
      </c>
      <c r="L15" s="336">
        <v>4468800</v>
      </c>
      <c r="M15" s="336">
        <f>4468800*70%</f>
        <v>3128160</v>
      </c>
      <c r="N15" s="336">
        <v>0</v>
      </c>
      <c r="O15" s="336">
        <v>0</v>
      </c>
      <c r="P15" s="336">
        <f t="shared" si="0"/>
        <v>0</v>
      </c>
    </row>
    <row r="16" spans="1:16" ht="30.95" customHeight="1">
      <c r="A16" s="284" t="s">
        <v>272</v>
      </c>
      <c r="B16" s="284" t="s">
        <v>509</v>
      </c>
      <c r="C16" s="284"/>
      <c r="D16" s="284"/>
      <c r="E16" s="284"/>
      <c r="F16" s="284"/>
      <c r="G16" s="284"/>
      <c r="H16" s="284"/>
      <c r="I16" s="292"/>
      <c r="J16" s="284"/>
      <c r="K16" s="284"/>
      <c r="L16" s="336">
        <v>22344000</v>
      </c>
      <c r="M16" s="336">
        <f>L16*70%</f>
        <v>15640799.999999998</v>
      </c>
      <c r="N16" s="336">
        <v>110948560</v>
      </c>
      <c r="O16" s="336">
        <v>150948560</v>
      </c>
      <c r="P16" s="336">
        <f t="shared" si="0"/>
        <v>40000000</v>
      </c>
    </row>
    <row r="17" spans="1:16" ht="30.95" customHeight="1">
      <c r="A17" s="284" t="s">
        <v>274</v>
      </c>
      <c r="B17" s="284" t="s">
        <v>164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/>
      <c r="J17" s="284">
        <v>0</v>
      </c>
      <c r="K17" s="284">
        <v>5000000</v>
      </c>
      <c r="L17" s="336">
        <v>8937600</v>
      </c>
      <c r="M17" s="336">
        <f>8937600*70%</f>
        <v>6256320</v>
      </c>
      <c r="N17" s="336">
        <f>8937600*70%</f>
        <v>6256320</v>
      </c>
      <c r="O17" s="336">
        <f>8937600*70%</f>
        <v>6256320</v>
      </c>
      <c r="P17" s="336">
        <f t="shared" si="0"/>
        <v>0</v>
      </c>
    </row>
    <row r="18" spans="1:16" ht="30.95" customHeight="1">
      <c r="A18" s="284" t="s">
        <v>275</v>
      </c>
      <c r="B18" s="284" t="s">
        <v>40</v>
      </c>
      <c r="C18" s="284" t="s">
        <v>4</v>
      </c>
      <c r="D18" s="284">
        <v>0</v>
      </c>
      <c r="E18" s="284">
        <v>0</v>
      </c>
      <c r="F18" s="284">
        <v>3000000</v>
      </c>
      <c r="G18" s="284">
        <v>2234400</v>
      </c>
      <c r="H18" s="284">
        <v>2234400</v>
      </c>
      <c r="I18" s="284">
        <v>0</v>
      </c>
      <c r="J18" s="284">
        <v>0</v>
      </c>
      <c r="K18" s="284">
        <v>12000000</v>
      </c>
      <c r="L18" s="336">
        <v>13406400</v>
      </c>
      <c r="M18" s="336">
        <f>13406400*70%</f>
        <v>9384480</v>
      </c>
      <c r="N18" s="336">
        <f>13406400*70%</f>
        <v>9384480</v>
      </c>
      <c r="O18" s="336">
        <v>39384480</v>
      </c>
      <c r="P18" s="336">
        <f t="shared" si="0"/>
        <v>30000000</v>
      </c>
    </row>
    <row r="19" spans="1:16" ht="30.95" customHeight="1">
      <c r="A19" s="284" t="s">
        <v>277</v>
      </c>
      <c r="B19" s="284" t="s">
        <v>218</v>
      </c>
      <c r="C19" s="292">
        <v>0</v>
      </c>
      <c r="D19" s="292">
        <f>SUM(D15:D18)</f>
        <v>4000000</v>
      </c>
      <c r="E19" s="292">
        <f>SUM(E15:E18)</f>
        <v>8000000</v>
      </c>
      <c r="F19" s="292">
        <f>SUM(F15:F18)</f>
        <v>20000000</v>
      </c>
      <c r="G19" s="292">
        <f>SUM(G15:G18)</f>
        <v>14896000</v>
      </c>
      <c r="H19" s="292">
        <f>SUM(H15:H18)</f>
        <v>27234400</v>
      </c>
      <c r="I19" s="284">
        <v>11172000</v>
      </c>
      <c r="J19" s="284">
        <v>0</v>
      </c>
      <c r="K19" s="284">
        <v>10000000</v>
      </c>
      <c r="L19" s="336">
        <v>339844800</v>
      </c>
      <c r="M19" s="336">
        <f>339844800*70%+130200000</f>
        <v>368091360</v>
      </c>
      <c r="N19" s="336">
        <v>0</v>
      </c>
      <c r="O19" s="336">
        <v>0</v>
      </c>
      <c r="P19" s="336">
        <f t="shared" si="0"/>
        <v>0</v>
      </c>
    </row>
    <row r="20" spans="1:16" ht="30.95" customHeight="1">
      <c r="A20" s="284" t="s">
        <v>1163</v>
      </c>
      <c r="B20" s="284" t="s">
        <v>856</v>
      </c>
      <c r="C20" s="292"/>
      <c r="D20" s="292"/>
      <c r="E20" s="292"/>
      <c r="F20" s="292"/>
      <c r="G20" s="292"/>
      <c r="H20" s="292"/>
      <c r="I20" s="284"/>
      <c r="J20" s="284"/>
      <c r="K20" s="284"/>
      <c r="L20" s="336"/>
      <c r="M20" s="336">
        <v>0</v>
      </c>
      <c r="N20" s="336">
        <v>270000000</v>
      </c>
      <c r="O20" s="336">
        <v>420000000</v>
      </c>
      <c r="P20" s="336">
        <f t="shared" si="0"/>
        <v>150000000</v>
      </c>
    </row>
    <row r="21" spans="1:16" ht="30.95" customHeight="1">
      <c r="A21" s="284" t="s">
        <v>335</v>
      </c>
      <c r="B21" s="284" t="s">
        <v>510</v>
      </c>
      <c r="C21" s="292"/>
      <c r="D21" s="292"/>
      <c r="E21" s="292"/>
      <c r="F21" s="292"/>
      <c r="G21" s="292"/>
      <c r="H21" s="292"/>
      <c r="I21" s="284"/>
      <c r="J21" s="284"/>
      <c r="K21" s="284"/>
      <c r="L21" s="336">
        <v>11172000</v>
      </c>
      <c r="M21" s="336">
        <f>11172000*70%</f>
        <v>7820399.9999999991</v>
      </c>
      <c r="N21" s="336">
        <f>11172000*70%</f>
        <v>7820399.9999999991</v>
      </c>
      <c r="O21" s="336">
        <v>27820400</v>
      </c>
      <c r="P21" s="336">
        <f t="shared" si="0"/>
        <v>20000000</v>
      </c>
    </row>
    <row r="22" spans="1:16" ht="30.95" customHeight="1">
      <c r="A22" s="284" t="s">
        <v>733</v>
      </c>
      <c r="B22" s="284" t="s">
        <v>1212</v>
      </c>
      <c r="C22" s="292"/>
      <c r="D22" s="292"/>
      <c r="E22" s="292"/>
      <c r="F22" s="292"/>
      <c r="G22" s="292"/>
      <c r="H22" s="292"/>
      <c r="I22" s="284"/>
      <c r="J22" s="284"/>
      <c r="K22" s="284"/>
      <c r="L22" s="336"/>
      <c r="M22" s="336">
        <v>0</v>
      </c>
      <c r="N22" s="336">
        <v>4200000</v>
      </c>
      <c r="O22" s="336">
        <v>7981650</v>
      </c>
      <c r="P22" s="336">
        <f t="shared" si="0"/>
        <v>3781650</v>
      </c>
    </row>
    <row r="23" spans="1:16" ht="30.95" customHeight="1">
      <c r="A23" s="284"/>
      <c r="B23" s="292" t="s">
        <v>119</v>
      </c>
      <c r="C23" s="284" t="s">
        <v>4</v>
      </c>
      <c r="D23" s="284"/>
      <c r="E23" s="284"/>
      <c r="F23" s="284"/>
      <c r="G23" s="284"/>
      <c r="H23" s="284"/>
      <c r="I23" s="284">
        <v>3724000</v>
      </c>
      <c r="J23" s="292">
        <f>SUM(J10:J19)</f>
        <v>0</v>
      </c>
      <c r="K23" s="292">
        <f>SUM(K12:K19)</f>
        <v>82000000</v>
      </c>
      <c r="L23" s="361">
        <f>SUM(L12:L21)</f>
        <v>445606400</v>
      </c>
      <c r="M23" s="361">
        <f>SUM(M12:M21)</f>
        <v>442124480</v>
      </c>
      <c r="N23" s="361">
        <f>SUM(N12:N22)</f>
        <v>472664160</v>
      </c>
      <c r="O23" s="361">
        <f>SUM(O12:O22)</f>
        <v>765425410</v>
      </c>
      <c r="P23" s="361">
        <f t="shared" si="0"/>
        <v>292761250</v>
      </c>
    </row>
    <row r="24" spans="1:16" ht="30.95" customHeight="1">
      <c r="A24" s="292" t="s">
        <v>279</v>
      </c>
      <c r="B24" s="292" t="s">
        <v>278</v>
      </c>
      <c r="C24" s="284">
        <v>0</v>
      </c>
      <c r="D24" s="284">
        <v>6000000</v>
      </c>
      <c r="E24" s="284">
        <v>7200000</v>
      </c>
      <c r="F24" s="284">
        <v>10000000</v>
      </c>
      <c r="G24" s="284">
        <v>11172000</v>
      </c>
      <c r="H24" s="284">
        <v>11172000</v>
      </c>
      <c r="I24" s="292">
        <f>SUM(I18:I23)</f>
        <v>14896000</v>
      </c>
      <c r="J24" s="292"/>
      <c r="K24" s="292"/>
      <c r="L24" s="336"/>
      <c r="M24" s="336"/>
      <c r="N24" s="336"/>
      <c r="O24" s="336"/>
      <c r="P24" s="336">
        <f t="shared" si="0"/>
        <v>0</v>
      </c>
    </row>
    <row r="25" spans="1:16" ht="30.95" customHeight="1">
      <c r="A25" s="284" t="s">
        <v>280</v>
      </c>
      <c r="B25" s="284" t="s">
        <v>511</v>
      </c>
      <c r="C25" s="284"/>
      <c r="D25" s="284"/>
      <c r="E25" s="284"/>
      <c r="F25" s="284"/>
      <c r="G25" s="284"/>
      <c r="H25" s="284"/>
      <c r="I25" s="292"/>
      <c r="J25" s="292"/>
      <c r="K25" s="292"/>
      <c r="L25" s="336">
        <v>44688000</v>
      </c>
      <c r="M25" s="336">
        <f>44688000*70%</f>
        <v>31281599.999999996</v>
      </c>
      <c r="N25" s="336">
        <f>44688000*70%</f>
        <v>31281599.999999996</v>
      </c>
      <c r="O25" s="336">
        <f>44688000*70%</f>
        <v>31281599.999999996</v>
      </c>
      <c r="P25" s="336">
        <f t="shared" si="0"/>
        <v>0</v>
      </c>
    </row>
    <row r="26" spans="1:16" ht="30.95" customHeight="1">
      <c r="A26" s="284" t="s">
        <v>281</v>
      </c>
      <c r="B26" s="284" t="s">
        <v>161</v>
      </c>
      <c r="C26" s="284">
        <v>0</v>
      </c>
      <c r="D26" s="284">
        <v>17000000</v>
      </c>
      <c r="E26" s="284">
        <v>9734400</v>
      </c>
      <c r="F26" s="284">
        <v>20000000</v>
      </c>
      <c r="G26" s="284">
        <v>18620000</v>
      </c>
      <c r="H26" s="284">
        <v>30000000</v>
      </c>
      <c r="I26" s="284"/>
      <c r="J26" s="284">
        <v>0</v>
      </c>
      <c r="K26" s="284">
        <v>150000000</v>
      </c>
      <c r="L26" s="336">
        <v>187340000</v>
      </c>
      <c r="M26" s="336">
        <f>187340000*70%</f>
        <v>131137999.99999999</v>
      </c>
      <c r="N26" s="336">
        <v>211138000</v>
      </c>
      <c r="O26" s="336">
        <v>261138000</v>
      </c>
      <c r="P26" s="336">
        <f t="shared" si="0"/>
        <v>50000000</v>
      </c>
    </row>
    <row r="27" spans="1:16" ht="30.95" customHeight="1">
      <c r="A27" s="284" t="s">
        <v>282</v>
      </c>
      <c r="B27" s="284" t="s">
        <v>155</v>
      </c>
      <c r="C27" s="284">
        <v>0</v>
      </c>
      <c r="D27" s="284">
        <v>0</v>
      </c>
      <c r="E27" s="284">
        <v>14592000</v>
      </c>
      <c r="F27" s="284">
        <v>0</v>
      </c>
      <c r="G27" s="284">
        <v>0</v>
      </c>
      <c r="H27" s="284">
        <v>10000000</v>
      </c>
      <c r="I27" s="284">
        <v>0</v>
      </c>
      <c r="J27" s="284">
        <v>0</v>
      </c>
      <c r="K27" s="284">
        <v>18000000</v>
      </c>
      <c r="L27" s="336">
        <v>14896000</v>
      </c>
      <c r="M27" s="336">
        <f>14896000*70%</f>
        <v>10427200</v>
      </c>
      <c r="N27" s="336">
        <f>14896000*70%</f>
        <v>10427200</v>
      </c>
      <c r="O27" s="336">
        <f>14896000*70%</f>
        <v>10427200</v>
      </c>
      <c r="P27" s="336">
        <f t="shared" si="0"/>
        <v>0</v>
      </c>
    </row>
    <row r="28" spans="1:16" ht="30.95" customHeight="1">
      <c r="A28" s="284" t="s">
        <v>283</v>
      </c>
      <c r="B28" s="284" t="s">
        <v>156</v>
      </c>
      <c r="C28" s="284">
        <v>0</v>
      </c>
      <c r="D28" s="284">
        <v>0</v>
      </c>
      <c r="E28" s="284">
        <v>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284">
        <v>3000000</v>
      </c>
      <c r="L28" s="336">
        <v>5213600</v>
      </c>
      <c r="M28" s="336">
        <f>5213600*70%</f>
        <v>3649520</v>
      </c>
      <c r="N28" s="336">
        <f>5213600*70%</f>
        <v>3649520</v>
      </c>
      <c r="O28" s="336">
        <f>5213600*70%</f>
        <v>3649520</v>
      </c>
      <c r="P28" s="336">
        <f t="shared" si="0"/>
        <v>0</v>
      </c>
    </row>
    <row r="29" spans="1:16" ht="30.95" customHeight="1">
      <c r="A29" s="284" t="s">
        <v>298</v>
      </c>
      <c r="B29" s="284" t="s">
        <v>219</v>
      </c>
      <c r="C29" s="284">
        <v>0</v>
      </c>
      <c r="D29" s="284">
        <v>3000000</v>
      </c>
      <c r="E29" s="284">
        <v>8000000</v>
      </c>
      <c r="F29" s="284">
        <v>10000000</v>
      </c>
      <c r="G29" s="284">
        <v>7448000</v>
      </c>
      <c r="H29" s="284">
        <v>7448000</v>
      </c>
      <c r="I29" s="284">
        <v>2979200</v>
      </c>
      <c r="J29" s="284">
        <v>0</v>
      </c>
      <c r="K29" s="284">
        <v>3000000</v>
      </c>
      <c r="L29" s="336">
        <v>53472160</v>
      </c>
      <c r="M29" s="336">
        <f>53472160*70%</f>
        <v>37430512</v>
      </c>
      <c r="N29" s="336">
        <v>0</v>
      </c>
      <c r="O29" s="336">
        <v>0</v>
      </c>
      <c r="P29" s="336">
        <f t="shared" si="0"/>
        <v>0</v>
      </c>
    </row>
    <row r="30" spans="1:16" ht="30.95" customHeight="1">
      <c r="A30" s="284"/>
      <c r="B30" s="292" t="s">
        <v>119</v>
      </c>
      <c r="C30" s="284">
        <v>0</v>
      </c>
      <c r="D30" s="284">
        <v>0</v>
      </c>
      <c r="E30" s="284"/>
      <c r="F30" s="284">
        <v>0</v>
      </c>
      <c r="G30" s="284">
        <v>0</v>
      </c>
      <c r="H30" s="284">
        <v>0</v>
      </c>
      <c r="I30" s="284">
        <v>4468800</v>
      </c>
      <c r="J30" s="292">
        <v>0</v>
      </c>
      <c r="K30" s="292">
        <f>SUM(K26:K29)</f>
        <v>174000000</v>
      </c>
      <c r="L30" s="361">
        <f>SUM(L25:L29)</f>
        <v>305609760</v>
      </c>
      <c r="M30" s="361">
        <f>SUM(M25:M29)</f>
        <v>213926831.99999997</v>
      </c>
      <c r="N30" s="361">
        <f>SUM(N25:N29)</f>
        <v>256496320</v>
      </c>
      <c r="O30" s="361">
        <f>SUM(O25:O29)</f>
        <v>306496320</v>
      </c>
      <c r="P30" s="361">
        <f t="shared" si="0"/>
        <v>50000000</v>
      </c>
    </row>
    <row r="31" spans="1:16" ht="30.95" customHeight="1">
      <c r="A31" s="292" t="s">
        <v>285</v>
      </c>
      <c r="B31" s="292" t="s">
        <v>158</v>
      </c>
      <c r="C31" s="284">
        <v>0</v>
      </c>
      <c r="D31" s="284">
        <v>0</v>
      </c>
      <c r="E31" s="284"/>
      <c r="F31" s="284">
        <v>0</v>
      </c>
      <c r="G31" s="284">
        <v>0</v>
      </c>
      <c r="H31" s="284">
        <v>0</v>
      </c>
      <c r="I31" s="292">
        <f>SUM(I27:I30)</f>
        <v>7448000</v>
      </c>
      <c r="J31" s="292"/>
      <c r="K31" s="292"/>
      <c r="L31" s="336"/>
      <c r="M31" s="336"/>
      <c r="N31" s="336"/>
      <c r="O31" s="336"/>
      <c r="P31" s="336">
        <f t="shared" si="0"/>
        <v>0</v>
      </c>
    </row>
    <row r="32" spans="1:16" ht="30.95" customHeight="1">
      <c r="A32" s="284" t="s">
        <v>286</v>
      </c>
      <c r="B32" s="284" t="s">
        <v>55</v>
      </c>
      <c r="C32" s="284">
        <v>0</v>
      </c>
      <c r="D32" s="284">
        <v>0</v>
      </c>
      <c r="E32" s="284"/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15000000</v>
      </c>
      <c r="L32" s="336">
        <v>17875200</v>
      </c>
      <c r="M32" s="336">
        <f>17875200*70%</f>
        <v>12512640</v>
      </c>
      <c r="N32" s="336">
        <v>32512640</v>
      </c>
      <c r="O32" s="336">
        <v>47512640</v>
      </c>
      <c r="P32" s="336">
        <f t="shared" si="0"/>
        <v>15000000</v>
      </c>
    </row>
    <row r="33" spans="1:16" ht="30.95" customHeight="1">
      <c r="A33" s="284" t="s">
        <v>289</v>
      </c>
      <c r="B33" s="284" t="s">
        <v>290</v>
      </c>
      <c r="C33" s="284">
        <v>0</v>
      </c>
      <c r="D33" s="284">
        <v>0</v>
      </c>
      <c r="E33" s="284">
        <v>28000000</v>
      </c>
      <c r="F33" s="284">
        <v>40000000</v>
      </c>
      <c r="G33" s="284">
        <v>37240000</v>
      </c>
      <c r="H33" s="284">
        <v>75000000</v>
      </c>
      <c r="I33" s="284">
        <v>0</v>
      </c>
      <c r="J33" s="284">
        <v>0</v>
      </c>
      <c r="K33" s="284">
        <v>0</v>
      </c>
      <c r="L33" s="336">
        <v>2234400</v>
      </c>
      <c r="M33" s="336">
        <v>2234400</v>
      </c>
      <c r="N33" s="336">
        <v>2234400</v>
      </c>
      <c r="O33" s="336">
        <v>2234400</v>
      </c>
      <c r="P33" s="336">
        <f t="shared" si="0"/>
        <v>0</v>
      </c>
    </row>
    <row r="34" spans="1:16" ht="30.95" customHeight="1">
      <c r="A34" s="284"/>
      <c r="B34" s="292" t="s">
        <v>119</v>
      </c>
      <c r="C34" s="284"/>
      <c r="D34" s="284"/>
      <c r="E34" s="284"/>
      <c r="F34" s="284">
        <v>0</v>
      </c>
      <c r="G34" s="284">
        <v>0</v>
      </c>
      <c r="H34" s="284">
        <v>0</v>
      </c>
      <c r="I34" s="292">
        <f>SUM(I32:I33)</f>
        <v>0</v>
      </c>
      <c r="J34" s="292">
        <v>0</v>
      </c>
      <c r="K34" s="292">
        <f>SUM(K32:K33)</f>
        <v>15000000</v>
      </c>
      <c r="L34" s="361">
        <f>SUM(L32:L33)</f>
        <v>20109600</v>
      </c>
      <c r="M34" s="361">
        <f>SUM(M32:M33)</f>
        <v>14747040</v>
      </c>
      <c r="N34" s="361">
        <f>SUM(N32:N33)</f>
        <v>34747040</v>
      </c>
      <c r="O34" s="361">
        <f>SUM(O32:O33)</f>
        <v>49747040</v>
      </c>
      <c r="P34" s="361">
        <f t="shared" si="0"/>
        <v>15000000</v>
      </c>
    </row>
    <row r="35" spans="1:16" ht="30.95" customHeight="1" thickBot="1">
      <c r="A35" s="292" t="s">
        <v>293</v>
      </c>
      <c r="B35" s="292" t="s">
        <v>292</v>
      </c>
      <c r="C35" s="405">
        <v>0</v>
      </c>
      <c r="D35" s="405">
        <f>SUM(D24:D33)</f>
        <v>26000000</v>
      </c>
      <c r="E35" s="405">
        <f>SUM(E24:E33)</f>
        <v>67526400</v>
      </c>
      <c r="F35" s="405">
        <f>SUM(F24:F34)</f>
        <v>80000000</v>
      </c>
      <c r="G35" s="405">
        <f>SUM(G24:G34)</f>
        <v>74480000</v>
      </c>
      <c r="H35" s="405">
        <f>SUM(H24:H34)</f>
        <v>133620000</v>
      </c>
      <c r="I35" s="405" t="e">
        <f>I34+I31+I24+I15+#REF!</f>
        <v>#REF!</v>
      </c>
      <c r="J35" s="394"/>
      <c r="K35" s="394"/>
      <c r="L35" s="336"/>
      <c r="M35" s="336"/>
      <c r="N35" s="336"/>
      <c r="O35" s="336"/>
      <c r="P35" s="336">
        <f t="shared" si="0"/>
        <v>0</v>
      </c>
    </row>
    <row r="36" spans="1:16" ht="30.95" customHeight="1">
      <c r="A36" s="292" t="s">
        <v>294</v>
      </c>
      <c r="B36" s="292" t="s">
        <v>291</v>
      </c>
      <c r="C36" s="666"/>
      <c r="D36" s="666">
        <v>0</v>
      </c>
      <c r="E36" s="666"/>
      <c r="F36" s="666"/>
      <c r="G36" s="666"/>
      <c r="H36" s="666"/>
      <c r="I36" s="667"/>
      <c r="J36" s="358"/>
      <c r="K36" s="358"/>
      <c r="L36" s="336"/>
      <c r="M36" s="336"/>
      <c r="N36" s="336"/>
      <c r="O36" s="336"/>
      <c r="P36" s="336">
        <f t="shared" si="0"/>
        <v>0</v>
      </c>
    </row>
    <row r="37" spans="1:16" ht="30.95" customHeight="1">
      <c r="A37" s="389" t="s">
        <v>567</v>
      </c>
      <c r="B37" s="389" t="s">
        <v>528</v>
      </c>
      <c r="C37" s="424"/>
      <c r="D37" s="424"/>
      <c r="E37" s="424"/>
      <c r="F37" s="424"/>
      <c r="G37" s="424"/>
      <c r="H37" s="424"/>
      <c r="I37" s="424"/>
      <c r="J37" s="674"/>
      <c r="K37" s="674"/>
      <c r="L37" s="392">
        <v>0</v>
      </c>
      <c r="M37" s="392">
        <f>108000000*70%</f>
        <v>75600000</v>
      </c>
      <c r="N37" s="392">
        <v>0</v>
      </c>
      <c r="O37" s="392">
        <v>0</v>
      </c>
      <c r="P37" s="392">
        <f t="shared" si="0"/>
        <v>0</v>
      </c>
    </row>
    <row r="38" spans="1:16" ht="30.95" customHeight="1">
      <c r="A38" s="389" t="s">
        <v>295</v>
      </c>
      <c r="B38" s="389" t="s">
        <v>176</v>
      </c>
      <c r="C38" s="379"/>
      <c r="D38" s="379"/>
      <c r="E38" s="379"/>
      <c r="F38" s="379"/>
      <c r="G38" s="379"/>
      <c r="H38" s="379"/>
      <c r="I38" s="379"/>
      <c r="J38" s="389">
        <v>0</v>
      </c>
      <c r="K38" s="675">
        <v>2000000</v>
      </c>
      <c r="L38" s="392">
        <v>2979200</v>
      </c>
      <c r="M38" s="392">
        <f>2979200*70%</f>
        <v>2085439.9999999998</v>
      </c>
      <c r="N38" s="392">
        <v>0</v>
      </c>
      <c r="O38" s="392">
        <v>0</v>
      </c>
      <c r="P38" s="392">
        <f t="shared" si="0"/>
        <v>0</v>
      </c>
    </row>
    <row r="39" spans="1:16" ht="30.95" customHeight="1">
      <c r="A39" s="284" t="s">
        <v>296</v>
      </c>
      <c r="B39" s="284" t="s">
        <v>177</v>
      </c>
      <c r="C39" s="335"/>
      <c r="D39" s="335"/>
      <c r="E39" s="335"/>
      <c r="F39" s="335"/>
      <c r="G39" s="335"/>
      <c r="H39" s="335"/>
      <c r="I39" s="335"/>
      <c r="J39" s="284">
        <v>0</v>
      </c>
      <c r="K39" s="360">
        <v>3000000</v>
      </c>
      <c r="L39" s="336">
        <v>0</v>
      </c>
      <c r="M39" s="336">
        <v>0</v>
      </c>
      <c r="N39" s="336">
        <v>0</v>
      </c>
      <c r="O39" s="336">
        <v>0</v>
      </c>
      <c r="P39" s="336">
        <f t="shared" si="0"/>
        <v>0</v>
      </c>
    </row>
    <row r="40" spans="1:16" ht="30.95" customHeight="1">
      <c r="A40" s="284"/>
      <c r="B40" s="292" t="s">
        <v>119</v>
      </c>
      <c r="C40" s="335"/>
      <c r="D40" s="335"/>
      <c r="E40" s="335"/>
      <c r="F40" s="335"/>
      <c r="G40" s="335"/>
      <c r="H40" s="335"/>
      <c r="I40" s="335"/>
      <c r="J40" s="292">
        <v>0</v>
      </c>
      <c r="K40" s="383">
        <f>SUM(K38:K39)</f>
        <v>5000000</v>
      </c>
      <c r="L40" s="361">
        <f>SUM(L38:L39)</f>
        <v>2979200</v>
      </c>
      <c r="M40" s="361">
        <f>SUM(M37:M39)</f>
        <v>77685440</v>
      </c>
      <c r="N40" s="361">
        <f>SUM(N37:N39)</f>
        <v>0</v>
      </c>
      <c r="O40" s="361">
        <f>SUM(O37:O39)</f>
        <v>0</v>
      </c>
      <c r="P40" s="361">
        <f t="shared" si="0"/>
        <v>0</v>
      </c>
    </row>
    <row r="41" spans="1:16" ht="30.95" customHeight="1">
      <c r="A41" s="284"/>
      <c r="B41" s="292" t="s">
        <v>42</v>
      </c>
      <c r="C41" s="335"/>
      <c r="D41" s="335"/>
      <c r="E41" s="335"/>
      <c r="F41" s="335"/>
      <c r="G41" s="335"/>
      <c r="H41" s="335"/>
      <c r="I41" s="335"/>
      <c r="J41" s="292">
        <v>0</v>
      </c>
      <c r="K41" s="383">
        <f>K40+K34+K30+K23+K9</f>
        <v>348271200</v>
      </c>
      <c r="L41" s="361">
        <f>L40+L34+L30+L23+L9</f>
        <v>1641919631</v>
      </c>
      <c r="M41" s="361">
        <f>M40+M34+M30+M23+M9</f>
        <v>2286586192</v>
      </c>
      <c r="N41" s="361">
        <f>N40+N34+N30+N23+N9</f>
        <v>2605665120</v>
      </c>
      <c r="O41" s="361">
        <f>O40+O34+O30+O23+O9</f>
        <v>2723481570</v>
      </c>
      <c r="P41" s="361">
        <f t="shared" si="0"/>
        <v>117816450</v>
      </c>
    </row>
    <row r="43" spans="1:16">
      <c r="L43" s="537"/>
    </row>
  </sheetData>
  <pageMargins left="0.7" right="0.26" top="0.81" bottom="0.47" header="0.34" footer="0.17"/>
  <pageSetup scale="55" orientation="portrait" r:id="rId1"/>
  <headerFooter>
    <oddHeader>&amp;C&amp;"Times New Roman,Bold"&amp;22Wasaaradda Ciyaaraha Dhalinyaradda &amp; Dalxiiska.</oddHeader>
    <oddFooter>&amp;R&amp;"Times New Roman,Bold"&amp;14 43</oddFooter>
  </headerFooter>
  <ignoredErrors>
    <ignoredError sqref="L40" formulaRange="1"/>
  </ignoredErrors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8"/>
  <dimension ref="A1:Q47"/>
  <sheetViews>
    <sheetView view="pageBreakPreview" zoomScale="60" workbookViewId="0">
      <selection activeCell="P10" sqref="P10"/>
    </sheetView>
  </sheetViews>
  <sheetFormatPr defaultRowHeight="20.25"/>
  <cols>
    <col min="1" max="1" width="18.1640625" style="444" bestFit="1" customWidth="1"/>
    <col min="2" max="2" width="73.83203125" style="444" customWidth="1"/>
    <col min="3" max="3" width="19.83203125" style="444" hidden="1" customWidth="1"/>
    <col min="4" max="4" width="0.33203125" style="444" hidden="1" customWidth="1"/>
    <col min="5" max="5" width="21" style="444" hidden="1" customWidth="1"/>
    <col min="6" max="6" width="24" style="444" hidden="1" customWidth="1"/>
    <col min="7" max="7" width="23.5" style="444" hidden="1" customWidth="1"/>
    <col min="8" max="8" width="23" style="444" hidden="1" customWidth="1"/>
    <col min="9" max="9" width="21.5" style="444" hidden="1" customWidth="1"/>
    <col min="10" max="10" width="24" style="444" hidden="1" customWidth="1"/>
    <col min="11" max="11" width="23" style="444" hidden="1" customWidth="1"/>
    <col min="12" max="12" width="21.5" style="444" hidden="1" customWidth="1"/>
    <col min="13" max="13" width="25.5" style="444" hidden="1" customWidth="1"/>
    <col min="14" max="14" width="23.5" style="444" hidden="1" customWidth="1"/>
    <col min="15" max="15" width="29.83203125" style="444" bestFit="1" customWidth="1"/>
    <col min="16" max="16" width="27.6640625" style="444" bestFit="1" customWidth="1"/>
    <col min="17" max="17" width="31" style="444" bestFit="1" customWidth="1"/>
    <col min="18" max="18" width="7.1640625" style="444" bestFit="1" customWidth="1"/>
    <col min="19" max="19" width="14.5" style="444" customWidth="1"/>
    <col min="20" max="20" width="17.33203125" style="444" customWidth="1"/>
    <col min="21" max="16384" width="9.33203125" style="444"/>
  </cols>
  <sheetData>
    <row r="1" spans="1:17" ht="26.1" customHeight="1">
      <c r="A1" s="373" t="s">
        <v>44</v>
      </c>
      <c r="B1" s="443" t="s">
        <v>1098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ht="26.1" customHeight="1">
      <c r="A2" s="373" t="s">
        <v>28</v>
      </c>
      <c r="B2" s="443" t="s">
        <v>1</v>
      </c>
      <c r="C2" s="335" t="s">
        <v>49</v>
      </c>
      <c r="D2" s="446" t="s">
        <v>2</v>
      </c>
      <c r="E2" s="446" t="s">
        <v>48</v>
      </c>
      <c r="F2" s="446" t="s">
        <v>52</v>
      </c>
      <c r="G2" s="378" t="s">
        <v>62</v>
      </c>
      <c r="H2" s="378" t="s">
        <v>3</v>
      </c>
      <c r="I2" s="378" t="s">
        <v>69</v>
      </c>
      <c r="J2" s="378" t="s">
        <v>130</v>
      </c>
      <c r="K2" s="378" t="s">
        <v>137</v>
      </c>
      <c r="L2" s="378" t="s">
        <v>143</v>
      </c>
      <c r="M2" s="378" t="s">
        <v>180</v>
      </c>
      <c r="N2" s="378" t="s">
        <v>297</v>
      </c>
      <c r="O2" s="378" t="s">
        <v>643</v>
      </c>
      <c r="P2" s="378" t="s">
        <v>1111</v>
      </c>
      <c r="Q2" s="378" t="s">
        <v>63</v>
      </c>
    </row>
    <row r="3" spans="1:17" ht="26.1" customHeight="1">
      <c r="A3" s="292" t="s">
        <v>248</v>
      </c>
      <c r="B3" s="292" t="s">
        <v>165</v>
      </c>
      <c r="C3" s="373"/>
      <c r="D3" s="373"/>
      <c r="E3" s="373" t="s">
        <v>4</v>
      </c>
      <c r="F3" s="373" t="s">
        <v>4</v>
      </c>
      <c r="G3" s="373"/>
      <c r="H3" s="335"/>
      <c r="I3" s="373"/>
      <c r="J3" s="373"/>
      <c r="K3" s="373"/>
      <c r="L3" s="373"/>
      <c r="M3" s="373"/>
      <c r="N3" s="373"/>
      <c r="O3" s="373"/>
      <c r="P3" s="373"/>
      <c r="Q3" s="373"/>
    </row>
    <row r="4" spans="1:17" ht="26.1" customHeight="1">
      <c r="A4" s="292" t="s">
        <v>249</v>
      </c>
      <c r="B4" s="292" t="s">
        <v>250</v>
      </c>
      <c r="C4" s="373"/>
      <c r="D4" s="373"/>
      <c r="E4" s="373"/>
      <c r="F4" s="373"/>
      <c r="G4" s="373"/>
      <c r="H4" s="335"/>
      <c r="I4" s="373"/>
      <c r="J4" s="373"/>
      <c r="K4" s="373"/>
      <c r="L4" s="373"/>
      <c r="M4" s="373"/>
      <c r="N4" s="373"/>
      <c r="O4" s="373"/>
      <c r="P4" s="373"/>
      <c r="Q4" s="373"/>
    </row>
    <row r="5" spans="1:17" ht="26.1" customHeight="1">
      <c r="A5" s="284" t="s">
        <v>247</v>
      </c>
      <c r="B5" s="335" t="s">
        <v>32</v>
      </c>
      <c r="C5" s="284">
        <v>80133480</v>
      </c>
      <c r="D5" s="284">
        <v>0</v>
      </c>
      <c r="E5" s="284">
        <v>21000000</v>
      </c>
      <c r="F5" s="284">
        <v>0</v>
      </c>
      <c r="G5" s="284">
        <v>0</v>
      </c>
      <c r="H5" s="336">
        <f>G5-F5</f>
        <v>0</v>
      </c>
      <c r="I5" s="284">
        <v>0</v>
      </c>
      <c r="J5" s="284">
        <v>0</v>
      </c>
      <c r="K5" s="284">
        <v>0</v>
      </c>
      <c r="L5" s="284">
        <v>0</v>
      </c>
      <c r="M5" s="284">
        <v>0</v>
      </c>
      <c r="N5" s="284">
        <v>0</v>
      </c>
      <c r="O5" s="284">
        <v>158433600</v>
      </c>
      <c r="P5" s="284">
        <v>168604800</v>
      </c>
      <c r="Q5" s="284">
        <f>P5-O5</f>
        <v>10171200</v>
      </c>
    </row>
    <row r="6" spans="1:17" ht="26.1" customHeight="1">
      <c r="A6" s="284" t="s">
        <v>251</v>
      </c>
      <c r="B6" s="335" t="s">
        <v>33</v>
      </c>
      <c r="C6" s="284">
        <v>7860520</v>
      </c>
      <c r="D6" s="284">
        <v>0</v>
      </c>
      <c r="E6" s="284">
        <v>0</v>
      </c>
      <c r="F6" s="284">
        <v>260025000</v>
      </c>
      <c r="G6" s="284">
        <v>260025000</v>
      </c>
      <c r="H6" s="336">
        <f t="shared" ref="H6:H39" si="0">G6-F6</f>
        <v>0</v>
      </c>
      <c r="I6" s="284">
        <v>260025000</v>
      </c>
      <c r="J6" s="284">
        <v>260025000</v>
      </c>
      <c r="K6" s="284">
        <f>260025000+9000000</f>
        <v>269025000</v>
      </c>
      <c r="L6" s="284">
        <v>269025000</v>
      </c>
      <c r="M6" s="284">
        <v>1126800000</v>
      </c>
      <c r="N6" s="284">
        <f>1126800000</f>
        <v>1126800000</v>
      </c>
      <c r="O6" s="284">
        <v>884533474</v>
      </c>
      <c r="P6" s="284">
        <v>884533474</v>
      </c>
      <c r="Q6" s="284">
        <f t="shared" ref="Q6:Q43" si="1">P6-O6</f>
        <v>0</v>
      </c>
    </row>
    <row r="7" spans="1:17" ht="26.1" customHeight="1">
      <c r="A7" s="284" t="s">
        <v>252</v>
      </c>
      <c r="B7" s="335" t="s">
        <v>142</v>
      </c>
      <c r="C7" s="284">
        <v>9300000</v>
      </c>
      <c r="D7" s="284">
        <v>0</v>
      </c>
      <c r="E7" s="284">
        <v>191625000</v>
      </c>
      <c r="F7" s="284">
        <v>0</v>
      </c>
      <c r="G7" s="284">
        <f>121200000+3600000</f>
        <v>124800000</v>
      </c>
      <c r="H7" s="336">
        <f t="shared" si="0"/>
        <v>124800000</v>
      </c>
      <c r="I7" s="284">
        <v>124800000</v>
      </c>
      <c r="J7" s="284">
        <v>124800000</v>
      </c>
      <c r="K7" s="284">
        <v>124800000</v>
      </c>
      <c r="L7" s="284">
        <v>124800000</v>
      </c>
      <c r="M7" s="284">
        <v>0</v>
      </c>
      <c r="N7" s="284">
        <v>10800000</v>
      </c>
      <c r="O7" s="284">
        <v>46800000</v>
      </c>
      <c r="P7" s="284">
        <v>82800000</v>
      </c>
      <c r="Q7" s="284">
        <f t="shared" si="1"/>
        <v>36000000</v>
      </c>
    </row>
    <row r="8" spans="1:17" ht="26.1" customHeight="1">
      <c r="A8" s="284"/>
      <c r="B8" s="373" t="s">
        <v>5</v>
      </c>
      <c r="C8" s="284">
        <v>14211000</v>
      </c>
      <c r="D8" s="284">
        <v>0</v>
      </c>
      <c r="E8" s="284">
        <v>50680000</v>
      </c>
      <c r="F8" s="284">
        <v>50680000</v>
      </c>
      <c r="G8" s="284">
        <v>49344000</v>
      </c>
      <c r="H8" s="336">
        <f t="shared" si="0"/>
        <v>-1336000</v>
      </c>
      <c r="I8" s="284">
        <v>81000000</v>
      </c>
      <c r="J8" s="284">
        <v>81000000</v>
      </c>
      <c r="K8" s="284">
        <v>100000000</v>
      </c>
      <c r="L8" s="292">
        <f>SUM(L5:L7)</f>
        <v>393825000</v>
      </c>
      <c r="M8" s="292">
        <f>SUM(M5:M7)</f>
        <v>1126800000</v>
      </c>
      <c r="N8" s="292">
        <f>SUM(N5:N7)</f>
        <v>1137600000</v>
      </c>
      <c r="O8" s="292">
        <f>SUM(O5:O7)</f>
        <v>1089767074</v>
      </c>
      <c r="P8" s="292">
        <f>SUM(P5:P7)</f>
        <v>1135938274</v>
      </c>
      <c r="Q8" s="292">
        <f t="shared" si="1"/>
        <v>46171200</v>
      </c>
    </row>
    <row r="9" spans="1:17" ht="26.1" customHeight="1">
      <c r="A9" s="292" t="s">
        <v>262</v>
      </c>
      <c r="B9" s="292" t="s">
        <v>263</v>
      </c>
      <c r="C9" s="284">
        <v>10500000</v>
      </c>
      <c r="D9" s="284"/>
      <c r="E9" s="284">
        <v>14690000</v>
      </c>
      <c r="F9" s="284">
        <v>14690000</v>
      </c>
      <c r="G9" s="284">
        <v>20000000</v>
      </c>
      <c r="H9" s="336">
        <f t="shared" si="0"/>
        <v>5310000</v>
      </c>
      <c r="I9" s="284">
        <v>20000000</v>
      </c>
      <c r="J9" s="284">
        <v>14896000</v>
      </c>
      <c r="K9" s="284">
        <v>20000000</v>
      </c>
      <c r="L9" s="284"/>
      <c r="M9" s="284"/>
      <c r="N9" s="284"/>
      <c r="O9" s="284"/>
      <c r="P9" s="284"/>
      <c r="Q9" s="284">
        <f t="shared" si="1"/>
        <v>0</v>
      </c>
    </row>
    <row r="10" spans="1:17" ht="26.1" customHeight="1">
      <c r="A10" s="292" t="s">
        <v>265</v>
      </c>
      <c r="B10" s="292" t="s">
        <v>264</v>
      </c>
      <c r="C10" s="284"/>
      <c r="D10" s="284"/>
      <c r="E10" s="284"/>
      <c r="F10" s="284"/>
      <c r="G10" s="284"/>
      <c r="H10" s="336"/>
      <c r="I10" s="284"/>
      <c r="J10" s="284"/>
      <c r="K10" s="284"/>
      <c r="L10" s="284"/>
      <c r="M10" s="284"/>
      <c r="N10" s="284"/>
      <c r="O10" s="284"/>
      <c r="P10" s="284"/>
      <c r="Q10" s="284">
        <f t="shared" si="1"/>
        <v>0</v>
      </c>
    </row>
    <row r="11" spans="1:17" ht="26.1" customHeight="1">
      <c r="A11" s="284" t="s">
        <v>266</v>
      </c>
      <c r="B11" s="335" t="s">
        <v>38</v>
      </c>
      <c r="C11" s="284">
        <v>4700000</v>
      </c>
      <c r="D11" s="284"/>
      <c r="E11" s="284">
        <v>0</v>
      </c>
      <c r="F11" s="284">
        <v>0</v>
      </c>
      <c r="G11" s="284">
        <v>7000000</v>
      </c>
      <c r="H11" s="336">
        <f t="shared" si="0"/>
        <v>7000000</v>
      </c>
      <c r="I11" s="284">
        <v>10000000</v>
      </c>
      <c r="J11" s="284">
        <v>7448000</v>
      </c>
      <c r="K11" s="284">
        <v>8500000</v>
      </c>
      <c r="L11" s="284">
        <v>35750400</v>
      </c>
      <c r="M11" s="284">
        <v>35750400</v>
      </c>
      <c r="N11" s="284">
        <f>35750400*70%</f>
        <v>25025280</v>
      </c>
      <c r="O11" s="284">
        <f>35750400*70%</f>
        <v>25025280</v>
      </c>
      <c r="P11" s="284">
        <f>35750400*70%</f>
        <v>25025280</v>
      </c>
      <c r="Q11" s="284">
        <f t="shared" si="1"/>
        <v>0</v>
      </c>
    </row>
    <row r="12" spans="1:17" ht="26.1" customHeight="1">
      <c r="A12" s="284" t="s">
        <v>267</v>
      </c>
      <c r="B12" s="335" t="s">
        <v>196</v>
      </c>
      <c r="C12" s="284"/>
      <c r="D12" s="284"/>
      <c r="E12" s="284"/>
      <c r="F12" s="284"/>
      <c r="G12" s="284">
        <v>0</v>
      </c>
      <c r="H12" s="336"/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  <c r="Q12" s="284">
        <f t="shared" si="1"/>
        <v>0</v>
      </c>
    </row>
    <row r="13" spans="1:17" s="676" customFormat="1" ht="26.1" customHeight="1">
      <c r="A13" s="284" t="s">
        <v>268</v>
      </c>
      <c r="B13" s="335" t="s">
        <v>197</v>
      </c>
      <c r="C13" s="271">
        <f>SUM(C8:C11)</f>
        <v>29411000</v>
      </c>
      <c r="D13" s="271">
        <v>0</v>
      </c>
      <c r="E13" s="271">
        <f>SUM(E8:E11)</f>
        <v>65370000</v>
      </c>
      <c r="F13" s="271">
        <f>SUM(F8:F11)</f>
        <v>65370000</v>
      </c>
      <c r="G13" s="271">
        <f>SUM(G8:G12)</f>
        <v>76344000</v>
      </c>
      <c r="H13" s="336">
        <f t="shared" si="0"/>
        <v>10974000</v>
      </c>
      <c r="I13" s="271">
        <f>SUM(I8:I12)</f>
        <v>111000000</v>
      </c>
      <c r="J13" s="271">
        <f>SUM(J8:J12)</f>
        <v>103344000</v>
      </c>
      <c r="K13" s="271">
        <f>SUM(K8:K12)</f>
        <v>128500000</v>
      </c>
      <c r="L13" s="271">
        <v>0</v>
      </c>
      <c r="M13" s="400">
        <v>0</v>
      </c>
      <c r="N13" s="400">
        <v>0</v>
      </c>
      <c r="O13" s="400">
        <v>0</v>
      </c>
      <c r="P13" s="400">
        <v>0</v>
      </c>
      <c r="Q13" s="400">
        <f t="shared" si="1"/>
        <v>0</v>
      </c>
    </row>
    <row r="14" spans="1:17" ht="26.1" customHeight="1">
      <c r="A14" s="284" t="s">
        <v>269</v>
      </c>
      <c r="B14" s="335" t="s">
        <v>39</v>
      </c>
      <c r="C14" s="284"/>
      <c r="D14" s="284">
        <v>0</v>
      </c>
      <c r="E14" s="284">
        <f>D14-C14</f>
        <v>0</v>
      </c>
      <c r="F14" s="284">
        <f>E14-D14</f>
        <v>0</v>
      </c>
      <c r="G14" s="284"/>
      <c r="H14" s="336">
        <f t="shared" si="0"/>
        <v>0</v>
      </c>
      <c r="I14" s="284"/>
      <c r="J14" s="284"/>
      <c r="K14" s="284"/>
      <c r="L14" s="284">
        <v>14896000</v>
      </c>
      <c r="M14" s="284">
        <f>14896000+40462017</f>
        <v>55358017</v>
      </c>
      <c r="N14" s="284">
        <f>M14*70%</f>
        <v>38750611.899999999</v>
      </c>
      <c r="O14" s="284">
        <f>N14</f>
        <v>38750611.899999999</v>
      </c>
      <c r="P14" s="284">
        <f>O14</f>
        <v>38750611.899999999</v>
      </c>
      <c r="Q14" s="284">
        <f t="shared" si="1"/>
        <v>0</v>
      </c>
    </row>
    <row r="15" spans="1:17" ht="26.1" customHeight="1">
      <c r="A15" s="284" t="s">
        <v>270</v>
      </c>
      <c r="B15" s="335" t="s">
        <v>212</v>
      </c>
      <c r="C15" s="284"/>
      <c r="D15" s="284"/>
      <c r="E15" s="284"/>
      <c r="F15" s="284"/>
      <c r="G15" s="284"/>
      <c r="H15" s="336"/>
      <c r="I15" s="284"/>
      <c r="J15" s="284"/>
      <c r="K15" s="284"/>
      <c r="L15" s="284">
        <v>0</v>
      </c>
      <c r="M15" s="284">
        <v>0</v>
      </c>
      <c r="N15" s="284">
        <v>0</v>
      </c>
      <c r="O15" s="284">
        <v>0</v>
      </c>
      <c r="P15" s="284">
        <v>0</v>
      </c>
      <c r="Q15" s="284">
        <f t="shared" si="1"/>
        <v>0</v>
      </c>
    </row>
    <row r="16" spans="1:17" ht="26.1" customHeight="1">
      <c r="A16" s="284" t="s">
        <v>271</v>
      </c>
      <c r="B16" s="335" t="s">
        <v>198</v>
      </c>
      <c r="C16" s="335"/>
      <c r="D16" s="284">
        <v>0</v>
      </c>
      <c r="E16" s="284">
        <v>75000000</v>
      </c>
      <c r="F16" s="284">
        <v>0</v>
      </c>
      <c r="G16" s="284">
        <v>0</v>
      </c>
      <c r="H16" s="336">
        <f t="shared" si="0"/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  <c r="Q16" s="284">
        <f t="shared" si="1"/>
        <v>0</v>
      </c>
    </row>
    <row r="17" spans="1:17" ht="26.1" customHeight="1">
      <c r="A17" s="284" t="s">
        <v>438</v>
      </c>
      <c r="B17" s="335" t="s">
        <v>199</v>
      </c>
      <c r="C17" s="284"/>
      <c r="D17" s="284">
        <v>0</v>
      </c>
      <c r="E17" s="284">
        <v>0</v>
      </c>
      <c r="F17" s="284">
        <v>0</v>
      </c>
      <c r="G17" s="284">
        <v>0</v>
      </c>
      <c r="H17" s="336">
        <f t="shared" si="0"/>
        <v>0</v>
      </c>
      <c r="I17" s="284">
        <v>0</v>
      </c>
      <c r="J17" s="284">
        <v>0</v>
      </c>
      <c r="K17" s="284">
        <v>0</v>
      </c>
      <c r="L17" s="284">
        <v>7448000</v>
      </c>
      <c r="M17" s="284">
        <f>7448000+1772576</f>
        <v>9220576</v>
      </c>
      <c r="N17" s="284">
        <f>M17*70%</f>
        <v>6454403.1999999993</v>
      </c>
      <c r="O17" s="284">
        <f>N17*70%</f>
        <v>4518082.2399999993</v>
      </c>
      <c r="P17" s="284">
        <f>O17</f>
        <v>4518082.2399999993</v>
      </c>
      <c r="Q17" s="284">
        <f t="shared" si="1"/>
        <v>0</v>
      </c>
    </row>
    <row r="18" spans="1:17" ht="26.1" customHeight="1">
      <c r="A18" s="284" t="s">
        <v>273</v>
      </c>
      <c r="B18" s="335" t="s">
        <v>200</v>
      </c>
      <c r="C18" s="284"/>
      <c r="D18" s="284">
        <v>0</v>
      </c>
      <c r="E18" s="284">
        <v>80500000</v>
      </c>
      <c r="F18" s="284">
        <v>0</v>
      </c>
      <c r="G18" s="284">
        <v>87000000</v>
      </c>
      <c r="H18" s="336">
        <f t="shared" si="0"/>
        <v>87000000</v>
      </c>
      <c r="I18" s="284">
        <v>0</v>
      </c>
      <c r="J18" s="284">
        <v>0</v>
      </c>
      <c r="K18" s="284">
        <v>0</v>
      </c>
      <c r="L18" s="284">
        <v>0</v>
      </c>
      <c r="M18" s="284">
        <v>122640000</v>
      </c>
      <c r="N18" s="284">
        <f>122640000*70%</f>
        <v>85848000</v>
      </c>
      <c r="O18" s="284">
        <f>N18</f>
        <v>85848000</v>
      </c>
      <c r="P18" s="284">
        <f>O18</f>
        <v>85848000</v>
      </c>
      <c r="Q18" s="284">
        <f t="shared" si="1"/>
        <v>0</v>
      </c>
    </row>
    <row r="19" spans="1:17" ht="26.1" customHeight="1">
      <c r="A19" s="284" t="s">
        <v>274</v>
      </c>
      <c r="B19" s="335" t="s">
        <v>215</v>
      </c>
      <c r="C19" s="284">
        <v>0</v>
      </c>
      <c r="D19" s="284">
        <v>0</v>
      </c>
      <c r="E19" s="284">
        <v>0</v>
      </c>
      <c r="F19" s="284">
        <v>0</v>
      </c>
      <c r="G19" s="284">
        <v>5000000</v>
      </c>
      <c r="H19" s="336">
        <f t="shared" si="0"/>
        <v>5000000</v>
      </c>
      <c r="I19" s="284">
        <v>5000000</v>
      </c>
      <c r="J19" s="284">
        <v>3724000</v>
      </c>
      <c r="K19" s="284">
        <v>5000000</v>
      </c>
      <c r="L19" s="284">
        <v>7448000</v>
      </c>
      <c r="M19" s="284">
        <f>7448000+2552000</f>
        <v>10000000</v>
      </c>
      <c r="N19" s="284">
        <f>10000000*70%</f>
        <v>7000000</v>
      </c>
      <c r="O19" s="284">
        <f>10000000*70%</f>
        <v>7000000</v>
      </c>
      <c r="P19" s="284">
        <f>10000000*70%</f>
        <v>7000000</v>
      </c>
      <c r="Q19" s="284">
        <f t="shared" si="1"/>
        <v>0</v>
      </c>
    </row>
    <row r="20" spans="1:17" ht="26.1" customHeight="1">
      <c r="A20" s="284" t="s">
        <v>275</v>
      </c>
      <c r="B20" s="335" t="s">
        <v>40</v>
      </c>
      <c r="C20" s="284">
        <v>3750000</v>
      </c>
      <c r="D20" s="284">
        <v>0</v>
      </c>
      <c r="E20" s="284">
        <v>5000000</v>
      </c>
      <c r="F20" s="284">
        <v>5000000</v>
      </c>
      <c r="G20" s="284">
        <v>15000000</v>
      </c>
      <c r="H20" s="336">
        <f t="shared" si="0"/>
        <v>10000000</v>
      </c>
      <c r="I20" s="284">
        <v>15000000</v>
      </c>
      <c r="J20" s="284">
        <v>18620000</v>
      </c>
      <c r="K20" s="284">
        <v>30000000</v>
      </c>
      <c r="L20" s="284">
        <v>9682400</v>
      </c>
      <c r="M20" s="284">
        <f>7448000+9682400</f>
        <v>17130400</v>
      </c>
      <c r="N20" s="284">
        <f>M20*70%</f>
        <v>11991280</v>
      </c>
      <c r="O20" s="284">
        <v>51991280</v>
      </c>
      <c r="P20" s="284">
        <v>51991280</v>
      </c>
      <c r="Q20" s="284">
        <f t="shared" si="1"/>
        <v>0</v>
      </c>
    </row>
    <row r="21" spans="1:17" ht="26.1" customHeight="1">
      <c r="A21" s="284" t="s">
        <v>277</v>
      </c>
      <c r="B21" s="335" t="s">
        <v>41</v>
      </c>
      <c r="C21" s="284"/>
      <c r="D21" s="284">
        <v>0</v>
      </c>
      <c r="E21" s="284">
        <f>D21-C21</f>
        <v>0</v>
      </c>
      <c r="F21" s="284">
        <f>E21-D21</f>
        <v>0</v>
      </c>
      <c r="G21" s="284"/>
      <c r="H21" s="336">
        <f t="shared" si="0"/>
        <v>0</v>
      </c>
      <c r="I21" s="284"/>
      <c r="J21" s="284"/>
      <c r="K21" s="284"/>
      <c r="L21" s="284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f t="shared" si="1"/>
        <v>0</v>
      </c>
    </row>
    <row r="22" spans="1:17" ht="26.1" customHeight="1">
      <c r="A22" s="284" t="s">
        <v>1166</v>
      </c>
      <c r="B22" s="335" t="s">
        <v>718</v>
      </c>
      <c r="C22" s="284"/>
      <c r="D22" s="284"/>
      <c r="E22" s="284"/>
      <c r="F22" s="284"/>
      <c r="G22" s="284"/>
      <c r="H22" s="336"/>
      <c r="I22" s="284"/>
      <c r="J22" s="284"/>
      <c r="K22" s="284"/>
      <c r="L22" s="284">
        <v>8000000000</v>
      </c>
      <c r="M22" s="284">
        <v>14507937500</v>
      </c>
      <c r="N22" s="284">
        <v>0</v>
      </c>
      <c r="O22" s="284">
        <v>13200000000</v>
      </c>
      <c r="P22" s="284">
        <v>0</v>
      </c>
      <c r="Q22" s="284">
        <f t="shared" si="1"/>
        <v>-13200000000</v>
      </c>
    </row>
    <row r="23" spans="1:17" ht="26.1" customHeight="1">
      <c r="A23" s="284" t="s">
        <v>733</v>
      </c>
      <c r="B23" s="335" t="s">
        <v>751</v>
      </c>
      <c r="C23" s="284"/>
      <c r="D23" s="284"/>
      <c r="E23" s="284"/>
      <c r="F23" s="284"/>
      <c r="G23" s="284"/>
      <c r="H23" s="336"/>
      <c r="I23" s="284"/>
      <c r="J23" s="284"/>
      <c r="K23" s="284"/>
      <c r="L23" s="284"/>
      <c r="M23" s="284"/>
      <c r="N23" s="284">
        <v>0</v>
      </c>
      <c r="O23" s="284">
        <v>79846250</v>
      </c>
      <c r="P23" s="284"/>
      <c r="Q23" s="284">
        <f t="shared" si="1"/>
        <v>-79846250</v>
      </c>
    </row>
    <row r="24" spans="1:17" ht="26.1" customHeight="1">
      <c r="A24" s="292"/>
      <c r="B24" s="373" t="s">
        <v>5</v>
      </c>
      <c r="C24" s="284">
        <v>12000000</v>
      </c>
      <c r="D24" s="284">
        <v>0</v>
      </c>
      <c r="E24" s="284">
        <v>48000000</v>
      </c>
      <c r="F24" s="284">
        <v>48000000</v>
      </c>
      <c r="G24" s="284">
        <v>48000000</v>
      </c>
      <c r="H24" s="336">
        <f t="shared" si="0"/>
        <v>0</v>
      </c>
      <c r="I24" s="284">
        <v>48000000</v>
      </c>
      <c r="J24" s="284">
        <v>35750400</v>
      </c>
      <c r="K24" s="284">
        <v>40000000</v>
      </c>
      <c r="L24" s="292">
        <f>SUM(L11:L21)</f>
        <v>75224800</v>
      </c>
      <c r="M24" s="292">
        <f>SUM(M11:M22)</f>
        <v>14758036893</v>
      </c>
      <c r="N24" s="292">
        <f>SUM(N11:N22)</f>
        <v>175069575.09999999</v>
      </c>
      <c r="O24" s="292">
        <f>SUM(O11:O23)</f>
        <v>13492979504.139999</v>
      </c>
      <c r="P24" s="292">
        <f>SUM(P11:P23)</f>
        <v>213133254.13999999</v>
      </c>
      <c r="Q24" s="292">
        <f t="shared" si="1"/>
        <v>-13279846250</v>
      </c>
    </row>
    <row r="25" spans="1:17" ht="26.1" customHeight="1">
      <c r="A25" s="284"/>
      <c r="B25" s="373" t="s">
        <v>37</v>
      </c>
      <c r="C25" s="284">
        <v>11464000</v>
      </c>
      <c r="D25" s="284">
        <v>0</v>
      </c>
      <c r="E25" s="284">
        <v>0</v>
      </c>
      <c r="F25" s="284">
        <v>0</v>
      </c>
      <c r="G25" s="284">
        <v>83300000</v>
      </c>
      <c r="H25" s="336">
        <f t="shared" si="0"/>
        <v>83300000</v>
      </c>
      <c r="I25" s="284">
        <v>0</v>
      </c>
      <c r="J25" s="284">
        <v>0</v>
      </c>
      <c r="K25" s="284">
        <v>0</v>
      </c>
      <c r="L25" s="284"/>
      <c r="M25" s="284"/>
      <c r="N25" s="284"/>
      <c r="O25" s="284"/>
      <c r="P25" s="284"/>
      <c r="Q25" s="284">
        <f t="shared" si="1"/>
        <v>0</v>
      </c>
    </row>
    <row r="26" spans="1:17" ht="26.1" customHeight="1">
      <c r="A26" s="284" t="s">
        <v>283</v>
      </c>
      <c r="B26" s="335" t="s">
        <v>201</v>
      </c>
      <c r="C26" s="284">
        <v>0</v>
      </c>
      <c r="D26" s="284">
        <v>0</v>
      </c>
      <c r="E26" s="284">
        <v>7000000</v>
      </c>
      <c r="F26" s="284">
        <v>7000000</v>
      </c>
      <c r="G26" s="284">
        <v>20000000</v>
      </c>
      <c r="H26" s="336">
        <f t="shared" si="0"/>
        <v>13000000</v>
      </c>
      <c r="I26" s="284">
        <v>20000000</v>
      </c>
      <c r="J26" s="284">
        <v>14896000</v>
      </c>
      <c r="K26" s="284">
        <v>30000000</v>
      </c>
      <c r="L26" s="284">
        <v>0</v>
      </c>
      <c r="M26" s="284">
        <v>0</v>
      </c>
      <c r="N26" s="284">
        <v>0</v>
      </c>
      <c r="O26" s="284">
        <v>0</v>
      </c>
      <c r="P26" s="284">
        <v>0</v>
      </c>
      <c r="Q26" s="284">
        <f t="shared" si="1"/>
        <v>0</v>
      </c>
    </row>
    <row r="27" spans="1:17" ht="26.1" customHeight="1">
      <c r="A27" s="284" t="s">
        <v>281</v>
      </c>
      <c r="B27" s="335" t="s">
        <v>202</v>
      </c>
      <c r="C27" s="284">
        <v>0</v>
      </c>
      <c r="D27" s="284">
        <v>0</v>
      </c>
      <c r="E27" s="284">
        <v>8000000</v>
      </c>
      <c r="F27" s="284">
        <v>0</v>
      </c>
      <c r="G27" s="284">
        <v>0</v>
      </c>
      <c r="H27" s="336">
        <f t="shared" si="0"/>
        <v>0</v>
      </c>
      <c r="I27" s="284">
        <v>0</v>
      </c>
      <c r="J27" s="284">
        <v>0</v>
      </c>
      <c r="K27" s="284">
        <v>0</v>
      </c>
      <c r="L27" s="284">
        <v>81000000</v>
      </c>
      <c r="M27" s="284">
        <f>81000000+119560900</f>
        <v>200560900</v>
      </c>
      <c r="N27" s="284">
        <f>M27*70%</f>
        <v>140392630</v>
      </c>
      <c r="O27" s="284">
        <f>N27</f>
        <v>140392630</v>
      </c>
      <c r="P27" s="284">
        <f>O27</f>
        <v>140392630</v>
      </c>
      <c r="Q27" s="284">
        <f t="shared" si="1"/>
        <v>0</v>
      </c>
    </row>
    <row r="28" spans="1:17" ht="26.1" customHeight="1">
      <c r="A28" s="284" t="s">
        <v>282</v>
      </c>
      <c r="B28" s="335" t="s">
        <v>203</v>
      </c>
      <c r="C28" s="284">
        <v>3000000</v>
      </c>
      <c r="D28" s="284">
        <v>0</v>
      </c>
      <c r="E28" s="284">
        <v>0</v>
      </c>
      <c r="F28" s="284">
        <v>0</v>
      </c>
      <c r="G28" s="284">
        <v>0</v>
      </c>
      <c r="H28" s="336">
        <f t="shared" si="0"/>
        <v>0</v>
      </c>
      <c r="I28" s="284">
        <v>0</v>
      </c>
      <c r="J28" s="284">
        <v>0</v>
      </c>
      <c r="K28" s="284">
        <v>0</v>
      </c>
      <c r="L28" s="284">
        <v>14896000</v>
      </c>
      <c r="M28" s="284">
        <v>14896000</v>
      </c>
      <c r="N28" s="284">
        <f>M28*70%</f>
        <v>10427200</v>
      </c>
      <c r="O28" s="284">
        <f>N28</f>
        <v>10427200</v>
      </c>
      <c r="P28" s="284">
        <f>O28</f>
        <v>10427200</v>
      </c>
      <c r="Q28" s="284">
        <f t="shared" si="1"/>
        <v>0</v>
      </c>
    </row>
    <row r="29" spans="1:17" ht="26.1" customHeight="1">
      <c r="A29" s="284" t="s">
        <v>283</v>
      </c>
      <c r="B29" s="335" t="s">
        <v>204</v>
      </c>
      <c r="C29" s="284">
        <v>0</v>
      </c>
      <c r="D29" s="284">
        <v>0</v>
      </c>
      <c r="E29" s="284">
        <v>0</v>
      </c>
      <c r="F29" s="284">
        <v>0</v>
      </c>
      <c r="G29" s="284">
        <v>10000000</v>
      </c>
      <c r="H29" s="336">
        <f t="shared" si="0"/>
        <v>10000000</v>
      </c>
      <c r="I29" s="284">
        <v>10000000</v>
      </c>
      <c r="J29" s="284">
        <v>7448000</v>
      </c>
      <c r="K29" s="284">
        <v>15000000</v>
      </c>
      <c r="L29" s="284">
        <v>7448000</v>
      </c>
      <c r="M29" s="284">
        <f>7448000+2552000</f>
        <v>10000000</v>
      </c>
      <c r="N29" s="284">
        <f>10000000*70%</f>
        <v>7000000</v>
      </c>
      <c r="O29" s="284">
        <f>10000000*70%</f>
        <v>7000000</v>
      </c>
      <c r="P29" s="284">
        <f>10000000*70%</f>
        <v>7000000</v>
      </c>
      <c r="Q29" s="284">
        <f t="shared" si="1"/>
        <v>0</v>
      </c>
    </row>
    <row r="30" spans="1:17" ht="26.1" customHeight="1">
      <c r="A30" s="284"/>
      <c r="B30" s="373" t="s">
        <v>5</v>
      </c>
      <c r="C30" s="284">
        <v>0</v>
      </c>
      <c r="D30" s="284">
        <v>0</v>
      </c>
      <c r="E30" s="284">
        <v>0</v>
      </c>
      <c r="F30" s="284">
        <v>0</v>
      </c>
      <c r="G30" s="284">
        <v>0</v>
      </c>
      <c r="H30" s="336">
        <f t="shared" si="0"/>
        <v>0</v>
      </c>
      <c r="I30" s="284">
        <v>0</v>
      </c>
      <c r="J30" s="284">
        <v>0</v>
      </c>
      <c r="K30" s="284">
        <v>0</v>
      </c>
      <c r="L30" s="292">
        <f>SUM(L26:L29)</f>
        <v>103344000</v>
      </c>
      <c r="M30" s="292">
        <f>SUM(M26:M29)</f>
        <v>225456900</v>
      </c>
      <c r="N30" s="292">
        <f>SUM(N26:N29)</f>
        <v>157819830</v>
      </c>
      <c r="O30" s="292">
        <f>SUM(O26:O29)</f>
        <v>157819830</v>
      </c>
      <c r="P30" s="292">
        <f>SUM(P26:P29)</f>
        <v>157819830</v>
      </c>
      <c r="Q30" s="292">
        <f t="shared" si="1"/>
        <v>0</v>
      </c>
    </row>
    <row r="31" spans="1:17" ht="26.1" customHeight="1">
      <c r="A31" s="292" t="s">
        <v>293</v>
      </c>
      <c r="B31" s="373" t="s">
        <v>205</v>
      </c>
      <c r="C31" s="284">
        <v>0</v>
      </c>
      <c r="D31" s="284">
        <v>0</v>
      </c>
      <c r="E31" s="284">
        <f>D31-C31</f>
        <v>0</v>
      </c>
      <c r="F31" s="284">
        <f>E31-D31</f>
        <v>0</v>
      </c>
      <c r="G31" s="284">
        <v>0</v>
      </c>
      <c r="H31" s="336">
        <f t="shared" si="0"/>
        <v>0</v>
      </c>
      <c r="I31" s="284">
        <v>0</v>
      </c>
      <c r="J31" s="284">
        <v>0</v>
      </c>
      <c r="K31" s="284">
        <v>0</v>
      </c>
      <c r="L31" s="284"/>
      <c r="M31" s="284"/>
      <c r="N31" s="284"/>
      <c r="O31" s="284"/>
      <c r="P31" s="284"/>
      <c r="Q31" s="284">
        <f t="shared" si="1"/>
        <v>0</v>
      </c>
    </row>
    <row r="32" spans="1:17" ht="26.1" customHeight="1">
      <c r="A32" s="292" t="s">
        <v>286</v>
      </c>
      <c r="B32" s="373" t="s">
        <v>206</v>
      </c>
      <c r="C32" s="284">
        <v>1500000</v>
      </c>
      <c r="D32" s="284">
        <v>0</v>
      </c>
      <c r="E32" s="284">
        <v>6000000</v>
      </c>
      <c r="F32" s="284">
        <v>6000000</v>
      </c>
      <c r="G32" s="284">
        <v>6000000</v>
      </c>
      <c r="H32" s="336">
        <f t="shared" si="0"/>
        <v>0</v>
      </c>
      <c r="I32" s="284">
        <v>10000000</v>
      </c>
      <c r="J32" s="284">
        <v>7448000</v>
      </c>
      <c r="K32" s="284">
        <v>10000000</v>
      </c>
      <c r="L32" s="284"/>
      <c r="M32" s="284"/>
      <c r="N32" s="284"/>
      <c r="O32" s="284"/>
      <c r="P32" s="284"/>
      <c r="Q32" s="284">
        <f t="shared" si="1"/>
        <v>0</v>
      </c>
    </row>
    <row r="33" spans="1:17" ht="26.1" customHeight="1">
      <c r="A33" s="284" t="s">
        <v>499</v>
      </c>
      <c r="B33" s="335" t="s">
        <v>207</v>
      </c>
      <c r="C33" s="284">
        <v>1200000</v>
      </c>
      <c r="D33" s="284">
        <v>0</v>
      </c>
      <c r="E33" s="284">
        <v>6000000</v>
      </c>
      <c r="F33" s="284">
        <v>6000000</v>
      </c>
      <c r="G33" s="284">
        <v>6000000</v>
      </c>
      <c r="H33" s="336">
        <f t="shared" si="0"/>
        <v>0</v>
      </c>
      <c r="I33" s="284">
        <v>8000000</v>
      </c>
      <c r="J33" s="284">
        <v>9682400</v>
      </c>
      <c r="K33" s="284">
        <v>18000000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84">
        <f t="shared" si="1"/>
        <v>0</v>
      </c>
    </row>
    <row r="34" spans="1:17" ht="26.1" customHeight="1">
      <c r="A34" s="284" t="s">
        <v>500</v>
      </c>
      <c r="B34" s="335" t="s">
        <v>214</v>
      </c>
      <c r="C34" s="284"/>
      <c r="D34" s="284"/>
      <c r="E34" s="284"/>
      <c r="F34" s="284"/>
      <c r="G34" s="284"/>
      <c r="H34" s="336"/>
      <c r="I34" s="284"/>
      <c r="J34" s="284"/>
      <c r="K34" s="284"/>
      <c r="L34" s="284">
        <v>3724000</v>
      </c>
      <c r="M34" s="284">
        <v>3724000</v>
      </c>
      <c r="N34" s="284">
        <f>3724000*70%</f>
        <v>2606800</v>
      </c>
      <c r="O34" s="284">
        <v>0</v>
      </c>
      <c r="P34" s="284">
        <v>0</v>
      </c>
      <c r="Q34" s="284">
        <f t="shared" si="1"/>
        <v>0</v>
      </c>
    </row>
    <row r="35" spans="1:17" ht="26.1" customHeight="1">
      <c r="A35" s="389"/>
      <c r="B35" s="373" t="s">
        <v>5</v>
      </c>
      <c r="C35" s="284">
        <v>7400000</v>
      </c>
      <c r="D35" s="284">
        <v>0</v>
      </c>
      <c r="E35" s="284">
        <v>0</v>
      </c>
      <c r="F35" s="284">
        <v>0</v>
      </c>
      <c r="G35" s="284">
        <v>0</v>
      </c>
      <c r="H35" s="336">
        <f t="shared" si="0"/>
        <v>0</v>
      </c>
      <c r="I35" s="284">
        <v>0</v>
      </c>
      <c r="J35" s="284">
        <v>0</v>
      </c>
      <c r="K35" s="284">
        <v>0</v>
      </c>
      <c r="L35" s="292">
        <f>SUM(L33:L34)</f>
        <v>3724000</v>
      </c>
      <c r="M35" s="292">
        <f>SUM(M33:M34)</f>
        <v>3724000</v>
      </c>
      <c r="N35" s="292">
        <f>SUM(N33:N34)</f>
        <v>2606800</v>
      </c>
      <c r="O35" s="292">
        <f>SUM(O33:O34)</f>
        <v>0</v>
      </c>
      <c r="P35" s="292">
        <f>SUM(P33:P34)</f>
        <v>0</v>
      </c>
      <c r="Q35" s="292">
        <f t="shared" si="1"/>
        <v>0</v>
      </c>
    </row>
    <row r="36" spans="1:17" ht="26.1" customHeight="1">
      <c r="A36" s="292" t="s">
        <v>285</v>
      </c>
      <c r="B36" s="373" t="s">
        <v>208</v>
      </c>
      <c r="C36" s="284">
        <v>0</v>
      </c>
      <c r="D36" s="284">
        <v>0</v>
      </c>
      <c r="E36" s="284">
        <v>0</v>
      </c>
      <c r="F36" s="284">
        <v>0</v>
      </c>
      <c r="G36" s="284">
        <v>0</v>
      </c>
      <c r="H36" s="336">
        <f t="shared" si="0"/>
        <v>0</v>
      </c>
      <c r="I36" s="284">
        <v>0</v>
      </c>
      <c r="J36" s="284">
        <v>0</v>
      </c>
      <c r="K36" s="284">
        <v>0</v>
      </c>
      <c r="L36" s="284"/>
      <c r="M36" s="284"/>
      <c r="N36" s="284"/>
      <c r="O36" s="284"/>
      <c r="P36" s="284"/>
      <c r="Q36" s="284">
        <f t="shared" si="1"/>
        <v>0</v>
      </c>
    </row>
    <row r="37" spans="1:17" ht="26.1" customHeight="1">
      <c r="A37" s="284" t="s">
        <v>503</v>
      </c>
      <c r="B37" s="335" t="s">
        <v>213</v>
      </c>
      <c r="C37" s="284"/>
      <c r="D37" s="284"/>
      <c r="E37" s="284">
        <v>0</v>
      </c>
      <c r="F37" s="284">
        <v>3000000000</v>
      </c>
      <c r="G37" s="284">
        <v>4000000000</v>
      </c>
      <c r="H37" s="336">
        <f t="shared" si="0"/>
        <v>1000000000</v>
      </c>
      <c r="I37" s="284">
        <v>0</v>
      </c>
      <c r="J37" s="284">
        <v>8000000000</v>
      </c>
      <c r="K37" s="284">
        <v>5000000000</v>
      </c>
      <c r="L37" s="284">
        <v>18620000</v>
      </c>
      <c r="M37" s="284">
        <v>95900000</v>
      </c>
      <c r="N37" s="284">
        <f>M37*70%</f>
        <v>67130000</v>
      </c>
      <c r="O37" s="284">
        <v>97130000</v>
      </c>
      <c r="P37" s="284">
        <v>97130000</v>
      </c>
      <c r="Q37" s="284">
        <f t="shared" si="1"/>
        <v>0</v>
      </c>
    </row>
    <row r="38" spans="1:17" s="676" customFormat="1" ht="26.1" customHeight="1">
      <c r="A38" s="284" t="s">
        <v>288</v>
      </c>
      <c r="B38" s="335" t="s">
        <v>209</v>
      </c>
      <c r="C38" s="271">
        <f>SUM(C24:C36)</f>
        <v>36564000</v>
      </c>
      <c r="D38" s="271">
        <v>0</v>
      </c>
      <c r="E38" s="271">
        <f>SUM(E21:E36)</f>
        <v>75000000</v>
      </c>
      <c r="F38" s="271">
        <f>SUM(F21:F37)</f>
        <v>3067000000</v>
      </c>
      <c r="G38" s="271">
        <f>SUM(G24:G37)</f>
        <v>4173300000</v>
      </c>
      <c r="H38" s="271">
        <f t="shared" si="0"/>
        <v>1106300000</v>
      </c>
      <c r="I38" s="271">
        <f>SUM(I24:I37)</f>
        <v>96000000</v>
      </c>
      <c r="J38" s="271">
        <f>SUM(J24:J37)</f>
        <v>8075224800</v>
      </c>
      <c r="K38" s="271">
        <f>SUM(K24:K37)</f>
        <v>5113000000</v>
      </c>
      <c r="L38" s="400">
        <v>3724000</v>
      </c>
      <c r="M38" s="400">
        <v>3724000</v>
      </c>
      <c r="N38" s="400">
        <f>3724000*70%</f>
        <v>2606800</v>
      </c>
      <c r="O38" s="400">
        <f>3724000*70%</f>
        <v>2606800</v>
      </c>
      <c r="P38" s="400">
        <f>3724000*70%</f>
        <v>2606800</v>
      </c>
      <c r="Q38" s="400">
        <f t="shared" si="1"/>
        <v>0</v>
      </c>
    </row>
    <row r="39" spans="1:17" s="676" customFormat="1" ht="26.1" customHeight="1">
      <c r="A39" s="373"/>
      <c r="B39" s="373" t="s">
        <v>5</v>
      </c>
      <c r="C39" s="271" t="e">
        <f>C38+#REF!+#REF!+C13+#REF!</f>
        <v>#REF!</v>
      </c>
      <c r="D39" s="271" t="e">
        <f>#REF!</f>
        <v>#REF!</v>
      </c>
      <c r="E39" s="271" t="e">
        <f>E38+#REF!+#REF!+E13+#REF!</f>
        <v>#REF!</v>
      </c>
      <c r="F39" s="271" t="e">
        <f>F38+#REF!+#REF!+F13+#REF!</f>
        <v>#REF!</v>
      </c>
      <c r="G39" s="271" t="e">
        <f>G38+#REF!+#REF!+G13+#REF!</f>
        <v>#REF!</v>
      </c>
      <c r="H39" s="271" t="e">
        <f t="shared" si="0"/>
        <v>#REF!</v>
      </c>
      <c r="I39" s="271" t="e">
        <f>I38+#REF!+#REF!+I13+#REF!</f>
        <v>#REF!</v>
      </c>
      <c r="J39" s="271" t="e">
        <f>J38+#REF!+#REF!+J13+#REF!</f>
        <v>#REF!</v>
      </c>
      <c r="K39" s="271" t="e">
        <f>K38+#REF!+#REF!+K13+#REF!</f>
        <v>#REF!</v>
      </c>
      <c r="L39" s="271">
        <f>SUM(L37:L38)</f>
        <v>22344000</v>
      </c>
      <c r="M39" s="271">
        <f>SUM(M37:M38)</f>
        <v>99624000</v>
      </c>
      <c r="N39" s="271">
        <f>SUM(N37:N38)</f>
        <v>69736800</v>
      </c>
      <c r="O39" s="271">
        <f>SUM(O37:O38)</f>
        <v>99736800</v>
      </c>
      <c r="P39" s="271">
        <f>SUM(P37:P38)</f>
        <v>99736800</v>
      </c>
      <c r="Q39" s="271">
        <f t="shared" si="1"/>
        <v>0</v>
      </c>
    </row>
    <row r="40" spans="1:17" s="676" customFormat="1" ht="26.1" customHeight="1">
      <c r="A40" s="373" t="s">
        <v>338</v>
      </c>
      <c r="B40" s="373" t="s">
        <v>683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>
        <f t="shared" si="1"/>
        <v>0</v>
      </c>
    </row>
    <row r="41" spans="1:17" s="676" customFormat="1" ht="26.1" customHeight="1">
      <c r="A41" s="373" t="s">
        <v>446</v>
      </c>
      <c r="B41" s="373" t="s">
        <v>748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>
        <v>0</v>
      </c>
      <c r="O41" s="400">
        <v>210000000</v>
      </c>
      <c r="P41" s="400"/>
      <c r="Q41" s="400">
        <f t="shared" si="1"/>
        <v>-210000000</v>
      </c>
    </row>
    <row r="42" spans="1:17" s="676" customFormat="1" ht="26.1" customHeight="1">
      <c r="A42" s="373"/>
      <c r="B42" s="373" t="s">
        <v>5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>
        <f>SUM(O41)</f>
        <v>210000000</v>
      </c>
      <c r="P42" s="271">
        <f>SUM(P41)</f>
        <v>0</v>
      </c>
      <c r="Q42" s="271">
        <f t="shared" si="1"/>
        <v>-210000000</v>
      </c>
    </row>
    <row r="43" spans="1:17" ht="26.1" customHeight="1">
      <c r="A43" s="373"/>
      <c r="B43" s="373" t="s">
        <v>210</v>
      </c>
      <c r="C43" s="335"/>
      <c r="D43" s="335" t="s">
        <v>4</v>
      </c>
      <c r="E43" s="335"/>
      <c r="F43" s="336">
        <v>0</v>
      </c>
      <c r="G43" s="336"/>
      <c r="H43" s="335"/>
      <c r="I43" s="336"/>
      <c r="J43" s="336"/>
      <c r="K43" s="336"/>
      <c r="L43" s="361">
        <f>L39+L35+L30+L24+L8</f>
        <v>598461800</v>
      </c>
      <c r="M43" s="361">
        <f>M39+M35+M30+M24+M8</f>
        <v>16213641793</v>
      </c>
      <c r="N43" s="361">
        <f>N39+N35+N30+N24+N8</f>
        <v>1542833005.0999999</v>
      </c>
      <c r="O43" s="361">
        <f>O42+O39+O30+O24+O8+O35</f>
        <v>15050303208.139999</v>
      </c>
      <c r="P43" s="361">
        <f>P42+P39+P30+P24+P8+P35</f>
        <v>1606628158.1399999</v>
      </c>
      <c r="Q43" s="361">
        <f t="shared" si="1"/>
        <v>-13443675050</v>
      </c>
    </row>
    <row r="44" spans="1:17" hidden="1">
      <c r="O44" s="510"/>
      <c r="P44" s="416"/>
      <c r="Q44" s="416"/>
    </row>
    <row r="46" spans="1:17">
      <c r="F46" s="444">
        <f>1386274192-71600000-798000-176160000-12600000</f>
        <v>1125116192</v>
      </c>
      <c r="L46" s="677"/>
    </row>
    <row r="47" spans="1:17">
      <c r="L47" s="677"/>
    </row>
  </sheetData>
  <phoneticPr fontId="0" type="noConversion"/>
  <printOptions gridLines="1"/>
  <pageMargins left="0.61" right="0.25" top="0.85" bottom="0.7" header="0.28000000000000003" footer="0.31"/>
  <pageSetup scale="60" orientation="portrait" r:id="rId1"/>
  <headerFooter alignWithMargins="0">
    <oddHeader xml:space="preserve">&amp;C&amp;"Arial Narrow,Bold"&amp;28Miisaaniyadda Guddiga Doorshooyinka </oddHeader>
    <oddFooter>&amp;R&amp;"Times New Roman,Bold"&amp;14 44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9"/>
  <dimension ref="A1:Q52"/>
  <sheetViews>
    <sheetView view="pageBreakPreview" zoomScale="60" zoomScaleNormal="75" workbookViewId="0">
      <selection activeCell="B14" sqref="B14"/>
    </sheetView>
  </sheetViews>
  <sheetFormatPr defaultRowHeight="24" customHeight="1"/>
  <cols>
    <col min="1" max="1" width="18.1640625" style="155" bestFit="1" customWidth="1"/>
    <col min="2" max="2" width="73.6640625" style="484" customWidth="1"/>
    <col min="3" max="3" width="17.5" style="155" hidden="1" customWidth="1"/>
    <col min="4" max="4" width="15.1640625" style="155" hidden="1" customWidth="1"/>
    <col min="5" max="5" width="18" style="155" hidden="1" customWidth="1"/>
    <col min="6" max="6" width="15.1640625" style="155" hidden="1" customWidth="1"/>
    <col min="7" max="7" width="16.83203125" style="155" hidden="1" customWidth="1"/>
    <col min="8" max="8" width="0.1640625" style="155" hidden="1" customWidth="1"/>
    <col min="9" max="9" width="19.6640625" style="155" hidden="1" customWidth="1"/>
    <col min="10" max="10" width="0.33203125" style="155" hidden="1" customWidth="1"/>
    <col min="11" max="11" width="19.6640625" style="155" hidden="1" customWidth="1"/>
    <col min="12" max="12" width="21.6640625" style="155" hidden="1" customWidth="1"/>
    <col min="13" max="13" width="23.1640625" style="155" hidden="1" customWidth="1"/>
    <col min="14" max="16" width="24.5" style="155" bestFit="1" customWidth="1"/>
    <col min="17" max="17" width="14.6640625" style="155" customWidth="1"/>
    <col min="18" max="16384" width="9.33203125" style="155"/>
  </cols>
  <sheetData>
    <row r="1" spans="1:16" ht="27.95" customHeight="1">
      <c r="A1" s="373" t="s">
        <v>45</v>
      </c>
      <c r="B1" s="443">
        <v>33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ht="27.95" customHeight="1">
      <c r="A2" s="378" t="s">
        <v>28</v>
      </c>
      <c r="B2" s="443" t="s">
        <v>29</v>
      </c>
      <c r="C2" s="378" t="s">
        <v>43</v>
      </c>
      <c r="D2" s="378" t="s">
        <v>2</v>
      </c>
      <c r="E2" s="378" t="s">
        <v>48</v>
      </c>
      <c r="F2" s="378" t="s">
        <v>52</v>
      </c>
      <c r="G2" s="378" t="s">
        <v>64</v>
      </c>
      <c r="H2" s="378" t="s">
        <v>71</v>
      </c>
      <c r="I2" s="378" t="s">
        <v>130</v>
      </c>
      <c r="J2" s="378" t="s">
        <v>135</v>
      </c>
      <c r="K2" s="378" t="s">
        <v>144</v>
      </c>
      <c r="L2" s="378" t="s">
        <v>180</v>
      </c>
      <c r="M2" s="378" t="s">
        <v>299</v>
      </c>
      <c r="N2" s="378" t="s">
        <v>643</v>
      </c>
      <c r="O2" s="378" t="s">
        <v>1111</v>
      </c>
      <c r="P2" s="378" t="s">
        <v>63</v>
      </c>
    </row>
    <row r="3" spans="1:16" ht="27.95" customHeight="1">
      <c r="A3" s="292" t="s">
        <v>248</v>
      </c>
      <c r="B3" s="292" t="s">
        <v>165</v>
      </c>
      <c r="C3" s="373"/>
      <c r="D3" s="373"/>
      <c r="E3" s="373"/>
      <c r="F3" s="373"/>
      <c r="G3" s="373"/>
      <c r="H3" s="373"/>
      <c r="I3" s="373"/>
      <c r="J3" s="373"/>
      <c r="K3" s="373"/>
      <c r="L3" s="335"/>
      <c r="M3" s="335"/>
      <c r="N3" s="335"/>
      <c r="O3" s="335"/>
      <c r="P3" s="335"/>
    </row>
    <row r="4" spans="1:16" ht="27.95" customHeight="1">
      <c r="A4" s="292" t="s">
        <v>249</v>
      </c>
      <c r="B4" s="292" t="s">
        <v>250</v>
      </c>
      <c r="C4" s="336">
        <v>0</v>
      </c>
      <c r="D4" s="336">
        <v>45168000</v>
      </c>
      <c r="E4" s="336">
        <v>82272000</v>
      </c>
      <c r="F4" s="336">
        <v>82272000</v>
      </c>
      <c r="G4" s="336">
        <v>167590800</v>
      </c>
      <c r="H4" s="336">
        <f>135236400+4149600+27000000+3000000</f>
        <v>169386000</v>
      </c>
      <c r="I4" s="336">
        <f>169386000+6000000+4149600</f>
        <v>179535600</v>
      </c>
      <c r="J4" s="336"/>
      <c r="K4" s="336"/>
      <c r="L4" s="336"/>
      <c r="M4" s="284"/>
      <c r="N4" s="284"/>
      <c r="O4" s="284"/>
      <c r="P4" s="284"/>
    </row>
    <row r="5" spans="1:16" ht="27.95" customHeight="1">
      <c r="A5" s="284" t="s">
        <v>247</v>
      </c>
      <c r="B5" s="284" t="s">
        <v>32</v>
      </c>
      <c r="C5" s="336">
        <v>0</v>
      </c>
      <c r="D5" s="336">
        <v>24500000</v>
      </c>
      <c r="E5" s="336">
        <v>0</v>
      </c>
      <c r="F5" s="336">
        <v>0</v>
      </c>
      <c r="G5" s="336">
        <v>0</v>
      </c>
      <c r="H5" s="336">
        <v>0</v>
      </c>
      <c r="I5" s="336">
        <v>0</v>
      </c>
      <c r="J5" s="336">
        <v>0</v>
      </c>
      <c r="K5" s="336">
        <v>37471200</v>
      </c>
      <c r="L5" s="336">
        <v>41995200</v>
      </c>
      <c r="M5" s="336">
        <f>'shaq,3'!H47+36000000</f>
        <v>113594400</v>
      </c>
      <c r="N5" s="336">
        <v>77594400</v>
      </c>
      <c r="O5" s="336">
        <v>92289600</v>
      </c>
      <c r="P5" s="336">
        <f>O5-N5</f>
        <v>14695200</v>
      </c>
    </row>
    <row r="6" spans="1:16" ht="27.95" customHeight="1">
      <c r="A6" s="284" t="s">
        <v>251</v>
      </c>
      <c r="B6" s="284" t="s">
        <v>33</v>
      </c>
      <c r="C6" s="284">
        <v>0</v>
      </c>
      <c r="D6" s="284">
        <v>10800000</v>
      </c>
      <c r="E6" s="284">
        <v>14400000</v>
      </c>
      <c r="F6" s="284">
        <v>14400000</v>
      </c>
      <c r="G6" s="284">
        <v>14400000</v>
      </c>
      <c r="H6" s="284">
        <f>14400000+16200000+720000</f>
        <v>31320000</v>
      </c>
      <c r="I6" s="284">
        <f>31320000+720000+3960000</f>
        <v>36000000</v>
      </c>
      <c r="J6" s="336">
        <v>0</v>
      </c>
      <c r="K6" s="336">
        <v>0</v>
      </c>
      <c r="L6" s="336">
        <v>0</v>
      </c>
      <c r="M6" s="336">
        <v>0</v>
      </c>
      <c r="N6" s="336">
        <v>198000000</v>
      </c>
      <c r="O6" s="336">
        <v>222000000</v>
      </c>
      <c r="P6" s="336">
        <f t="shared" ref="P6:P39" si="0">O6-N6</f>
        <v>24000000</v>
      </c>
    </row>
    <row r="7" spans="1:16" ht="27.95" customHeight="1">
      <c r="A7" s="284" t="s">
        <v>252</v>
      </c>
      <c r="B7" s="284" t="s">
        <v>34</v>
      </c>
      <c r="C7" s="292">
        <v>0</v>
      </c>
      <c r="D7" s="292">
        <f>SUM(D4:D6)</f>
        <v>80468000</v>
      </c>
      <c r="E7" s="292">
        <f>SUM(E4:E6)</f>
        <v>96672000</v>
      </c>
      <c r="F7" s="292">
        <f>SUM(F4:F6)</f>
        <v>96672000</v>
      </c>
      <c r="G7" s="292">
        <f>SUM(G4:G6)</f>
        <v>181990800</v>
      </c>
      <c r="H7" s="292">
        <f>SUM(H4:H6)</f>
        <v>200706000</v>
      </c>
      <c r="I7" s="284">
        <v>0</v>
      </c>
      <c r="J7" s="284">
        <v>0</v>
      </c>
      <c r="K7" s="284">
        <v>34800000</v>
      </c>
      <c r="L7" s="336">
        <v>161760000</v>
      </c>
      <c r="M7" s="336">
        <v>161760000</v>
      </c>
      <c r="N7" s="336">
        <v>136800000</v>
      </c>
      <c r="O7" s="336">
        <v>154800000</v>
      </c>
      <c r="P7" s="336">
        <f t="shared" si="0"/>
        <v>18000000</v>
      </c>
    </row>
    <row r="8" spans="1:16" ht="27.95" customHeight="1">
      <c r="A8" s="284"/>
      <c r="B8" s="292" t="s">
        <v>119</v>
      </c>
      <c r="C8" s="292">
        <v>0</v>
      </c>
      <c r="D8" s="292" t="e">
        <f>SUM(#REF!)</f>
        <v>#REF!</v>
      </c>
      <c r="E8" s="292" t="e">
        <f>SUM(#REF!)</f>
        <v>#REF!</v>
      </c>
      <c r="F8" s="292" t="e">
        <f>SUM(#REF!)</f>
        <v>#REF!</v>
      </c>
      <c r="G8" s="292" t="e">
        <f>SUM(#REF!)</f>
        <v>#REF!</v>
      </c>
      <c r="H8" s="292" t="e">
        <f>SUM(#REF!)</f>
        <v>#REF!</v>
      </c>
      <c r="I8" s="284">
        <v>0</v>
      </c>
      <c r="J8" s="292">
        <f t="shared" ref="J8:N8" si="1">SUM(J5:J7)</f>
        <v>0</v>
      </c>
      <c r="K8" s="292">
        <f t="shared" si="1"/>
        <v>72271200</v>
      </c>
      <c r="L8" s="361">
        <f t="shared" si="1"/>
        <v>203755200</v>
      </c>
      <c r="M8" s="361">
        <f t="shared" si="1"/>
        <v>275354400</v>
      </c>
      <c r="N8" s="361">
        <f t="shared" si="1"/>
        <v>412394400</v>
      </c>
      <c r="O8" s="361">
        <f>SUM(O5:O7)</f>
        <v>469089600</v>
      </c>
      <c r="P8" s="361">
        <f t="shared" si="0"/>
        <v>56695200</v>
      </c>
    </row>
    <row r="9" spans="1:16" ht="27.95" customHeight="1">
      <c r="A9" s="292" t="s">
        <v>262</v>
      </c>
      <c r="B9" s="292" t="s">
        <v>263</v>
      </c>
      <c r="C9" s="284" t="s">
        <v>4</v>
      </c>
      <c r="D9" s="284"/>
      <c r="E9" s="284"/>
      <c r="F9" s="284"/>
      <c r="G9" s="284"/>
      <c r="H9" s="284"/>
      <c r="I9" s="284">
        <v>0</v>
      </c>
      <c r="J9" s="284"/>
      <c r="K9" s="284"/>
      <c r="L9" s="336"/>
      <c r="M9" s="336"/>
      <c r="N9" s="336"/>
      <c r="O9" s="336"/>
      <c r="P9" s="336">
        <f t="shared" si="0"/>
        <v>0</v>
      </c>
    </row>
    <row r="10" spans="1:16" ht="27.95" customHeight="1">
      <c r="A10" s="292" t="s">
        <v>265</v>
      </c>
      <c r="B10" s="292" t="s">
        <v>264</v>
      </c>
      <c r="C10" s="284">
        <v>0</v>
      </c>
      <c r="D10" s="284">
        <v>22600000</v>
      </c>
      <c r="E10" s="284">
        <v>0</v>
      </c>
      <c r="F10" s="284">
        <v>0</v>
      </c>
      <c r="G10" s="284">
        <v>0</v>
      </c>
      <c r="H10" s="284">
        <v>0</v>
      </c>
      <c r="I10" s="284">
        <v>7448000</v>
      </c>
      <c r="J10" s="284"/>
      <c r="K10" s="284"/>
      <c r="L10" s="336"/>
      <c r="M10" s="336"/>
      <c r="N10" s="336"/>
      <c r="O10" s="336"/>
      <c r="P10" s="336">
        <f t="shared" si="0"/>
        <v>0</v>
      </c>
    </row>
    <row r="11" spans="1:16" ht="27.95" customHeight="1">
      <c r="A11" s="284" t="s">
        <v>266</v>
      </c>
      <c r="B11" s="284" t="s">
        <v>38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7448000</v>
      </c>
      <c r="J11" s="284">
        <v>0</v>
      </c>
      <c r="K11" s="284">
        <v>40000000</v>
      </c>
      <c r="L11" s="336">
        <v>5000000</v>
      </c>
      <c r="M11" s="336">
        <f>5000000*70%</f>
        <v>3500000</v>
      </c>
      <c r="N11" s="336">
        <f>5000000*70%</f>
        <v>3500000</v>
      </c>
      <c r="O11" s="336">
        <f>5000000*70%</f>
        <v>3500000</v>
      </c>
      <c r="P11" s="336">
        <f t="shared" si="0"/>
        <v>0</v>
      </c>
    </row>
    <row r="12" spans="1:16" ht="27.95" customHeight="1">
      <c r="A12" s="284" t="s">
        <v>269</v>
      </c>
      <c r="B12" s="284" t="s">
        <v>186</v>
      </c>
      <c r="C12" s="284"/>
      <c r="D12" s="284"/>
      <c r="E12" s="284"/>
      <c r="F12" s="284"/>
      <c r="G12" s="284"/>
      <c r="H12" s="284"/>
      <c r="I12" s="284">
        <v>37240000</v>
      </c>
      <c r="J12" s="284">
        <v>0</v>
      </c>
      <c r="K12" s="284">
        <v>15000000</v>
      </c>
      <c r="L12" s="336">
        <v>34612616</v>
      </c>
      <c r="M12" s="336">
        <f>34612616*70%</f>
        <v>24228831.199999999</v>
      </c>
      <c r="N12" s="336">
        <f>34612616*70%</f>
        <v>24228831.199999999</v>
      </c>
      <c r="O12" s="336">
        <f>34612616*70%</f>
        <v>24228831.199999999</v>
      </c>
      <c r="P12" s="336">
        <f t="shared" si="0"/>
        <v>0</v>
      </c>
    </row>
    <row r="13" spans="1:16" ht="27.95" customHeight="1">
      <c r="A13" s="284" t="s">
        <v>271</v>
      </c>
      <c r="B13" s="284" t="s">
        <v>154</v>
      </c>
      <c r="C13" s="284">
        <v>0</v>
      </c>
      <c r="D13" s="284">
        <v>4000000</v>
      </c>
      <c r="E13" s="284">
        <v>8000000</v>
      </c>
      <c r="F13" s="284">
        <v>17000000</v>
      </c>
      <c r="G13" s="284">
        <v>12661600</v>
      </c>
      <c r="H13" s="284">
        <v>25000000</v>
      </c>
      <c r="I13" s="292">
        <f>SUM(I8:I12)</f>
        <v>52136000</v>
      </c>
      <c r="J13" s="284">
        <v>0</v>
      </c>
      <c r="K13" s="284">
        <v>0</v>
      </c>
      <c r="L13" s="336">
        <v>7000000</v>
      </c>
      <c r="M13" s="336">
        <f>7000000*70%</f>
        <v>4900000</v>
      </c>
      <c r="N13" s="336">
        <v>0</v>
      </c>
      <c r="O13" s="336">
        <v>0</v>
      </c>
      <c r="P13" s="336">
        <f t="shared" si="0"/>
        <v>0</v>
      </c>
    </row>
    <row r="14" spans="1:16" s="427" customFormat="1" ht="27.95" customHeight="1">
      <c r="A14" s="284" t="s">
        <v>274</v>
      </c>
      <c r="B14" s="284" t="s">
        <v>164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/>
      <c r="J14" s="284">
        <v>0</v>
      </c>
      <c r="K14" s="284">
        <v>5000000</v>
      </c>
      <c r="L14" s="336">
        <v>10000000</v>
      </c>
      <c r="M14" s="336">
        <f>10000000*70%</f>
        <v>7000000</v>
      </c>
      <c r="N14" s="336">
        <f>10000000*70%</f>
        <v>7000000</v>
      </c>
      <c r="O14" s="336">
        <f>10000000*70%</f>
        <v>7000000</v>
      </c>
      <c r="P14" s="336">
        <f t="shared" si="0"/>
        <v>0</v>
      </c>
    </row>
    <row r="15" spans="1:16" ht="27.95" customHeight="1">
      <c r="A15" s="284" t="s">
        <v>275</v>
      </c>
      <c r="B15" s="284" t="s">
        <v>40</v>
      </c>
      <c r="C15" s="284" t="s">
        <v>4</v>
      </c>
      <c r="D15" s="284">
        <v>0</v>
      </c>
      <c r="E15" s="284">
        <v>0</v>
      </c>
      <c r="F15" s="284">
        <v>3000000</v>
      </c>
      <c r="G15" s="284">
        <v>2234400</v>
      </c>
      <c r="H15" s="284">
        <v>2234400</v>
      </c>
      <c r="I15" s="284">
        <v>0</v>
      </c>
      <c r="J15" s="284">
        <v>0</v>
      </c>
      <c r="K15" s="284">
        <v>12000000</v>
      </c>
      <c r="L15" s="336">
        <v>8000000</v>
      </c>
      <c r="M15" s="336">
        <f>8000000*70%</f>
        <v>5600000</v>
      </c>
      <c r="N15" s="336">
        <f>8000000*70%</f>
        <v>5600000</v>
      </c>
      <c r="O15" s="336">
        <f>8000000*70%</f>
        <v>5600000</v>
      </c>
      <c r="P15" s="336">
        <f t="shared" si="0"/>
        <v>0</v>
      </c>
    </row>
    <row r="16" spans="1:16" ht="27.95" customHeight="1">
      <c r="A16" s="284" t="s">
        <v>330</v>
      </c>
      <c r="B16" s="284" t="s">
        <v>171</v>
      </c>
      <c r="C16" s="284"/>
      <c r="D16" s="284"/>
      <c r="E16" s="284"/>
      <c r="F16" s="284"/>
      <c r="G16" s="284">
        <v>0</v>
      </c>
      <c r="H16" s="284">
        <v>100000000</v>
      </c>
      <c r="I16" s="284">
        <v>90000000</v>
      </c>
      <c r="J16" s="284">
        <v>0</v>
      </c>
      <c r="K16" s="284">
        <v>3000000</v>
      </c>
      <c r="L16" s="336">
        <v>0</v>
      </c>
      <c r="M16" s="336">
        <v>0</v>
      </c>
      <c r="N16" s="336">
        <v>0</v>
      </c>
      <c r="O16" s="336">
        <v>0</v>
      </c>
      <c r="P16" s="336">
        <f t="shared" si="0"/>
        <v>0</v>
      </c>
    </row>
    <row r="17" spans="1:16" ht="27.95" customHeight="1">
      <c r="A17" s="284" t="s">
        <v>733</v>
      </c>
      <c r="B17" s="284" t="s">
        <v>1113</v>
      </c>
      <c r="C17" s="292"/>
      <c r="D17" s="292"/>
      <c r="E17" s="292"/>
      <c r="F17" s="292"/>
      <c r="G17" s="292"/>
      <c r="H17" s="292"/>
      <c r="I17" s="284"/>
      <c r="J17" s="284"/>
      <c r="K17" s="284"/>
      <c r="L17" s="336"/>
      <c r="M17" s="336"/>
      <c r="N17" s="336">
        <v>24700000</v>
      </c>
      <c r="O17" s="336">
        <v>50229200</v>
      </c>
      <c r="P17" s="336">
        <f>O17-N17</f>
        <v>25529200</v>
      </c>
    </row>
    <row r="18" spans="1:16" ht="27.95" customHeight="1">
      <c r="A18" s="284" t="s">
        <v>1251</v>
      </c>
      <c r="B18" s="284" t="s">
        <v>1117</v>
      </c>
      <c r="C18" s="292">
        <v>0</v>
      </c>
      <c r="D18" s="292">
        <f>SUM(D13:D15)</f>
        <v>4000000</v>
      </c>
      <c r="E18" s="292">
        <f>SUM(E13:E15)</f>
        <v>8000000</v>
      </c>
      <c r="F18" s="292">
        <f>SUM(F13:F15)</f>
        <v>20000000</v>
      </c>
      <c r="G18" s="292">
        <f>SUM(G13:G16)</f>
        <v>14896000</v>
      </c>
      <c r="H18" s="292">
        <f>SUM(H13:H16)</f>
        <v>127234400</v>
      </c>
      <c r="I18" s="284">
        <v>11172000</v>
      </c>
      <c r="J18" s="284">
        <v>0</v>
      </c>
      <c r="K18" s="284">
        <v>10000000</v>
      </c>
      <c r="L18" s="336">
        <v>20000000</v>
      </c>
      <c r="M18" s="336">
        <v>320000000</v>
      </c>
      <c r="N18" s="336">
        <v>0</v>
      </c>
      <c r="O18" s="336">
        <v>50000000</v>
      </c>
      <c r="P18" s="336">
        <f t="shared" si="0"/>
        <v>50000000</v>
      </c>
    </row>
    <row r="19" spans="1:16" ht="27.95" customHeight="1">
      <c r="A19" s="284"/>
      <c r="B19" s="292" t="s">
        <v>119</v>
      </c>
      <c r="C19" s="284" t="s">
        <v>4</v>
      </c>
      <c r="D19" s="284"/>
      <c r="E19" s="284"/>
      <c r="F19" s="284"/>
      <c r="G19" s="284"/>
      <c r="H19" s="284"/>
      <c r="I19" s="284">
        <v>3724000</v>
      </c>
      <c r="J19" s="292">
        <f>SUM(J9:J18)</f>
        <v>0</v>
      </c>
      <c r="K19" s="292">
        <f>SUM(K11:K18)</f>
        <v>85000000</v>
      </c>
      <c r="L19" s="361">
        <f>SUM(L11:L18)</f>
        <v>84612616</v>
      </c>
      <c r="M19" s="361">
        <f>SUM(M11:M18)</f>
        <v>365228831.19999999</v>
      </c>
      <c r="N19" s="361">
        <f>SUM(N11:N18)</f>
        <v>65028831.200000003</v>
      </c>
      <c r="O19" s="361">
        <f>SUM(O11:O18)</f>
        <v>140558031.19999999</v>
      </c>
      <c r="P19" s="361">
        <f t="shared" si="0"/>
        <v>75529199.999999985</v>
      </c>
    </row>
    <row r="20" spans="1:16" s="427" customFormat="1" ht="27.95" customHeight="1">
      <c r="A20" s="292" t="s">
        <v>279</v>
      </c>
      <c r="B20" s="292" t="s">
        <v>278</v>
      </c>
      <c r="C20" s="284">
        <v>0</v>
      </c>
      <c r="D20" s="284">
        <v>6000000</v>
      </c>
      <c r="E20" s="284">
        <v>7200000</v>
      </c>
      <c r="F20" s="284">
        <v>10000000</v>
      </c>
      <c r="G20" s="284">
        <v>11172000</v>
      </c>
      <c r="H20" s="284">
        <v>11172000</v>
      </c>
      <c r="I20" s="292">
        <f>SUM(I15:I19)</f>
        <v>104896000</v>
      </c>
      <c r="J20" s="292"/>
      <c r="K20" s="292"/>
      <c r="L20" s="336"/>
      <c r="M20" s="336"/>
      <c r="N20" s="336"/>
      <c r="O20" s="336"/>
      <c r="P20" s="336">
        <f t="shared" si="0"/>
        <v>0</v>
      </c>
    </row>
    <row r="21" spans="1:16" ht="27.95" customHeight="1">
      <c r="A21" s="284" t="s">
        <v>281</v>
      </c>
      <c r="B21" s="284" t="s">
        <v>161</v>
      </c>
      <c r="C21" s="284">
        <v>0</v>
      </c>
      <c r="D21" s="284">
        <v>17000000</v>
      </c>
      <c r="E21" s="284">
        <v>9734400</v>
      </c>
      <c r="F21" s="284">
        <v>20000000</v>
      </c>
      <c r="G21" s="284">
        <v>18620000</v>
      </c>
      <c r="H21" s="284">
        <v>30000000</v>
      </c>
      <c r="I21" s="284"/>
      <c r="J21" s="284">
        <v>0</v>
      </c>
      <c r="K21" s="284">
        <v>150000000</v>
      </c>
      <c r="L21" s="336">
        <v>90936000</v>
      </c>
      <c r="M21" s="336">
        <f>90936000*70%</f>
        <v>63655199.999999993</v>
      </c>
      <c r="N21" s="336">
        <f>M21*80%</f>
        <v>50924160</v>
      </c>
      <c r="O21" s="336">
        <v>100924160</v>
      </c>
      <c r="P21" s="336">
        <f t="shared" si="0"/>
        <v>50000000</v>
      </c>
    </row>
    <row r="22" spans="1:16" ht="27.95" customHeight="1">
      <c r="A22" s="284" t="s">
        <v>282</v>
      </c>
      <c r="B22" s="284" t="s">
        <v>155</v>
      </c>
      <c r="C22" s="284">
        <v>0</v>
      </c>
      <c r="D22" s="284">
        <v>0</v>
      </c>
      <c r="E22" s="284">
        <v>14592000</v>
      </c>
      <c r="F22" s="284">
        <v>0</v>
      </c>
      <c r="G22" s="284">
        <v>0</v>
      </c>
      <c r="H22" s="284">
        <v>10000000</v>
      </c>
      <c r="I22" s="284">
        <v>0</v>
      </c>
      <c r="J22" s="284">
        <v>0</v>
      </c>
      <c r="K22" s="284">
        <v>18000000</v>
      </c>
      <c r="L22" s="336">
        <v>12000000</v>
      </c>
      <c r="M22" s="336">
        <f>12000000*70%</f>
        <v>8400000</v>
      </c>
      <c r="N22" s="336">
        <f>12000000*70%</f>
        <v>8400000</v>
      </c>
      <c r="O22" s="336">
        <v>23400000</v>
      </c>
      <c r="P22" s="336">
        <f t="shared" si="0"/>
        <v>15000000</v>
      </c>
    </row>
    <row r="23" spans="1:16" ht="27.95" customHeight="1">
      <c r="A23" s="284" t="s">
        <v>283</v>
      </c>
      <c r="B23" s="284" t="s">
        <v>156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3000000</v>
      </c>
      <c r="L23" s="336">
        <v>4000000</v>
      </c>
      <c r="M23" s="336">
        <f>4000000*70%</f>
        <v>2800000</v>
      </c>
      <c r="N23" s="336">
        <f>4000000*70%</f>
        <v>2800000</v>
      </c>
      <c r="O23" s="336">
        <f>4000000*70%</f>
        <v>2800000</v>
      </c>
      <c r="P23" s="336">
        <f t="shared" si="0"/>
        <v>0</v>
      </c>
    </row>
    <row r="24" spans="1:16" ht="27.95" customHeight="1">
      <c r="A24" s="284" t="s">
        <v>316</v>
      </c>
      <c r="B24" s="284" t="s">
        <v>425</v>
      </c>
      <c r="C24" s="284"/>
      <c r="D24" s="284"/>
      <c r="E24" s="284"/>
      <c r="F24" s="284"/>
      <c r="G24" s="284"/>
      <c r="H24" s="284"/>
      <c r="I24" s="284"/>
      <c r="J24" s="284">
        <v>0</v>
      </c>
      <c r="K24" s="284">
        <v>1500000</v>
      </c>
      <c r="L24" s="336">
        <v>0</v>
      </c>
      <c r="M24" s="336">
        <v>0</v>
      </c>
      <c r="N24" s="336">
        <v>0</v>
      </c>
      <c r="O24" s="336">
        <v>0</v>
      </c>
      <c r="P24" s="336">
        <f t="shared" si="0"/>
        <v>0</v>
      </c>
    </row>
    <row r="25" spans="1:16" ht="27.95" customHeight="1">
      <c r="A25" s="284" t="s">
        <v>298</v>
      </c>
      <c r="B25" s="284" t="s">
        <v>219</v>
      </c>
      <c r="C25" s="284">
        <v>0</v>
      </c>
      <c r="D25" s="284">
        <v>3000000</v>
      </c>
      <c r="E25" s="284">
        <v>8000000</v>
      </c>
      <c r="F25" s="284">
        <v>10000000</v>
      </c>
      <c r="G25" s="284">
        <v>7448000</v>
      </c>
      <c r="H25" s="284">
        <v>7448000</v>
      </c>
      <c r="I25" s="284">
        <v>2979200</v>
      </c>
      <c r="J25" s="284">
        <v>0</v>
      </c>
      <c r="K25" s="284">
        <v>3000000</v>
      </c>
      <c r="L25" s="336">
        <v>0</v>
      </c>
      <c r="M25" s="336">
        <v>0</v>
      </c>
      <c r="N25" s="336">
        <v>0</v>
      </c>
      <c r="O25" s="336">
        <v>0</v>
      </c>
      <c r="P25" s="336">
        <f t="shared" si="0"/>
        <v>0</v>
      </c>
    </row>
    <row r="26" spans="1:16" s="427" customFormat="1" ht="27.95" customHeight="1">
      <c r="A26" s="284"/>
      <c r="B26" s="292" t="s">
        <v>119</v>
      </c>
      <c r="C26" s="284">
        <v>0</v>
      </c>
      <c r="D26" s="284">
        <v>0</v>
      </c>
      <c r="E26" s="284"/>
      <c r="F26" s="284">
        <v>0</v>
      </c>
      <c r="G26" s="284">
        <v>0</v>
      </c>
      <c r="H26" s="284">
        <v>0</v>
      </c>
      <c r="I26" s="284">
        <v>4468800</v>
      </c>
      <c r="J26" s="292">
        <v>0</v>
      </c>
      <c r="K26" s="292">
        <f>SUM(K21:K25)</f>
        <v>175500000</v>
      </c>
      <c r="L26" s="361">
        <f>SUM(L21:L25)</f>
        <v>106936000</v>
      </c>
      <c r="M26" s="361">
        <f>SUM(M21:M25)</f>
        <v>74855200</v>
      </c>
      <c r="N26" s="361">
        <f>SUM(N21:N25)</f>
        <v>62124160</v>
      </c>
      <c r="O26" s="361">
        <f>SUM(O21:O25)</f>
        <v>127124160</v>
      </c>
      <c r="P26" s="361">
        <f t="shared" si="0"/>
        <v>65000000</v>
      </c>
    </row>
    <row r="27" spans="1:16" ht="27.95" customHeight="1">
      <c r="A27" s="292" t="s">
        <v>285</v>
      </c>
      <c r="B27" s="292" t="s">
        <v>158</v>
      </c>
      <c r="C27" s="284">
        <v>0</v>
      </c>
      <c r="D27" s="284">
        <v>0</v>
      </c>
      <c r="E27" s="284"/>
      <c r="F27" s="284">
        <v>0</v>
      </c>
      <c r="G27" s="284">
        <v>0</v>
      </c>
      <c r="H27" s="284">
        <v>0</v>
      </c>
      <c r="I27" s="292">
        <f>SUM(I22:I26)</f>
        <v>7448000</v>
      </c>
      <c r="J27" s="292"/>
      <c r="K27" s="292"/>
      <c r="L27" s="336"/>
      <c r="M27" s="336"/>
      <c r="N27" s="336"/>
      <c r="O27" s="336"/>
      <c r="P27" s="336">
        <f t="shared" si="0"/>
        <v>0</v>
      </c>
    </row>
    <row r="28" spans="1:16" ht="27.95" customHeight="1">
      <c r="A28" s="284" t="s">
        <v>286</v>
      </c>
      <c r="B28" s="284" t="s">
        <v>55</v>
      </c>
      <c r="C28" s="284">
        <v>0</v>
      </c>
      <c r="D28" s="284">
        <v>0</v>
      </c>
      <c r="E28" s="284"/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284">
        <v>15000000</v>
      </c>
      <c r="L28" s="336">
        <v>20000000</v>
      </c>
      <c r="M28" s="336">
        <f>20000000*70%</f>
        <v>14000000</v>
      </c>
      <c r="N28" s="336">
        <f>20000000*70%</f>
        <v>14000000</v>
      </c>
      <c r="O28" s="336">
        <v>20000000</v>
      </c>
      <c r="P28" s="336">
        <f t="shared" si="0"/>
        <v>6000000</v>
      </c>
    </row>
    <row r="29" spans="1:16" ht="27.95" customHeight="1">
      <c r="A29" s="284" t="s">
        <v>288</v>
      </c>
      <c r="B29" s="284" t="s">
        <v>287</v>
      </c>
      <c r="C29" s="284">
        <v>0</v>
      </c>
      <c r="D29" s="284">
        <v>5000000</v>
      </c>
      <c r="E29" s="284">
        <v>6400000</v>
      </c>
      <c r="F29" s="284">
        <v>10000000</v>
      </c>
      <c r="G29" s="284">
        <v>7448000</v>
      </c>
      <c r="H29" s="284">
        <v>7448000</v>
      </c>
      <c r="I29" s="284">
        <v>12661600</v>
      </c>
      <c r="J29" s="284">
        <v>0</v>
      </c>
      <c r="K29" s="284">
        <v>0</v>
      </c>
      <c r="L29" s="336">
        <v>0</v>
      </c>
      <c r="M29" s="336">
        <v>0</v>
      </c>
      <c r="N29" s="336">
        <v>0</v>
      </c>
      <c r="O29" s="336">
        <v>60000000</v>
      </c>
      <c r="P29" s="336">
        <f t="shared" si="0"/>
        <v>60000000</v>
      </c>
    </row>
    <row r="30" spans="1:16" ht="27.95" customHeight="1">
      <c r="A30" s="284" t="s">
        <v>289</v>
      </c>
      <c r="B30" s="284" t="s">
        <v>290</v>
      </c>
      <c r="C30" s="284">
        <v>0</v>
      </c>
      <c r="D30" s="284">
        <v>0</v>
      </c>
      <c r="E30" s="284">
        <v>28000000</v>
      </c>
      <c r="F30" s="284">
        <v>40000000</v>
      </c>
      <c r="G30" s="284">
        <v>37240000</v>
      </c>
      <c r="H30" s="284">
        <v>75000000</v>
      </c>
      <c r="I30" s="284">
        <v>0</v>
      </c>
      <c r="J30" s="284">
        <v>0</v>
      </c>
      <c r="K30" s="284">
        <v>0</v>
      </c>
      <c r="L30" s="336">
        <v>5000000</v>
      </c>
      <c r="M30" s="336">
        <f>5000000*70%</f>
        <v>3500000</v>
      </c>
      <c r="N30" s="336">
        <f>5000000*70%</f>
        <v>3500000</v>
      </c>
      <c r="O30" s="336">
        <f>5000000*70%</f>
        <v>3500000</v>
      </c>
      <c r="P30" s="336">
        <f t="shared" si="0"/>
        <v>0</v>
      </c>
    </row>
    <row r="31" spans="1:16" ht="27.95" customHeight="1">
      <c r="A31" s="284"/>
      <c r="B31" s="292" t="s">
        <v>119</v>
      </c>
      <c r="C31" s="284"/>
      <c r="D31" s="284"/>
      <c r="E31" s="284"/>
      <c r="F31" s="284">
        <v>0</v>
      </c>
      <c r="G31" s="284">
        <v>0</v>
      </c>
      <c r="H31" s="284">
        <v>0</v>
      </c>
      <c r="I31" s="292">
        <f>SUM(I28:I30)</f>
        <v>12661600</v>
      </c>
      <c r="J31" s="292">
        <v>0</v>
      </c>
      <c r="K31" s="292">
        <f>SUM(K28:K30)</f>
        <v>15000000</v>
      </c>
      <c r="L31" s="361">
        <f>SUM(L28:L30)</f>
        <v>25000000</v>
      </c>
      <c r="M31" s="361">
        <f>SUM(M28:M30)</f>
        <v>17500000</v>
      </c>
      <c r="N31" s="361">
        <f>SUM(N28:N30)</f>
        <v>17500000</v>
      </c>
      <c r="O31" s="361">
        <f>SUM(O28:O30)</f>
        <v>83500000</v>
      </c>
      <c r="P31" s="361">
        <f t="shared" si="0"/>
        <v>66000000</v>
      </c>
    </row>
    <row r="32" spans="1:16" s="450" customFormat="1" ht="27.95" customHeight="1" thickBot="1">
      <c r="A32" s="292" t="s">
        <v>293</v>
      </c>
      <c r="B32" s="292" t="s">
        <v>292</v>
      </c>
      <c r="C32" s="405">
        <v>0</v>
      </c>
      <c r="D32" s="405">
        <f>SUM(D20:D30)</f>
        <v>31000000</v>
      </c>
      <c r="E32" s="405">
        <f>SUM(E20:E30)</f>
        <v>73926400</v>
      </c>
      <c r="F32" s="405">
        <f>SUM(F20:F31)</f>
        <v>90000000</v>
      </c>
      <c r="G32" s="405">
        <f>SUM(G20:G31)</f>
        <v>81928000</v>
      </c>
      <c r="H32" s="405">
        <f>SUM(H20:H31)</f>
        <v>141068000</v>
      </c>
      <c r="I32" s="405" t="e">
        <f>I31+I27+I20+I13+#REF!</f>
        <v>#REF!</v>
      </c>
      <c r="J32" s="394"/>
      <c r="K32" s="394"/>
      <c r="L32" s="336"/>
      <c r="M32" s="336"/>
      <c r="N32" s="336"/>
      <c r="O32" s="336"/>
      <c r="P32" s="336">
        <f t="shared" si="0"/>
        <v>0</v>
      </c>
    </row>
    <row r="33" spans="1:17" ht="27.95" customHeight="1">
      <c r="A33" s="292" t="s">
        <v>294</v>
      </c>
      <c r="B33" s="292" t="s">
        <v>291</v>
      </c>
      <c r="C33" s="666"/>
      <c r="D33" s="666">
        <v>0</v>
      </c>
      <c r="E33" s="666"/>
      <c r="F33" s="666"/>
      <c r="G33" s="666"/>
      <c r="H33" s="666"/>
      <c r="I33" s="667"/>
      <c r="J33" s="358"/>
      <c r="K33" s="358"/>
      <c r="L33" s="336"/>
      <c r="M33" s="336"/>
      <c r="N33" s="336"/>
      <c r="O33" s="336"/>
      <c r="P33" s="336">
        <f t="shared" si="0"/>
        <v>0</v>
      </c>
    </row>
    <row r="34" spans="1:17" ht="27.95" customHeight="1">
      <c r="A34" s="284" t="s">
        <v>389</v>
      </c>
      <c r="B34" s="284" t="s">
        <v>307</v>
      </c>
      <c r="C34" s="395"/>
      <c r="D34" s="395" t="e">
        <f>#REF!-D33</f>
        <v>#REF!</v>
      </c>
      <c r="E34" s="395"/>
      <c r="F34" s="395"/>
      <c r="G34" s="395"/>
      <c r="H34" s="395"/>
      <c r="I34" s="395"/>
      <c r="J34" s="284">
        <v>0</v>
      </c>
      <c r="K34" s="284">
        <v>0</v>
      </c>
      <c r="L34" s="336">
        <v>0</v>
      </c>
      <c r="M34" s="336">
        <v>0</v>
      </c>
      <c r="N34" s="336">
        <v>0</v>
      </c>
      <c r="O34" s="336">
        <v>0</v>
      </c>
      <c r="P34" s="336">
        <f t="shared" si="0"/>
        <v>0</v>
      </c>
    </row>
    <row r="35" spans="1:17" ht="27.95" customHeight="1">
      <c r="A35" s="284" t="s">
        <v>388</v>
      </c>
      <c r="B35" s="284" t="s">
        <v>309</v>
      </c>
      <c r="C35" s="379"/>
      <c r="D35" s="379"/>
      <c r="E35" s="379"/>
      <c r="F35" s="379"/>
      <c r="G35" s="379"/>
      <c r="H35" s="379"/>
      <c r="I35" s="379"/>
      <c r="J35" s="284">
        <v>0</v>
      </c>
      <c r="K35" s="284">
        <v>0</v>
      </c>
      <c r="L35" s="336">
        <v>0</v>
      </c>
      <c r="M35" s="336">
        <v>0</v>
      </c>
      <c r="N35" s="336">
        <v>0</v>
      </c>
      <c r="O35" s="336">
        <v>120000000</v>
      </c>
      <c r="P35" s="336">
        <f t="shared" si="0"/>
        <v>120000000</v>
      </c>
    </row>
    <row r="36" spans="1:17" s="427" customFormat="1" ht="27.95" customHeight="1">
      <c r="A36" s="389" t="s">
        <v>295</v>
      </c>
      <c r="B36" s="389" t="s">
        <v>176</v>
      </c>
      <c r="C36" s="379"/>
      <c r="D36" s="379"/>
      <c r="E36" s="379"/>
      <c r="F36" s="379"/>
      <c r="G36" s="379"/>
      <c r="H36" s="379"/>
      <c r="I36" s="379"/>
      <c r="J36" s="389">
        <v>0</v>
      </c>
      <c r="K36" s="675">
        <v>2000000</v>
      </c>
      <c r="L36" s="392">
        <v>0</v>
      </c>
      <c r="M36" s="392">
        <v>0</v>
      </c>
      <c r="N36" s="392">
        <v>0</v>
      </c>
      <c r="O36" s="392">
        <v>0</v>
      </c>
      <c r="P36" s="392">
        <f t="shared" si="0"/>
        <v>0</v>
      </c>
      <c r="Q36" s="649"/>
    </row>
    <row r="37" spans="1:17" ht="27.95" customHeight="1">
      <c r="A37" s="284" t="s">
        <v>296</v>
      </c>
      <c r="B37" s="284" t="s">
        <v>177</v>
      </c>
      <c r="C37" s="335"/>
      <c r="D37" s="335"/>
      <c r="E37" s="335"/>
      <c r="F37" s="335"/>
      <c r="G37" s="335"/>
      <c r="H37" s="335"/>
      <c r="I37" s="335"/>
      <c r="J37" s="284">
        <v>0</v>
      </c>
      <c r="K37" s="360">
        <v>3000000</v>
      </c>
      <c r="L37" s="336">
        <v>0</v>
      </c>
      <c r="M37" s="336">
        <v>0</v>
      </c>
      <c r="N37" s="336">
        <v>0</v>
      </c>
      <c r="O37" s="336">
        <v>0</v>
      </c>
      <c r="P37" s="336">
        <f t="shared" si="0"/>
        <v>0</v>
      </c>
    </row>
    <row r="38" spans="1:17" ht="27.95" customHeight="1">
      <c r="A38" s="284"/>
      <c r="B38" s="292" t="s">
        <v>119</v>
      </c>
      <c r="C38" s="335"/>
      <c r="D38" s="335"/>
      <c r="E38" s="335"/>
      <c r="F38" s="335"/>
      <c r="G38" s="335"/>
      <c r="H38" s="335"/>
      <c r="I38" s="335"/>
      <c r="J38" s="292">
        <v>0</v>
      </c>
      <c r="K38" s="383">
        <f>SUM(K34:K37)</f>
        <v>5000000</v>
      </c>
      <c r="L38" s="361">
        <f>SUM(L34:L37)</f>
        <v>0</v>
      </c>
      <c r="M38" s="361">
        <f>SUM(M34:M37)</f>
        <v>0</v>
      </c>
      <c r="N38" s="361">
        <f>SUM(N34:N37)</f>
        <v>0</v>
      </c>
      <c r="O38" s="361">
        <f>SUM(O34:O37)</f>
        <v>120000000</v>
      </c>
      <c r="P38" s="361">
        <f t="shared" si="0"/>
        <v>120000000</v>
      </c>
    </row>
    <row r="39" spans="1:17" ht="27.95" customHeight="1">
      <c r="A39" s="284"/>
      <c r="B39" s="292" t="s">
        <v>42</v>
      </c>
      <c r="C39" s="335"/>
      <c r="D39" s="335"/>
      <c r="E39" s="335"/>
      <c r="F39" s="335"/>
      <c r="G39" s="335"/>
      <c r="H39" s="335"/>
      <c r="I39" s="335"/>
      <c r="J39" s="292">
        <v>0</v>
      </c>
      <c r="K39" s="383">
        <f>K38+K31+K26+K19+K8</f>
        <v>352771200</v>
      </c>
      <c r="L39" s="361">
        <f>L38+L31+L26+L19+L8</f>
        <v>420303816</v>
      </c>
      <c r="M39" s="361">
        <f>M38+M31+M26+M19+M8</f>
        <v>732938431.20000005</v>
      </c>
      <c r="N39" s="361">
        <f>N38+N31+N26+N19+N8</f>
        <v>557047391.20000005</v>
      </c>
      <c r="O39" s="361">
        <f>O38+O31+O26+O19+O8</f>
        <v>940271791.20000005</v>
      </c>
      <c r="P39" s="361">
        <f t="shared" si="0"/>
        <v>383224400</v>
      </c>
    </row>
    <row r="40" spans="1:17" ht="24" customHeight="1">
      <c r="A40" s="678"/>
      <c r="B40" s="679"/>
      <c r="C40" s="678"/>
      <c r="D40" s="678"/>
      <c r="E40" s="678"/>
      <c r="F40" s="678"/>
      <c r="G40" s="678"/>
      <c r="H40" s="678"/>
      <c r="I40" s="678"/>
      <c r="J40" s="678"/>
      <c r="K40" s="680"/>
      <c r="L40" s="681"/>
      <c r="M40" s="681"/>
      <c r="N40" s="681"/>
      <c r="O40" s="681"/>
      <c r="P40" s="681"/>
    </row>
    <row r="41" spans="1:17" ht="24" customHeight="1">
      <c r="F41" s="155">
        <f>1386274192-71600000-798000-176160000-12600000</f>
        <v>1125116192</v>
      </c>
      <c r="K41" s="682"/>
      <c r="L41" s="682"/>
      <c r="M41" s="682"/>
      <c r="N41" s="682"/>
      <c r="O41" s="682"/>
      <c r="P41" s="682"/>
    </row>
    <row r="42" spans="1:17" ht="24" customHeight="1">
      <c r="K42" s="682"/>
      <c r="L42" s="682"/>
      <c r="M42" s="682"/>
      <c r="N42" s="682"/>
      <c r="O42" s="682"/>
      <c r="P42" s="682"/>
    </row>
    <row r="43" spans="1:17" ht="24" customHeight="1">
      <c r="K43" s="682"/>
      <c r="L43" s="682"/>
      <c r="M43" s="682"/>
      <c r="N43" s="682"/>
      <c r="O43" s="682"/>
      <c r="P43" s="682"/>
    </row>
    <row r="44" spans="1:17" ht="24" customHeight="1">
      <c r="K44" s="682"/>
      <c r="L44" s="682"/>
      <c r="M44" s="682"/>
      <c r="N44" s="682"/>
      <c r="O44" s="682"/>
      <c r="P44" s="682"/>
    </row>
    <row r="45" spans="1:17" ht="24" customHeight="1">
      <c r="K45" s="682"/>
      <c r="L45" s="682"/>
      <c r="M45" s="682"/>
      <c r="N45" s="682"/>
      <c r="O45" s="682"/>
      <c r="P45" s="682"/>
    </row>
    <row r="46" spans="1:17" ht="24" customHeight="1">
      <c r="K46" s="682"/>
      <c r="L46" s="682"/>
      <c r="M46" s="682"/>
      <c r="N46" s="682"/>
      <c r="O46" s="682"/>
      <c r="P46" s="682"/>
    </row>
    <row r="47" spans="1:17" ht="24" customHeight="1">
      <c r="K47" s="682"/>
      <c r="L47" s="682"/>
      <c r="M47" s="682"/>
      <c r="N47" s="682"/>
      <c r="O47" s="682"/>
      <c r="P47" s="682"/>
    </row>
    <row r="48" spans="1:17" ht="24" customHeight="1">
      <c r="K48" s="682"/>
      <c r="L48" s="682"/>
      <c r="M48" s="682"/>
      <c r="N48" s="682"/>
      <c r="O48" s="682"/>
      <c r="P48" s="682"/>
    </row>
    <row r="49" spans="11:16" ht="24" customHeight="1">
      <c r="K49" s="682"/>
      <c r="L49" s="682"/>
      <c r="M49" s="682"/>
      <c r="N49" s="682"/>
      <c r="O49" s="682"/>
      <c r="P49" s="682"/>
    </row>
    <row r="50" spans="11:16" ht="24" customHeight="1">
      <c r="K50" s="682"/>
      <c r="L50" s="682"/>
      <c r="M50" s="682"/>
      <c r="N50" s="682"/>
      <c r="O50" s="682"/>
      <c r="P50" s="682"/>
    </row>
    <row r="51" spans="11:16" ht="24" customHeight="1">
      <c r="K51" s="682"/>
      <c r="L51" s="682"/>
      <c r="M51" s="682"/>
      <c r="N51" s="682"/>
      <c r="O51" s="682"/>
      <c r="P51" s="682"/>
    </row>
    <row r="52" spans="11:16" ht="24" customHeight="1">
      <c r="K52" s="682"/>
      <c r="L52" s="682"/>
      <c r="M52" s="682"/>
      <c r="N52" s="682"/>
      <c r="O52" s="682"/>
      <c r="P52" s="682"/>
    </row>
  </sheetData>
  <phoneticPr fontId="0" type="noConversion"/>
  <printOptions gridLines="1"/>
  <pageMargins left="0.55000000000000004" right="0.25" top="0.67" bottom="0.48" header="0.2" footer="0.25"/>
  <pageSetup scale="65" orientation="portrait" r:id="rId1"/>
  <headerFooter alignWithMargins="0">
    <oddHeader xml:space="preserve">&amp;C&amp;"Algerian,Bold"&amp;24Guddiga Qandaraaska Qaranka </oddHeader>
    <oddFooter>&amp;R&amp;"Times New Roman,Bold"&amp;14 &amp;16 45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39"/>
  <dimension ref="A1:Q35"/>
  <sheetViews>
    <sheetView view="pageBreakPreview" zoomScale="60" workbookViewId="0">
      <selection sqref="A1:XFD1048576"/>
    </sheetView>
  </sheetViews>
  <sheetFormatPr defaultRowHeight="12.75"/>
  <cols>
    <col min="1" max="1" width="18.1640625" style="386" bestFit="1" customWidth="1"/>
    <col min="2" max="2" width="83.1640625" style="386" bestFit="1" customWidth="1"/>
    <col min="3" max="3" width="9" style="386" hidden="1" customWidth="1"/>
    <col min="4" max="4" width="0.83203125" style="386" hidden="1" customWidth="1"/>
    <col min="5" max="5" width="0.5" style="386" hidden="1" customWidth="1"/>
    <col min="6" max="6" width="9.33203125" style="386" hidden="1" customWidth="1"/>
    <col min="7" max="7" width="14.6640625" style="386" hidden="1" customWidth="1"/>
    <col min="8" max="9" width="16.5" style="386" hidden="1" customWidth="1"/>
    <col min="10" max="10" width="0.1640625" style="386" hidden="1" customWidth="1"/>
    <col min="11" max="11" width="16.5" style="386" hidden="1" customWidth="1"/>
    <col min="12" max="12" width="14.83203125" style="386" hidden="1" customWidth="1"/>
    <col min="13" max="13" width="0.1640625" style="386" hidden="1" customWidth="1"/>
    <col min="14" max="14" width="19.33203125" style="386" hidden="1" customWidth="1"/>
    <col min="15" max="16" width="24.5" style="462" bestFit="1" customWidth="1"/>
    <col min="17" max="17" width="22.5" style="462" bestFit="1" customWidth="1"/>
    <col min="18" max="16384" width="9.33203125" style="386"/>
  </cols>
  <sheetData>
    <row r="1" spans="1:17" ht="32.1" customHeight="1">
      <c r="A1" s="373" t="s">
        <v>45</v>
      </c>
      <c r="B1" s="443" t="s">
        <v>525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292"/>
      <c r="P1" s="292"/>
      <c r="Q1" s="292"/>
    </row>
    <row r="2" spans="1:17" ht="32.1" customHeight="1">
      <c r="A2" s="373" t="s">
        <v>30</v>
      </c>
      <c r="B2" s="373" t="s">
        <v>31</v>
      </c>
      <c r="C2" s="373" t="s">
        <v>43</v>
      </c>
      <c r="D2" s="373" t="s">
        <v>2</v>
      </c>
      <c r="E2" s="373" t="s">
        <v>48</v>
      </c>
      <c r="F2" s="378" t="s">
        <v>52</v>
      </c>
      <c r="G2" s="378" t="s">
        <v>52</v>
      </c>
      <c r="H2" s="378" t="s">
        <v>62</v>
      </c>
      <c r="I2" s="378" t="s">
        <v>69</v>
      </c>
      <c r="J2" s="378" t="s">
        <v>130</v>
      </c>
      <c r="K2" s="378" t="s">
        <v>135</v>
      </c>
      <c r="L2" s="378" t="s">
        <v>144</v>
      </c>
      <c r="M2" s="378" t="s">
        <v>182</v>
      </c>
      <c r="N2" s="378" t="s">
        <v>325</v>
      </c>
      <c r="O2" s="271" t="s">
        <v>643</v>
      </c>
      <c r="P2" s="271" t="s">
        <v>1111</v>
      </c>
      <c r="Q2" s="271" t="s">
        <v>63</v>
      </c>
    </row>
    <row r="3" spans="1:17" ht="32.1" customHeight="1">
      <c r="A3" s="284" t="s">
        <v>247</v>
      </c>
      <c r="B3" s="335" t="s">
        <v>32</v>
      </c>
      <c r="C3" s="335"/>
      <c r="D3" s="335"/>
      <c r="E3" s="335"/>
      <c r="F3" s="335"/>
      <c r="G3" s="335" t="s">
        <v>4</v>
      </c>
      <c r="H3" s="335"/>
      <c r="I3" s="335"/>
      <c r="J3" s="335"/>
      <c r="K3" s="335"/>
      <c r="L3" s="683">
        <v>79965600</v>
      </c>
      <c r="M3" s="607">
        <v>115965600</v>
      </c>
      <c r="N3" s="607">
        <f>'shaq,3'!H48+36000000+20976000</f>
        <v>153040800</v>
      </c>
      <c r="O3" s="362">
        <v>106236000</v>
      </c>
      <c r="P3" s="362">
        <v>97938800</v>
      </c>
      <c r="Q3" s="362">
        <f>P3-O3</f>
        <v>-8297200</v>
      </c>
    </row>
    <row r="4" spans="1:17" ht="32.1" customHeight="1">
      <c r="A4" s="284" t="s">
        <v>251</v>
      </c>
      <c r="B4" s="335" t="s">
        <v>904</v>
      </c>
      <c r="C4" s="284">
        <v>14053000</v>
      </c>
      <c r="D4" s="284">
        <v>18828000</v>
      </c>
      <c r="E4" s="284">
        <v>23040000</v>
      </c>
      <c r="F4" s="284">
        <v>22740000</v>
      </c>
      <c r="G4" s="284">
        <v>0</v>
      </c>
      <c r="H4" s="284">
        <f>36948000+3192000</f>
        <v>40140000</v>
      </c>
      <c r="I4" s="284">
        <v>49404000</v>
      </c>
      <c r="J4" s="284">
        <v>79965600</v>
      </c>
      <c r="K4" s="284">
        <v>79965600</v>
      </c>
      <c r="L4" s="683">
        <v>6780000</v>
      </c>
      <c r="M4" s="477">
        <v>6780000</v>
      </c>
      <c r="N4" s="477">
        <v>13560000</v>
      </c>
      <c r="O4" s="362">
        <v>67560000</v>
      </c>
      <c r="P4" s="362">
        <v>67560000</v>
      </c>
      <c r="Q4" s="362">
        <f t="shared" ref="Q4:Q35" si="0">P4-O4</f>
        <v>0</v>
      </c>
    </row>
    <row r="5" spans="1:17" ht="32.1" customHeight="1">
      <c r="A5" s="284" t="s">
        <v>252</v>
      </c>
      <c r="B5" s="335" t="s">
        <v>142</v>
      </c>
      <c r="C5" s="284">
        <v>363600</v>
      </c>
      <c r="D5" s="284">
        <v>0</v>
      </c>
      <c r="E5" s="284">
        <v>0</v>
      </c>
      <c r="F5" s="284">
        <v>0</v>
      </c>
      <c r="G5" s="284">
        <v>0</v>
      </c>
      <c r="H5" s="284">
        <v>6780000</v>
      </c>
      <c r="I5" s="284">
        <v>6780000</v>
      </c>
      <c r="J5" s="284">
        <v>6780000</v>
      </c>
      <c r="K5" s="284">
        <v>6780000</v>
      </c>
      <c r="L5" s="683">
        <v>28800000</v>
      </c>
      <c r="M5" s="477">
        <f>26400000+2400000</f>
        <v>28800000</v>
      </c>
      <c r="N5" s="477">
        <f>26400000+2400000</f>
        <v>28800000</v>
      </c>
      <c r="O5" s="362">
        <v>68400000</v>
      </c>
      <c r="P5" s="362">
        <v>68400000</v>
      </c>
      <c r="Q5" s="362">
        <f t="shared" si="0"/>
        <v>0</v>
      </c>
    </row>
    <row r="6" spans="1:17" ht="32.1" customHeight="1">
      <c r="A6" s="284" t="s">
        <v>254</v>
      </c>
      <c r="B6" s="335" t="s">
        <v>675</v>
      </c>
      <c r="C6" s="284">
        <v>0</v>
      </c>
      <c r="D6" s="284">
        <v>0</v>
      </c>
      <c r="E6" s="284">
        <v>0</v>
      </c>
      <c r="F6" s="284">
        <v>0</v>
      </c>
      <c r="G6" s="284">
        <v>0</v>
      </c>
      <c r="H6" s="284">
        <v>0</v>
      </c>
      <c r="I6" s="284">
        <v>0</v>
      </c>
      <c r="J6" s="284">
        <v>0</v>
      </c>
      <c r="K6" s="284">
        <v>0</v>
      </c>
      <c r="L6" s="283">
        <v>0</v>
      </c>
      <c r="M6" s="362">
        <v>0</v>
      </c>
      <c r="N6" s="362">
        <v>24000000</v>
      </c>
      <c r="O6" s="362">
        <f>N6</f>
        <v>24000000</v>
      </c>
      <c r="P6" s="362">
        <f>O6</f>
        <v>24000000</v>
      </c>
      <c r="Q6" s="362">
        <f t="shared" si="0"/>
        <v>0</v>
      </c>
    </row>
    <row r="7" spans="1:17" ht="32.1" customHeight="1">
      <c r="A7" s="284"/>
      <c r="B7" s="292" t="s">
        <v>119</v>
      </c>
      <c r="C7" s="284">
        <v>0</v>
      </c>
      <c r="D7" s="284">
        <v>0</v>
      </c>
      <c r="E7" s="284">
        <v>0</v>
      </c>
      <c r="F7" s="284">
        <v>0</v>
      </c>
      <c r="G7" s="284">
        <v>0</v>
      </c>
      <c r="H7" s="284">
        <v>0</v>
      </c>
      <c r="I7" s="284">
        <v>0</v>
      </c>
      <c r="J7" s="284">
        <v>0</v>
      </c>
      <c r="K7" s="284">
        <v>0</v>
      </c>
      <c r="L7" s="372">
        <f>SUM(L3:L6)</f>
        <v>115545600</v>
      </c>
      <c r="M7" s="382">
        <f>SUM(M3:M6)</f>
        <v>151545600</v>
      </c>
      <c r="N7" s="382">
        <f>SUM(N3:N6)</f>
        <v>219400800</v>
      </c>
      <c r="O7" s="382">
        <f>SUM(O3:O6)</f>
        <v>266196000</v>
      </c>
      <c r="P7" s="382">
        <f>SUM(P3:P6)</f>
        <v>257898800</v>
      </c>
      <c r="Q7" s="382">
        <f t="shared" si="0"/>
        <v>-8297200</v>
      </c>
    </row>
    <row r="8" spans="1:17" s="387" customFormat="1" ht="32.1" customHeight="1">
      <c r="A8" s="292" t="s">
        <v>35</v>
      </c>
      <c r="B8" s="292" t="s">
        <v>36</v>
      </c>
      <c r="C8" s="284">
        <f t="shared" ref="C8:K8" si="1">SUM(C4:C7)</f>
        <v>14416600</v>
      </c>
      <c r="D8" s="284">
        <f t="shared" si="1"/>
        <v>18828000</v>
      </c>
      <c r="E8" s="284">
        <f t="shared" si="1"/>
        <v>23040000</v>
      </c>
      <c r="F8" s="284">
        <f t="shared" si="1"/>
        <v>22740000</v>
      </c>
      <c r="G8" s="284">
        <f t="shared" si="1"/>
        <v>0</v>
      </c>
      <c r="H8" s="284">
        <f t="shared" si="1"/>
        <v>46920000</v>
      </c>
      <c r="I8" s="292">
        <f t="shared" si="1"/>
        <v>56184000</v>
      </c>
      <c r="J8" s="292">
        <f t="shared" si="1"/>
        <v>86745600</v>
      </c>
      <c r="K8" s="292">
        <f t="shared" si="1"/>
        <v>86745600</v>
      </c>
      <c r="L8" s="371"/>
      <c r="M8" s="382"/>
      <c r="N8" s="382"/>
      <c r="O8" s="382"/>
      <c r="P8" s="382"/>
      <c r="Q8" s="382">
        <f t="shared" si="0"/>
        <v>0</v>
      </c>
    </row>
    <row r="9" spans="1:17" ht="32.1" customHeight="1">
      <c r="A9" s="284" t="s">
        <v>266</v>
      </c>
      <c r="B9" s="284" t="s">
        <v>38</v>
      </c>
      <c r="C9" s="284"/>
      <c r="D9" s="284"/>
      <c r="E9" s="284"/>
      <c r="F9" s="284"/>
      <c r="G9" s="284"/>
      <c r="H9" s="284"/>
      <c r="I9" s="284"/>
      <c r="J9" s="284"/>
      <c r="K9" s="284"/>
      <c r="L9" s="283">
        <v>24578400</v>
      </c>
      <c r="M9" s="362">
        <v>50578400</v>
      </c>
      <c r="N9" s="362">
        <f>50578400*70%</f>
        <v>35404880</v>
      </c>
      <c r="O9" s="362">
        <f>50578400*70%</f>
        <v>35404880</v>
      </c>
      <c r="P9" s="362">
        <v>45404880</v>
      </c>
      <c r="Q9" s="362">
        <f t="shared" si="0"/>
        <v>10000000</v>
      </c>
    </row>
    <row r="10" spans="1:17" ht="32.1" customHeight="1">
      <c r="A10" s="284" t="s">
        <v>269</v>
      </c>
      <c r="B10" s="284" t="s">
        <v>39</v>
      </c>
      <c r="C10" s="284">
        <v>0</v>
      </c>
      <c r="D10" s="284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3">
        <v>8937600</v>
      </c>
      <c r="M10" s="362">
        <v>18937600</v>
      </c>
      <c r="N10" s="362">
        <f>18937600*70%</f>
        <v>13256320</v>
      </c>
      <c r="O10" s="362">
        <f>18937600*70%</f>
        <v>13256320</v>
      </c>
      <c r="P10" s="362">
        <f>18937600*70%</f>
        <v>13256320</v>
      </c>
      <c r="Q10" s="362">
        <f t="shared" si="0"/>
        <v>0</v>
      </c>
    </row>
    <row r="11" spans="1:17" ht="32.1" customHeight="1">
      <c r="A11" s="284" t="s">
        <v>270</v>
      </c>
      <c r="B11" s="284" t="s">
        <v>163</v>
      </c>
      <c r="C11" s="284">
        <v>7576740</v>
      </c>
      <c r="D11" s="284">
        <v>6576534</v>
      </c>
      <c r="E11" s="284">
        <v>6576534</v>
      </c>
      <c r="F11" s="284">
        <v>11000000</v>
      </c>
      <c r="G11" s="284">
        <v>0</v>
      </c>
      <c r="H11" s="284">
        <v>45560000</v>
      </c>
      <c r="I11" s="284">
        <v>100000000</v>
      </c>
      <c r="J11" s="284">
        <v>100000000</v>
      </c>
      <c r="K11" s="284">
        <v>115000000</v>
      </c>
      <c r="L11" s="283">
        <v>0</v>
      </c>
      <c r="M11" s="362">
        <v>0</v>
      </c>
      <c r="N11" s="362">
        <v>0</v>
      </c>
      <c r="O11" s="362">
        <v>0</v>
      </c>
      <c r="P11" s="362">
        <v>0</v>
      </c>
      <c r="Q11" s="362">
        <f t="shared" si="0"/>
        <v>0</v>
      </c>
    </row>
    <row r="12" spans="1:17" ht="32.1" customHeight="1">
      <c r="A12" s="284" t="s">
        <v>272</v>
      </c>
      <c r="B12" s="284" t="s">
        <v>54</v>
      </c>
      <c r="C12" s="284">
        <v>1000000</v>
      </c>
      <c r="D12" s="284">
        <v>1000000</v>
      </c>
      <c r="E12" s="284">
        <v>1000000</v>
      </c>
      <c r="F12" s="284">
        <v>1000000</v>
      </c>
      <c r="G12" s="284">
        <v>0</v>
      </c>
      <c r="H12" s="284">
        <v>12000000</v>
      </c>
      <c r="I12" s="284">
        <v>15000000</v>
      </c>
      <c r="J12" s="284">
        <v>14896000</v>
      </c>
      <c r="K12" s="284">
        <v>14896000</v>
      </c>
      <c r="L12" s="283">
        <v>0</v>
      </c>
      <c r="M12" s="362">
        <v>0</v>
      </c>
      <c r="N12" s="362">
        <v>0</v>
      </c>
      <c r="O12" s="362">
        <v>0</v>
      </c>
      <c r="P12" s="362">
        <v>20000000</v>
      </c>
      <c r="Q12" s="362">
        <f t="shared" si="0"/>
        <v>20000000</v>
      </c>
    </row>
    <row r="13" spans="1:17" ht="32.1" customHeight="1">
      <c r="A13" s="284" t="s">
        <v>274</v>
      </c>
      <c r="B13" s="284" t="s">
        <v>164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3">
        <v>8937600</v>
      </c>
      <c r="M13" s="362">
        <v>9165672</v>
      </c>
      <c r="N13" s="362">
        <v>9165672</v>
      </c>
      <c r="O13" s="362">
        <v>9165672</v>
      </c>
      <c r="P13" s="362">
        <v>9165672</v>
      </c>
      <c r="Q13" s="362">
        <f t="shared" si="0"/>
        <v>0</v>
      </c>
    </row>
    <row r="14" spans="1:17" s="387" customFormat="1" ht="32.1" customHeight="1">
      <c r="A14" s="284" t="s">
        <v>490</v>
      </c>
      <c r="B14" s="284" t="s">
        <v>40</v>
      </c>
      <c r="C14" s="284">
        <f t="shared" ref="C14:K14" si="2">SUM(C10:C13)</f>
        <v>8576740</v>
      </c>
      <c r="D14" s="284">
        <f t="shared" si="2"/>
        <v>7576534</v>
      </c>
      <c r="E14" s="284">
        <f t="shared" si="2"/>
        <v>7576534</v>
      </c>
      <c r="F14" s="284">
        <f t="shared" si="2"/>
        <v>12000000</v>
      </c>
      <c r="G14" s="284">
        <f t="shared" si="2"/>
        <v>0</v>
      </c>
      <c r="H14" s="284">
        <f t="shared" si="2"/>
        <v>57560000</v>
      </c>
      <c r="I14" s="292">
        <f t="shared" si="2"/>
        <v>115000000</v>
      </c>
      <c r="J14" s="292">
        <f t="shared" si="2"/>
        <v>114896000</v>
      </c>
      <c r="K14" s="292">
        <f t="shared" si="2"/>
        <v>129896000</v>
      </c>
      <c r="L14" s="283">
        <v>11916800</v>
      </c>
      <c r="M14" s="362">
        <v>15916800</v>
      </c>
      <c r="N14" s="362">
        <f>15916800*70%</f>
        <v>11141760</v>
      </c>
      <c r="O14" s="362">
        <f>15916800*70%</f>
        <v>11141760</v>
      </c>
      <c r="P14" s="362">
        <v>17141760</v>
      </c>
      <c r="Q14" s="362">
        <f t="shared" si="0"/>
        <v>6000000</v>
      </c>
    </row>
    <row r="15" spans="1:17" ht="32.1" customHeight="1">
      <c r="A15" s="284" t="s">
        <v>350</v>
      </c>
      <c r="B15" s="284" t="s">
        <v>171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3">
        <v>0</v>
      </c>
      <c r="M15" s="362">
        <v>0</v>
      </c>
      <c r="N15" s="362">
        <v>0</v>
      </c>
      <c r="O15" s="362">
        <v>0</v>
      </c>
      <c r="P15" s="362">
        <v>0</v>
      </c>
      <c r="Q15" s="362">
        <f t="shared" si="0"/>
        <v>0</v>
      </c>
    </row>
    <row r="16" spans="1:17" ht="32.1" customHeight="1">
      <c r="A16" s="284" t="s">
        <v>1118</v>
      </c>
      <c r="B16" s="284" t="s">
        <v>1119</v>
      </c>
      <c r="C16" s="284"/>
      <c r="D16" s="284">
        <v>0</v>
      </c>
      <c r="E16" s="284">
        <v>0</v>
      </c>
      <c r="F16" s="284">
        <v>4000000</v>
      </c>
      <c r="G16" s="284">
        <v>0</v>
      </c>
      <c r="H16" s="284">
        <v>0</v>
      </c>
      <c r="I16" s="284">
        <v>0</v>
      </c>
      <c r="J16" s="284">
        <v>7448000</v>
      </c>
      <c r="K16" s="284">
        <v>7448000</v>
      </c>
      <c r="L16" s="283">
        <v>22344000</v>
      </c>
      <c r="M16" s="362">
        <v>22344000</v>
      </c>
      <c r="N16" s="362">
        <v>22344000</v>
      </c>
      <c r="O16" s="362">
        <v>0</v>
      </c>
      <c r="P16" s="362">
        <v>0</v>
      </c>
      <c r="Q16" s="362">
        <f t="shared" si="0"/>
        <v>0</v>
      </c>
    </row>
    <row r="17" spans="1:17" ht="32.1" customHeight="1">
      <c r="A17" s="284"/>
      <c r="B17" s="292" t="s">
        <v>119</v>
      </c>
      <c r="C17" s="284"/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371">
        <f>SUM(L9:L16)</f>
        <v>76714400</v>
      </c>
      <c r="M17" s="382">
        <f>SUM(M9:M16)</f>
        <v>116942472</v>
      </c>
      <c r="N17" s="382">
        <f>SUM(N9:N16)</f>
        <v>91312632</v>
      </c>
      <c r="O17" s="382">
        <f>SUM(O9:O16)</f>
        <v>68968632</v>
      </c>
      <c r="P17" s="382">
        <f>SUM(P9:P16)</f>
        <v>104968632</v>
      </c>
      <c r="Q17" s="382">
        <f t="shared" si="0"/>
        <v>36000000</v>
      </c>
    </row>
    <row r="18" spans="1:17" ht="32.1" customHeight="1">
      <c r="A18" s="292" t="s">
        <v>279</v>
      </c>
      <c r="B18" s="292" t="s">
        <v>159</v>
      </c>
      <c r="C18" s="284"/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4468800</v>
      </c>
      <c r="K18" s="284">
        <v>4468800</v>
      </c>
      <c r="L18" s="283"/>
      <c r="M18" s="362"/>
      <c r="N18" s="362"/>
      <c r="O18" s="362"/>
      <c r="P18" s="362"/>
      <c r="Q18" s="362">
        <f t="shared" si="0"/>
        <v>0</v>
      </c>
    </row>
    <row r="19" spans="1:17" ht="32.1" customHeight="1">
      <c r="A19" s="284" t="s">
        <v>280</v>
      </c>
      <c r="B19" s="284" t="s">
        <v>160</v>
      </c>
      <c r="C19" s="284"/>
      <c r="D19" s="284">
        <v>0</v>
      </c>
      <c r="E19" s="284">
        <v>0</v>
      </c>
      <c r="F19" s="284">
        <v>0</v>
      </c>
      <c r="G19" s="284">
        <v>0</v>
      </c>
      <c r="H19" s="284">
        <v>2400000</v>
      </c>
      <c r="I19" s="284">
        <v>3000000</v>
      </c>
      <c r="J19" s="284">
        <v>2979200</v>
      </c>
      <c r="K19" s="284">
        <v>2979200</v>
      </c>
      <c r="L19" s="283">
        <v>0</v>
      </c>
      <c r="M19" s="362">
        <v>0</v>
      </c>
      <c r="N19" s="362">
        <v>0</v>
      </c>
      <c r="O19" s="362">
        <v>0</v>
      </c>
      <c r="P19" s="362">
        <v>0</v>
      </c>
      <c r="Q19" s="362">
        <f t="shared" si="0"/>
        <v>0</v>
      </c>
    </row>
    <row r="20" spans="1:17" s="387" customFormat="1" ht="32.1" customHeight="1">
      <c r="A20" s="284" t="s">
        <v>281</v>
      </c>
      <c r="B20" s="284" t="s">
        <v>161</v>
      </c>
      <c r="C20" s="284" t="e">
        <f>SUM(#REF!)</f>
        <v>#REF!</v>
      </c>
      <c r="D20" s="284">
        <v>0</v>
      </c>
      <c r="E20" s="284">
        <f t="shared" ref="E20:J20" si="3">SUM(E16:E19)</f>
        <v>0</v>
      </c>
      <c r="F20" s="284">
        <f t="shared" si="3"/>
        <v>4000000</v>
      </c>
      <c r="G20" s="284">
        <f t="shared" si="3"/>
        <v>0</v>
      </c>
      <c r="H20" s="284">
        <f t="shared" si="3"/>
        <v>2400000</v>
      </c>
      <c r="I20" s="292">
        <f t="shared" si="3"/>
        <v>3000000</v>
      </c>
      <c r="J20" s="292">
        <f t="shared" si="3"/>
        <v>14896000</v>
      </c>
      <c r="K20" s="292">
        <f>SUM(K16:K19)</f>
        <v>14896000</v>
      </c>
      <c r="L20" s="283">
        <v>100000000</v>
      </c>
      <c r="M20" s="362">
        <v>160000000</v>
      </c>
      <c r="N20" s="400">
        <f>160000000*70%+48000000</f>
        <v>160000000</v>
      </c>
      <c r="O20" s="400">
        <f>N20*80%</f>
        <v>128000000</v>
      </c>
      <c r="P20" s="400">
        <f>O20</f>
        <v>128000000</v>
      </c>
      <c r="Q20" s="400">
        <f t="shared" si="0"/>
        <v>0</v>
      </c>
    </row>
    <row r="21" spans="1:17" ht="32.1" customHeight="1">
      <c r="A21" s="284" t="s">
        <v>282</v>
      </c>
      <c r="B21" s="284" t="s">
        <v>155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3">
        <v>11172000</v>
      </c>
      <c r="M21" s="362">
        <v>11172000</v>
      </c>
      <c r="N21" s="362">
        <f>11172000*70%</f>
        <v>7820399.9999999991</v>
      </c>
      <c r="O21" s="362">
        <f>11172000*70%</f>
        <v>7820399.9999999991</v>
      </c>
      <c r="P21" s="362">
        <v>20000000</v>
      </c>
      <c r="Q21" s="362">
        <f t="shared" si="0"/>
        <v>12179600</v>
      </c>
    </row>
    <row r="22" spans="1:17" ht="32.1" customHeight="1">
      <c r="A22" s="284" t="s">
        <v>283</v>
      </c>
      <c r="B22" s="284" t="s">
        <v>156</v>
      </c>
      <c r="C22" s="284">
        <v>3923340</v>
      </c>
      <c r="D22" s="284">
        <v>3951000</v>
      </c>
      <c r="E22" s="284">
        <v>3951000</v>
      </c>
      <c r="F22" s="284">
        <v>3951000</v>
      </c>
      <c r="G22" s="284">
        <v>0</v>
      </c>
      <c r="H22" s="284">
        <v>4000000</v>
      </c>
      <c r="I22" s="284">
        <v>12000000</v>
      </c>
      <c r="J22" s="284">
        <v>11172000</v>
      </c>
      <c r="K22" s="284">
        <v>17172000</v>
      </c>
      <c r="L22" s="283">
        <v>14896000</v>
      </c>
      <c r="M22" s="362">
        <v>14896000</v>
      </c>
      <c r="N22" s="362">
        <f>14896000*70%</f>
        <v>10427200</v>
      </c>
      <c r="O22" s="362">
        <f>14896000*70%</f>
        <v>10427200</v>
      </c>
      <c r="P22" s="362">
        <f>14896000*70%</f>
        <v>10427200</v>
      </c>
      <c r="Q22" s="362">
        <f t="shared" si="0"/>
        <v>0</v>
      </c>
    </row>
    <row r="23" spans="1:17" ht="32.1" customHeight="1">
      <c r="A23" s="292"/>
      <c r="B23" s="292" t="s">
        <v>119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6000000</v>
      </c>
      <c r="L23" s="371">
        <f>SUM(L19:L22)</f>
        <v>126068000</v>
      </c>
      <c r="M23" s="382">
        <f>SUM(M19:M22)</f>
        <v>186068000</v>
      </c>
      <c r="N23" s="382">
        <f>SUM(N19:N22)</f>
        <v>178247600</v>
      </c>
      <c r="O23" s="382">
        <f>SUM(O19:O22)</f>
        <v>146247600</v>
      </c>
      <c r="P23" s="382">
        <f>SUM(P19:P22)</f>
        <v>158427200</v>
      </c>
      <c r="Q23" s="382">
        <f t="shared" si="0"/>
        <v>12179600</v>
      </c>
    </row>
    <row r="24" spans="1:17" ht="32.1" customHeight="1">
      <c r="A24" s="292" t="s">
        <v>495</v>
      </c>
      <c r="B24" s="292" t="s">
        <v>172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2979200</v>
      </c>
      <c r="K24" s="284">
        <v>2979200</v>
      </c>
      <c r="L24" s="283"/>
      <c r="M24" s="362"/>
      <c r="N24" s="362"/>
      <c r="O24" s="362"/>
      <c r="P24" s="362"/>
      <c r="Q24" s="362">
        <f t="shared" si="0"/>
        <v>0</v>
      </c>
    </row>
    <row r="25" spans="1:17" s="387" customFormat="1" ht="32.1" customHeight="1">
      <c r="A25" s="292" t="s">
        <v>497</v>
      </c>
      <c r="B25" s="292" t="s">
        <v>173</v>
      </c>
      <c r="C25" s="284">
        <f t="shared" ref="C25:K25" si="4">SUM(C22:C24)</f>
        <v>3923340</v>
      </c>
      <c r="D25" s="284">
        <f t="shared" si="4"/>
        <v>3951000</v>
      </c>
      <c r="E25" s="284">
        <f t="shared" si="4"/>
        <v>3951000</v>
      </c>
      <c r="F25" s="284">
        <f t="shared" si="4"/>
        <v>3951000</v>
      </c>
      <c r="G25" s="284">
        <f t="shared" si="4"/>
        <v>0</v>
      </c>
      <c r="H25" s="284">
        <f t="shared" si="4"/>
        <v>4000000</v>
      </c>
      <c r="I25" s="292">
        <f t="shared" si="4"/>
        <v>12000000</v>
      </c>
      <c r="J25" s="292">
        <f t="shared" si="4"/>
        <v>14151200</v>
      </c>
      <c r="K25" s="292">
        <f t="shared" si="4"/>
        <v>26151200</v>
      </c>
      <c r="L25" s="371"/>
      <c r="M25" s="382"/>
      <c r="N25" s="382"/>
      <c r="O25" s="382"/>
      <c r="P25" s="382"/>
      <c r="Q25" s="382">
        <f t="shared" si="0"/>
        <v>0</v>
      </c>
    </row>
    <row r="26" spans="1:17" ht="32.1" customHeight="1">
      <c r="A26" s="284" t="s">
        <v>499</v>
      </c>
      <c r="B26" s="284" t="s">
        <v>174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3">
        <v>7448000</v>
      </c>
      <c r="M26" s="362">
        <v>7448000</v>
      </c>
      <c r="N26" s="362">
        <f>7448000*70%</f>
        <v>5213600</v>
      </c>
      <c r="O26" s="362">
        <v>0</v>
      </c>
      <c r="P26" s="362">
        <v>0</v>
      </c>
      <c r="Q26" s="362">
        <f t="shared" si="0"/>
        <v>0</v>
      </c>
    </row>
    <row r="27" spans="1:17" ht="32.1" customHeight="1">
      <c r="A27" s="284" t="s">
        <v>567</v>
      </c>
      <c r="B27" s="284" t="s">
        <v>175</v>
      </c>
      <c r="C27" s="284">
        <v>168000</v>
      </c>
      <c r="D27" s="284">
        <v>0</v>
      </c>
      <c r="E27" s="284">
        <v>0</v>
      </c>
      <c r="F27" s="284">
        <v>0</v>
      </c>
      <c r="G27" s="284">
        <v>0</v>
      </c>
      <c r="H27" s="284">
        <v>12440000</v>
      </c>
      <c r="I27" s="284">
        <v>18000000</v>
      </c>
      <c r="J27" s="284">
        <v>24578400</v>
      </c>
      <c r="K27" s="284">
        <v>34578400</v>
      </c>
      <c r="L27" s="283">
        <v>0</v>
      </c>
      <c r="M27" s="362">
        <v>0</v>
      </c>
      <c r="N27" s="362">
        <v>0</v>
      </c>
      <c r="O27" s="362">
        <v>0</v>
      </c>
      <c r="P27" s="362">
        <v>0</v>
      </c>
      <c r="Q27" s="362">
        <f t="shared" si="0"/>
        <v>0</v>
      </c>
    </row>
    <row r="28" spans="1:17" ht="32.1" customHeight="1">
      <c r="A28" s="284" t="s">
        <v>295</v>
      </c>
      <c r="B28" s="284" t="s">
        <v>176</v>
      </c>
      <c r="C28" s="284">
        <v>0</v>
      </c>
      <c r="D28" s="284">
        <v>0</v>
      </c>
      <c r="E28" s="284">
        <v>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3">
        <v>4468800</v>
      </c>
      <c r="M28" s="362">
        <v>4468800</v>
      </c>
      <c r="N28" s="362">
        <f>4468800*70%</f>
        <v>3128160</v>
      </c>
      <c r="O28" s="362">
        <v>0</v>
      </c>
      <c r="P28" s="362">
        <v>0</v>
      </c>
      <c r="Q28" s="362">
        <f t="shared" si="0"/>
        <v>0</v>
      </c>
    </row>
    <row r="29" spans="1:17" ht="32.1" customHeight="1">
      <c r="A29" s="284" t="s">
        <v>296</v>
      </c>
      <c r="B29" s="284" t="s">
        <v>177</v>
      </c>
      <c r="C29" s="284">
        <v>1746000</v>
      </c>
      <c r="D29" s="284">
        <v>1000000</v>
      </c>
      <c r="E29" s="284">
        <v>1000000</v>
      </c>
      <c r="F29" s="284">
        <v>2000000</v>
      </c>
      <c r="G29" s="284">
        <v>0</v>
      </c>
      <c r="H29" s="284">
        <v>5060000</v>
      </c>
      <c r="I29" s="284">
        <v>6325000</v>
      </c>
      <c r="J29" s="284">
        <v>8937600</v>
      </c>
      <c r="K29" s="284">
        <v>16937600</v>
      </c>
      <c r="L29" s="283">
        <v>2979200</v>
      </c>
      <c r="M29" s="362">
        <v>2979200</v>
      </c>
      <c r="N29" s="362">
        <f>2979200*70%</f>
        <v>2085439.9999999998</v>
      </c>
      <c r="O29" s="362">
        <v>0</v>
      </c>
      <c r="P29" s="362">
        <v>0</v>
      </c>
      <c r="Q29" s="362">
        <f t="shared" si="0"/>
        <v>0</v>
      </c>
    </row>
    <row r="30" spans="1:17" ht="32.1" customHeight="1">
      <c r="A30" s="284"/>
      <c r="B30" s="292" t="s">
        <v>119</v>
      </c>
      <c r="C30" s="284">
        <v>0</v>
      </c>
      <c r="D30" s="284">
        <v>0</v>
      </c>
      <c r="E30" s="284">
        <v>0</v>
      </c>
      <c r="F30" s="284"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371">
        <f>SUM(L26:L29)</f>
        <v>14896000</v>
      </c>
      <c r="M30" s="382">
        <f>SUM(M26:M29)</f>
        <v>14896000</v>
      </c>
      <c r="N30" s="382">
        <f>SUM(N26:N29)</f>
        <v>10427200</v>
      </c>
      <c r="O30" s="382">
        <f>SUM(O26:O29)</f>
        <v>0</v>
      </c>
      <c r="P30" s="382">
        <f>SUM(P26:P29)</f>
        <v>0</v>
      </c>
      <c r="Q30" s="382">
        <f t="shared" si="0"/>
        <v>0</v>
      </c>
    </row>
    <row r="31" spans="1:17" ht="32.1" customHeight="1">
      <c r="A31" s="292" t="s">
        <v>285</v>
      </c>
      <c r="B31" s="292" t="s">
        <v>158</v>
      </c>
      <c r="C31" s="284">
        <v>0</v>
      </c>
      <c r="D31" s="284">
        <v>0</v>
      </c>
      <c r="E31" s="284">
        <v>0</v>
      </c>
      <c r="F31" s="284">
        <v>0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3"/>
      <c r="M31" s="362"/>
      <c r="N31" s="362"/>
      <c r="O31" s="362"/>
      <c r="P31" s="362"/>
      <c r="Q31" s="362">
        <f t="shared" si="0"/>
        <v>0</v>
      </c>
    </row>
    <row r="32" spans="1:17" ht="32.1" customHeight="1">
      <c r="A32" s="284" t="s">
        <v>503</v>
      </c>
      <c r="B32" s="284" t="s">
        <v>178</v>
      </c>
      <c r="C32" s="284">
        <v>4000000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3">
        <v>11172000</v>
      </c>
      <c r="M32" s="362">
        <f>11172000+18000000</f>
        <v>29172000</v>
      </c>
      <c r="N32" s="362">
        <f>29172000*70%</f>
        <v>20420400</v>
      </c>
      <c r="O32" s="362">
        <f>29172000*70%</f>
        <v>20420400</v>
      </c>
      <c r="P32" s="362">
        <v>30420400</v>
      </c>
      <c r="Q32" s="362">
        <f t="shared" si="0"/>
        <v>10000000</v>
      </c>
    </row>
    <row r="33" spans="1:17" ht="32.1" customHeight="1">
      <c r="A33" s="284" t="s">
        <v>288</v>
      </c>
      <c r="B33" s="284" t="s">
        <v>615</v>
      </c>
      <c r="C33" s="284">
        <v>937420</v>
      </c>
      <c r="D33" s="284">
        <v>0</v>
      </c>
      <c r="E33" s="284">
        <v>0</v>
      </c>
      <c r="F33" s="284">
        <v>0</v>
      </c>
      <c r="G33" s="284">
        <v>0</v>
      </c>
      <c r="H33" s="284">
        <v>4800000</v>
      </c>
      <c r="I33" s="284">
        <v>10000000</v>
      </c>
      <c r="J33" s="284">
        <v>8937600</v>
      </c>
      <c r="K33" s="284">
        <v>13001600</v>
      </c>
      <c r="L33" s="283">
        <v>2979200</v>
      </c>
      <c r="M33" s="362">
        <v>2979200</v>
      </c>
      <c r="N33" s="362">
        <f>2979200*70%</f>
        <v>2085439.9999999998</v>
      </c>
      <c r="O33" s="362">
        <f>2979200*70%</f>
        <v>2085439.9999999998</v>
      </c>
      <c r="P33" s="362">
        <v>25000000</v>
      </c>
      <c r="Q33" s="362">
        <f t="shared" si="0"/>
        <v>22914560</v>
      </c>
    </row>
    <row r="34" spans="1:17" ht="32.1" customHeight="1">
      <c r="A34" s="284"/>
      <c r="B34" s="292" t="s">
        <v>119</v>
      </c>
      <c r="C34" s="284"/>
      <c r="D34" s="284"/>
      <c r="E34" s="284"/>
      <c r="F34" s="284"/>
      <c r="G34" s="284"/>
      <c r="H34" s="284"/>
      <c r="I34" s="284"/>
      <c r="J34" s="284"/>
      <c r="K34" s="284"/>
      <c r="L34" s="371">
        <f>SUM(L32:L33)</f>
        <v>14151200</v>
      </c>
      <c r="M34" s="382">
        <f>SUM(M32:M33)</f>
        <v>32151200</v>
      </c>
      <c r="N34" s="382">
        <f>SUM(N32:N33)</f>
        <v>22505840</v>
      </c>
      <c r="O34" s="382">
        <f>SUM(O32:O33)</f>
        <v>22505840</v>
      </c>
      <c r="P34" s="382">
        <f>SUM(P32:P33)</f>
        <v>55420400</v>
      </c>
      <c r="Q34" s="382">
        <f t="shared" si="0"/>
        <v>32914560</v>
      </c>
    </row>
    <row r="35" spans="1:17" ht="32.1" customHeight="1">
      <c r="A35" s="335"/>
      <c r="B35" s="373" t="s">
        <v>42</v>
      </c>
      <c r="C35" s="284">
        <v>0</v>
      </c>
      <c r="D35" s="284">
        <v>0</v>
      </c>
      <c r="E35" s="284">
        <v>495000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371" t="e">
        <f>#REF!+#REF!+L30+L23+L17+L7</f>
        <v>#REF!</v>
      </c>
      <c r="M35" s="382">
        <f>M34+M30+M23+M17+M7</f>
        <v>501603272</v>
      </c>
      <c r="N35" s="382">
        <f>N34+N30+N23+N17+N7</f>
        <v>521894072</v>
      </c>
      <c r="O35" s="382">
        <f>O34+O30+O23+O17+O7</f>
        <v>503918072</v>
      </c>
      <c r="P35" s="382">
        <f>P34+P30+P23+P17+P7</f>
        <v>576715032</v>
      </c>
      <c r="Q35" s="382">
        <f t="shared" si="0"/>
        <v>72796960</v>
      </c>
    </row>
  </sheetData>
  <phoneticPr fontId="0" type="noConversion"/>
  <printOptions gridLines="1"/>
  <pageMargins left="0.73" right="0.25" top="0.78" bottom="0.64" header="0.27" footer="0.31"/>
  <pageSetup scale="60" orientation="portrait" r:id="rId1"/>
  <headerFooter alignWithMargins="0">
    <oddHeader>&amp;C&amp;"Verdana,Bold"&amp;24Hay'adda NERAD.</oddHeader>
    <oddFooter>&amp;R&amp;"Times New Roman,Bold"&amp;14 46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60" workbookViewId="0">
      <selection sqref="A1:XFD1048576"/>
    </sheetView>
  </sheetViews>
  <sheetFormatPr defaultRowHeight="26.1" customHeight="1"/>
  <cols>
    <col min="1" max="1" width="15.6640625" style="701" bestFit="1" customWidth="1"/>
    <col min="2" max="2" width="77.6640625" style="702" bestFit="1" customWidth="1"/>
    <col min="3" max="3" width="22.33203125" style="386" hidden="1" customWidth="1"/>
    <col min="4" max="4" width="27.1640625" style="386" hidden="1" customWidth="1"/>
    <col min="5" max="7" width="27.1640625" style="462" customWidth="1"/>
    <col min="8" max="16384" width="9.33203125" style="386"/>
  </cols>
  <sheetData>
    <row r="1" spans="1:7" ht="26.1" customHeight="1">
      <c r="A1" s="684" t="s">
        <v>44</v>
      </c>
      <c r="B1" s="685" t="s">
        <v>524</v>
      </c>
      <c r="C1" s="685"/>
      <c r="D1" s="685"/>
      <c r="E1" s="686"/>
      <c r="F1" s="686"/>
      <c r="G1" s="686"/>
    </row>
    <row r="2" spans="1:7" ht="26.1" customHeight="1">
      <c r="A2" s="687" t="s">
        <v>28</v>
      </c>
      <c r="B2" s="371" t="s">
        <v>29</v>
      </c>
      <c r="C2" s="378" t="s">
        <v>180</v>
      </c>
      <c r="D2" s="378" t="s">
        <v>297</v>
      </c>
      <c r="E2" s="688" t="s">
        <v>643</v>
      </c>
      <c r="F2" s="688" t="s">
        <v>1111</v>
      </c>
      <c r="G2" s="688" t="s">
        <v>63</v>
      </c>
    </row>
    <row r="3" spans="1:7" ht="26.1" customHeight="1">
      <c r="A3" s="689" t="s">
        <v>248</v>
      </c>
      <c r="B3" s="292" t="s">
        <v>165</v>
      </c>
      <c r="C3" s="443"/>
      <c r="D3" s="443"/>
      <c r="E3" s="690"/>
      <c r="F3" s="690"/>
      <c r="G3" s="690"/>
    </row>
    <row r="4" spans="1:7" ht="26.1" customHeight="1">
      <c r="A4" s="689" t="s">
        <v>249</v>
      </c>
      <c r="B4" s="292" t="s">
        <v>250</v>
      </c>
      <c r="C4" s="691"/>
      <c r="D4" s="381"/>
      <c r="E4" s="362"/>
      <c r="F4" s="692"/>
      <c r="G4" s="692"/>
    </row>
    <row r="5" spans="1:7" ht="26.1" customHeight="1">
      <c r="A5" s="693" t="s">
        <v>247</v>
      </c>
      <c r="B5" s="284" t="s">
        <v>32</v>
      </c>
      <c r="C5" s="691">
        <v>0</v>
      </c>
      <c r="D5" s="381">
        <v>50824800</v>
      </c>
      <c r="E5" s="362">
        <v>60996000</v>
      </c>
      <c r="F5" s="362">
        <v>98966400</v>
      </c>
      <c r="G5" s="362">
        <f t="shared" ref="G5:G43" si="0">F5-E5</f>
        <v>37970400</v>
      </c>
    </row>
    <row r="6" spans="1:7" ht="26.1" customHeight="1">
      <c r="A6" s="693" t="s">
        <v>251</v>
      </c>
      <c r="B6" s="284" t="s">
        <v>33</v>
      </c>
      <c r="C6" s="691">
        <v>0</v>
      </c>
      <c r="D6" s="381">
        <v>72000000</v>
      </c>
      <c r="E6" s="362">
        <v>102000000</v>
      </c>
      <c r="F6" s="362">
        <v>30000000</v>
      </c>
      <c r="G6" s="362">
        <f t="shared" si="0"/>
        <v>-72000000</v>
      </c>
    </row>
    <row r="7" spans="1:7" ht="26.1" customHeight="1">
      <c r="A7" s="693" t="s">
        <v>252</v>
      </c>
      <c r="B7" s="284" t="s">
        <v>605</v>
      </c>
      <c r="C7" s="691">
        <v>0</v>
      </c>
      <c r="D7" s="381">
        <v>36000000</v>
      </c>
      <c r="E7" s="362">
        <v>50400000</v>
      </c>
      <c r="F7" s="362">
        <v>39600000</v>
      </c>
      <c r="G7" s="362">
        <f t="shared" si="0"/>
        <v>-10800000</v>
      </c>
    </row>
    <row r="8" spans="1:7" ht="26.1" customHeight="1">
      <c r="A8" s="693"/>
      <c r="B8" s="292" t="s">
        <v>119</v>
      </c>
      <c r="C8" s="371">
        <f>SUM(C5:C6)</f>
        <v>0</v>
      </c>
      <c r="D8" s="382">
        <f>SUM(D5:D7)</f>
        <v>158824800</v>
      </c>
      <c r="E8" s="382">
        <f>SUM(E5:E7)</f>
        <v>213396000</v>
      </c>
      <c r="F8" s="382">
        <f>SUM(F5:F7)</f>
        <v>168566400</v>
      </c>
      <c r="G8" s="382">
        <f t="shared" si="0"/>
        <v>-44829600</v>
      </c>
    </row>
    <row r="9" spans="1:7" ht="26.1" customHeight="1">
      <c r="A9" s="689" t="s">
        <v>262</v>
      </c>
      <c r="B9" s="292" t="s">
        <v>263</v>
      </c>
      <c r="C9" s="283"/>
      <c r="D9" s="362"/>
      <c r="E9" s="362"/>
      <c r="F9" s="362"/>
      <c r="G9" s="362">
        <f t="shared" si="0"/>
        <v>0</v>
      </c>
    </row>
    <row r="10" spans="1:7" ht="26.1" customHeight="1">
      <c r="A10" s="689" t="s">
        <v>265</v>
      </c>
      <c r="B10" s="292" t="s">
        <v>264</v>
      </c>
      <c r="C10" s="283"/>
      <c r="D10" s="362"/>
      <c r="E10" s="362"/>
      <c r="F10" s="362"/>
      <c r="G10" s="362">
        <f t="shared" si="0"/>
        <v>0</v>
      </c>
    </row>
    <row r="11" spans="1:7" ht="26.1" customHeight="1">
      <c r="A11" s="693" t="s">
        <v>266</v>
      </c>
      <c r="B11" s="284" t="s">
        <v>188</v>
      </c>
      <c r="C11" s="283">
        <v>0</v>
      </c>
      <c r="D11" s="362">
        <f>15000000*70%</f>
        <v>10500000</v>
      </c>
      <c r="E11" s="362">
        <f>15000000*70%</f>
        <v>10500000</v>
      </c>
      <c r="F11" s="362">
        <f>15000000*70%</f>
        <v>10500000</v>
      </c>
      <c r="G11" s="362">
        <f t="shared" si="0"/>
        <v>0</v>
      </c>
    </row>
    <row r="12" spans="1:7" ht="26.1" customHeight="1">
      <c r="A12" s="693" t="s">
        <v>267</v>
      </c>
      <c r="B12" s="284" t="s">
        <v>426</v>
      </c>
      <c r="C12" s="283">
        <v>0</v>
      </c>
      <c r="D12" s="362">
        <f>6000000*70%</f>
        <v>4200000</v>
      </c>
      <c r="E12" s="362">
        <f>6000000*70%</f>
        <v>4200000</v>
      </c>
      <c r="F12" s="362">
        <f>6000000*70%</f>
        <v>4200000</v>
      </c>
      <c r="G12" s="362">
        <f t="shared" si="0"/>
        <v>0</v>
      </c>
    </row>
    <row r="13" spans="1:7" ht="26.1" customHeight="1">
      <c r="A13" s="693" t="s">
        <v>268</v>
      </c>
      <c r="B13" s="284" t="s">
        <v>436</v>
      </c>
      <c r="C13" s="283">
        <v>0</v>
      </c>
      <c r="D13" s="362">
        <f>12000000*70%</f>
        <v>8400000</v>
      </c>
      <c r="E13" s="395"/>
      <c r="F13" s="395"/>
      <c r="G13" s="395">
        <f t="shared" si="0"/>
        <v>0</v>
      </c>
    </row>
    <row r="14" spans="1:7" ht="26.1" customHeight="1">
      <c r="A14" s="693" t="s">
        <v>269</v>
      </c>
      <c r="B14" s="284" t="s">
        <v>186</v>
      </c>
      <c r="C14" s="283">
        <v>0</v>
      </c>
      <c r="D14" s="362">
        <f>1000000</f>
        <v>1000000</v>
      </c>
      <c r="E14" s="362">
        <f>1000000</f>
        <v>1000000</v>
      </c>
      <c r="F14" s="362">
        <v>7000000</v>
      </c>
      <c r="G14" s="362">
        <f t="shared" si="0"/>
        <v>6000000</v>
      </c>
    </row>
    <row r="15" spans="1:7" ht="26.1" customHeight="1">
      <c r="A15" s="693" t="s">
        <v>488</v>
      </c>
      <c r="B15" s="284" t="s">
        <v>606</v>
      </c>
      <c r="C15" s="283">
        <v>0</v>
      </c>
      <c r="D15" s="362">
        <f>50400000*70%</f>
        <v>35280000</v>
      </c>
      <c r="E15" s="362">
        <f>50400000*70%</f>
        <v>35280000</v>
      </c>
      <c r="F15" s="362">
        <v>50400000</v>
      </c>
      <c r="G15" s="362">
        <f t="shared" si="0"/>
        <v>15120000</v>
      </c>
    </row>
    <row r="16" spans="1:7" ht="26.1" customHeight="1">
      <c r="A16" s="693" t="s">
        <v>434</v>
      </c>
      <c r="B16" s="284" t="s">
        <v>435</v>
      </c>
      <c r="C16" s="283">
        <v>0</v>
      </c>
      <c r="D16" s="362">
        <v>700000</v>
      </c>
      <c r="E16" s="362">
        <v>0</v>
      </c>
      <c r="F16" s="362">
        <v>0</v>
      </c>
      <c r="G16" s="362">
        <f t="shared" si="0"/>
        <v>0</v>
      </c>
    </row>
    <row r="17" spans="1:7" ht="26.1" customHeight="1">
      <c r="A17" s="693" t="s">
        <v>272</v>
      </c>
      <c r="B17" s="284" t="s">
        <v>54</v>
      </c>
      <c r="C17" s="283">
        <v>0</v>
      </c>
      <c r="D17" s="362">
        <v>0</v>
      </c>
      <c r="E17" s="362">
        <v>0</v>
      </c>
      <c r="F17" s="362">
        <v>0</v>
      </c>
      <c r="G17" s="362">
        <f t="shared" si="0"/>
        <v>0</v>
      </c>
    </row>
    <row r="18" spans="1:7" ht="26.1" customHeight="1">
      <c r="A18" s="693" t="s">
        <v>274</v>
      </c>
      <c r="B18" s="284" t="s">
        <v>164</v>
      </c>
      <c r="C18" s="283">
        <v>0</v>
      </c>
      <c r="D18" s="362">
        <f>4000000*70%+10000000</f>
        <v>12800000</v>
      </c>
      <c r="E18" s="362">
        <f>4000000*70%+10000000</f>
        <v>12800000</v>
      </c>
      <c r="F18" s="362">
        <f>4000000*70%+10000000</f>
        <v>12800000</v>
      </c>
      <c r="G18" s="362">
        <f t="shared" si="0"/>
        <v>0</v>
      </c>
    </row>
    <row r="19" spans="1:7" ht="26.1" customHeight="1">
      <c r="A19" s="693" t="s">
        <v>275</v>
      </c>
      <c r="B19" s="284" t="s">
        <v>40</v>
      </c>
      <c r="C19" s="283">
        <v>0</v>
      </c>
      <c r="D19" s="362">
        <f>10800000*70%</f>
        <v>7559999.9999999991</v>
      </c>
      <c r="E19" s="362">
        <f>10800000*70%</f>
        <v>7559999.9999999991</v>
      </c>
      <c r="F19" s="362">
        <f>10800000*70%</f>
        <v>7559999.9999999991</v>
      </c>
      <c r="G19" s="362">
        <f t="shared" si="0"/>
        <v>0</v>
      </c>
    </row>
    <row r="20" spans="1:7" ht="26.1" customHeight="1">
      <c r="A20" s="693" t="s">
        <v>330</v>
      </c>
      <c r="B20" s="284" t="s">
        <v>171</v>
      </c>
      <c r="C20" s="283">
        <v>0</v>
      </c>
      <c r="D20" s="362">
        <f>5000000*70%</f>
        <v>3500000</v>
      </c>
      <c r="E20" s="362">
        <v>0</v>
      </c>
      <c r="F20" s="362">
        <v>0</v>
      </c>
      <c r="G20" s="362">
        <f t="shared" si="0"/>
        <v>0</v>
      </c>
    </row>
    <row r="21" spans="1:7" ht="26.1" customHeight="1">
      <c r="A21" s="693" t="s">
        <v>277</v>
      </c>
      <c r="B21" s="284" t="s">
        <v>218</v>
      </c>
      <c r="C21" s="283">
        <v>0</v>
      </c>
      <c r="D21" s="362">
        <f>24000000*70%+38000000</f>
        <v>54800000</v>
      </c>
      <c r="E21" s="362">
        <v>0</v>
      </c>
      <c r="F21" s="362">
        <v>0</v>
      </c>
      <c r="G21" s="362">
        <f t="shared" si="0"/>
        <v>0</v>
      </c>
    </row>
    <row r="22" spans="1:7" ht="26.1" customHeight="1">
      <c r="A22" s="693" t="s">
        <v>733</v>
      </c>
      <c r="B22" s="284" t="s">
        <v>818</v>
      </c>
      <c r="C22" s="283"/>
      <c r="D22" s="362"/>
      <c r="E22" s="362"/>
      <c r="F22" s="362">
        <v>15120000</v>
      </c>
      <c r="G22" s="362">
        <f t="shared" si="0"/>
        <v>15120000</v>
      </c>
    </row>
    <row r="23" spans="1:7" ht="26.1" customHeight="1">
      <c r="A23" s="693"/>
      <c r="B23" s="292" t="s">
        <v>119</v>
      </c>
      <c r="C23" s="371">
        <f>SUM(C9:C21)</f>
        <v>0</v>
      </c>
      <c r="D23" s="382">
        <f>SUM(D11:D21)</f>
        <v>138740000</v>
      </c>
      <c r="E23" s="382">
        <f>SUM(E11:E21)</f>
        <v>71340000</v>
      </c>
      <c r="F23" s="382">
        <f>SUM(F11:F22)</f>
        <v>107580000</v>
      </c>
      <c r="G23" s="382">
        <f t="shared" si="0"/>
        <v>36240000</v>
      </c>
    </row>
    <row r="24" spans="1:7" ht="26.1" customHeight="1">
      <c r="A24" s="689" t="s">
        <v>279</v>
      </c>
      <c r="B24" s="292" t="s">
        <v>278</v>
      </c>
      <c r="C24" s="371"/>
      <c r="D24" s="382"/>
      <c r="E24" s="382"/>
      <c r="F24" s="382"/>
      <c r="G24" s="382">
        <f t="shared" si="0"/>
        <v>0</v>
      </c>
    </row>
    <row r="25" spans="1:7" ht="26.1" customHeight="1">
      <c r="A25" s="693" t="s">
        <v>281</v>
      </c>
      <c r="B25" s="284" t="s">
        <v>161</v>
      </c>
      <c r="C25" s="283">
        <v>0</v>
      </c>
      <c r="D25" s="362">
        <v>27000000</v>
      </c>
      <c r="E25" s="362">
        <f>D25*80%</f>
        <v>21600000</v>
      </c>
      <c r="F25" s="362">
        <f>E25</f>
        <v>21600000</v>
      </c>
      <c r="G25" s="362">
        <f t="shared" si="0"/>
        <v>0</v>
      </c>
    </row>
    <row r="26" spans="1:7" ht="26.1" customHeight="1">
      <c r="A26" s="693" t="s">
        <v>282</v>
      </c>
      <c r="B26" s="284" t="s">
        <v>155</v>
      </c>
      <c r="C26" s="283">
        <v>0</v>
      </c>
      <c r="D26" s="362">
        <v>14400000</v>
      </c>
      <c r="E26" s="362">
        <v>14400000</v>
      </c>
      <c r="F26" s="362">
        <v>14400000</v>
      </c>
      <c r="G26" s="362">
        <f t="shared" si="0"/>
        <v>0</v>
      </c>
    </row>
    <row r="27" spans="1:7" ht="26.1" customHeight="1">
      <c r="A27" s="693" t="s">
        <v>283</v>
      </c>
      <c r="B27" s="284" t="s">
        <v>156</v>
      </c>
      <c r="C27" s="283">
        <v>0</v>
      </c>
      <c r="D27" s="362">
        <v>3000000</v>
      </c>
      <c r="E27" s="362">
        <v>3000000</v>
      </c>
      <c r="F27" s="362">
        <v>3000000</v>
      </c>
      <c r="G27" s="362">
        <f t="shared" si="0"/>
        <v>0</v>
      </c>
    </row>
    <row r="28" spans="1:7" ht="26.1" customHeight="1">
      <c r="A28" s="693" t="s">
        <v>316</v>
      </c>
      <c r="B28" s="284" t="s">
        <v>425</v>
      </c>
      <c r="C28" s="283">
        <v>0</v>
      </c>
      <c r="D28" s="382">
        <v>0</v>
      </c>
      <c r="E28" s="382">
        <v>0</v>
      </c>
      <c r="F28" s="382">
        <v>0</v>
      </c>
      <c r="G28" s="382">
        <f t="shared" si="0"/>
        <v>0</v>
      </c>
    </row>
    <row r="29" spans="1:7" ht="26.1" customHeight="1">
      <c r="A29" s="693" t="s">
        <v>298</v>
      </c>
      <c r="B29" s="284" t="s">
        <v>219</v>
      </c>
      <c r="C29" s="283">
        <v>0</v>
      </c>
      <c r="D29" s="362">
        <v>0</v>
      </c>
      <c r="E29" s="362">
        <v>0</v>
      </c>
      <c r="F29" s="362">
        <v>0</v>
      </c>
      <c r="G29" s="362">
        <f t="shared" si="0"/>
        <v>0</v>
      </c>
    </row>
    <row r="30" spans="1:7" ht="26.1" customHeight="1">
      <c r="A30" s="693"/>
      <c r="B30" s="292" t="s">
        <v>119</v>
      </c>
      <c r="C30" s="371">
        <v>0</v>
      </c>
      <c r="D30" s="382">
        <f>SUM(D25:D29)</f>
        <v>44400000</v>
      </c>
      <c r="E30" s="382">
        <f>SUM(E25:E29)</f>
        <v>39000000</v>
      </c>
      <c r="F30" s="382">
        <f>SUM(F25:F29)</f>
        <v>39000000</v>
      </c>
      <c r="G30" s="382">
        <f t="shared" si="0"/>
        <v>0</v>
      </c>
    </row>
    <row r="31" spans="1:7" ht="26.1" customHeight="1">
      <c r="A31" s="689" t="s">
        <v>285</v>
      </c>
      <c r="B31" s="292" t="s">
        <v>158</v>
      </c>
      <c r="C31" s="371"/>
      <c r="D31" s="382"/>
      <c r="E31" s="382"/>
      <c r="F31" s="382"/>
      <c r="G31" s="382">
        <f t="shared" si="0"/>
        <v>0</v>
      </c>
    </row>
    <row r="32" spans="1:7" ht="26.1" customHeight="1">
      <c r="A32" s="693" t="s">
        <v>286</v>
      </c>
      <c r="B32" s="284" t="s">
        <v>55</v>
      </c>
      <c r="C32" s="283">
        <v>0</v>
      </c>
      <c r="D32" s="477">
        <v>5400000</v>
      </c>
      <c r="E32" s="362">
        <v>5400000</v>
      </c>
      <c r="F32" s="362">
        <v>5400000</v>
      </c>
      <c r="G32" s="362">
        <f t="shared" si="0"/>
        <v>0</v>
      </c>
    </row>
    <row r="33" spans="1:14" ht="26.1" customHeight="1">
      <c r="A33" s="693" t="s">
        <v>288</v>
      </c>
      <c r="B33" s="284" t="s">
        <v>287</v>
      </c>
      <c r="C33" s="283">
        <v>0</v>
      </c>
      <c r="D33" s="362">
        <v>0</v>
      </c>
      <c r="E33" s="362">
        <v>0</v>
      </c>
      <c r="F33" s="362">
        <v>0</v>
      </c>
      <c r="G33" s="362">
        <f t="shared" si="0"/>
        <v>0</v>
      </c>
    </row>
    <row r="34" spans="1:14" ht="26.1" customHeight="1">
      <c r="A34" s="693" t="s">
        <v>289</v>
      </c>
      <c r="B34" s="284" t="s">
        <v>290</v>
      </c>
      <c r="C34" s="283">
        <v>0</v>
      </c>
      <c r="D34" s="362">
        <v>0</v>
      </c>
      <c r="E34" s="362">
        <v>0</v>
      </c>
      <c r="F34" s="362">
        <v>0</v>
      </c>
      <c r="G34" s="362">
        <f t="shared" si="0"/>
        <v>0</v>
      </c>
    </row>
    <row r="35" spans="1:14" ht="26.1" customHeight="1">
      <c r="A35" s="693"/>
      <c r="B35" s="292" t="s">
        <v>119</v>
      </c>
      <c r="C35" s="371">
        <v>0</v>
      </c>
      <c r="D35" s="382">
        <f>SUM(D32:D34)</f>
        <v>5400000</v>
      </c>
      <c r="E35" s="382">
        <f>SUM(E32:E34)</f>
        <v>5400000</v>
      </c>
      <c r="F35" s="382">
        <f>SUM(F32:F34)</f>
        <v>5400000</v>
      </c>
      <c r="G35" s="382">
        <f t="shared" si="0"/>
        <v>0</v>
      </c>
    </row>
    <row r="36" spans="1:14" ht="26.1" customHeight="1">
      <c r="A36" s="689" t="s">
        <v>293</v>
      </c>
      <c r="B36" s="292" t="s">
        <v>292</v>
      </c>
      <c r="C36" s="694"/>
      <c r="D36" s="613"/>
      <c r="E36" s="613"/>
      <c r="F36" s="613"/>
      <c r="G36" s="613">
        <f t="shared" si="0"/>
        <v>0</v>
      </c>
    </row>
    <row r="37" spans="1:14" ht="26.1" customHeight="1">
      <c r="A37" s="689" t="s">
        <v>294</v>
      </c>
      <c r="B37" s="292" t="s">
        <v>291</v>
      </c>
      <c r="C37" s="683"/>
      <c r="D37" s="477"/>
      <c r="E37" s="362"/>
      <c r="F37" s="362"/>
      <c r="G37" s="362">
        <f t="shared" si="0"/>
        <v>0</v>
      </c>
    </row>
    <row r="38" spans="1:14" ht="26.1" customHeight="1">
      <c r="A38" s="693" t="s">
        <v>389</v>
      </c>
      <c r="B38" s="284" t="s">
        <v>307</v>
      </c>
      <c r="C38" s="283">
        <v>0</v>
      </c>
      <c r="D38" s="477">
        <v>3000000</v>
      </c>
      <c r="E38" s="362">
        <v>0</v>
      </c>
      <c r="F38" s="362">
        <v>0</v>
      </c>
      <c r="G38" s="362">
        <f t="shared" si="0"/>
        <v>0</v>
      </c>
    </row>
    <row r="39" spans="1:14" ht="26.1" customHeight="1">
      <c r="A39" s="693" t="s">
        <v>388</v>
      </c>
      <c r="B39" s="284" t="s">
        <v>428</v>
      </c>
      <c r="C39" s="283"/>
      <c r="D39" s="477">
        <v>52000000</v>
      </c>
      <c r="E39" s="362">
        <v>0</v>
      </c>
      <c r="F39" s="362">
        <v>42000000</v>
      </c>
      <c r="G39" s="362">
        <f t="shared" si="0"/>
        <v>42000000</v>
      </c>
    </row>
    <row r="40" spans="1:14" ht="26.1" customHeight="1">
      <c r="A40" s="693" t="s">
        <v>295</v>
      </c>
      <c r="B40" s="284" t="s">
        <v>176</v>
      </c>
      <c r="C40" s="283">
        <v>0</v>
      </c>
      <c r="D40" s="607">
        <v>1200000</v>
      </c>
      <c r="E40" s="362">
        <v>0</v>
      </c>
      <c r="F40" s="362">
        <v>0</v>
      </c>
      <c r="G40" s="362">
        <f t="shared" si="0"/>
        <v>0</v>
      </c>
      <c r="H40" s="473"/>
      <c r="I40" s="473"/>
      <c r="J40" s="473"/>
      <c r="K40" s="473"/>
      <c r="L40" s="663"/>
      <c r="M40" s="695"/>
      <c r="N40" s="696"/>
    </row>
    <row r="41" spans="1:14" ht="26.1" customHeight="1">
      <c r="A41" s="693" t="s">
        <v>296</v>
      </c>
      <c r="B41" s="284" t="s">
        <v>609</v>
      </c>
      <c r="C41" s="283">
        <v>0</v>
      </c>
      <c r="D41" s="607">
        <v>600000</v>
      </c>
      <c r="E41" s="362">
        <v>0</v>
      </c>
      <c r="F41" s="362">
        <v>0</v>
      </c>
      <c r="G41" s="362">
        <f t="shared" si="0"/>
        <v>0</v>
      </c>
      <c r="H41" s="473"/>
      <c r="I41" s="473"/>
      <c r="J41" s="473"/>
      <c r="K41" s="473"/>
      <c r="L41" s="663"/>
      <c r="M41" s="695"/>
      <c r="N41" s="696"/>
    </row>
    <row r="42" spans="1:14" ht="26.1" customHeight="1">
      <c r="A42" s="693"/>
      <c r="B42" s="292" t="s">
        <v>119</v>
      </c>
      <c r="C42" s="335"/>
      <c r="D42" s="697">
        <f>SUM(D38:D41)</f>
        <v>56800000</v>
      </c>
      <c r="E42" s="382">
        <f>SUM(E38:E41)</f>
        <v>0</v>
      </c>
      <c r="F42" s="382">
        <f>SUM(F38:F41)</f>
        <v>42000000</v>
      </c>
      <c r="G42" s="382">
        <f t="shared" si="0"/>
        <v>42000000</v>
      </c>
      <c r="L42" s="464"/>
      <c r="M42" s="464"/>
      <c r="N42" s="464"/>
    </row>
    <row r="43" spans="1:14" ht="26.1" customHeight="1" thickBot="1">
      <c r="A43" s="698"/>
      <c r="B43" s="405" t="s">
        <v>42</v>
      </c>
      <c r="C43" s="699"/>
      <c r="D43" s="700">
        <f>D42+D35+D30+D23+D8</f>
        <v>404164800</v>
      </c>
      <c r="E43" s="612">
        <f>E42+E35+E30+E23+E8</f>
        <v>329136000</v>
      </c>
      <c r="F43" s="612">
        <f>F42+F35+F30+F23+F8</f>
        <v>362546400</v>
      </c>
      <c r="G43" s="612">
        <f t="shared" si="0"/>
        <v>33410400</v>
      </c>
    </row>
  </sheetData>
  <pageMargins left="0.7" right="0.3" top="1.03" bottom="0.61" header="0.36" footer="0.17"/>
  <pageSetup scale="60" orientation="portrait" r:id="rId1"/>
  <headerFooter>
    <oddHeader>&amp;C&amp;"Antique Olive,Bold"&amp;36ICT Commission</oddHeader>
    <oddFooter>&amp;R&amp;"Times New Roman,Bold"&amp;14 47</oddFooter>
  </headerFooter>
  <ignoredErrors>
    <ignoredError sqref="C8" formulaRange="1"/>
  </ignoredErrors>
</worksheet>
</file>

<file path=xl/worksheets/sheet57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60" zoomScaleNormal="50" workbookViewId="0">
      <selection activeCell="M39" sqref="M39"/>
    </sheetView>
  </sheetViews>
  <sheetFormatPr defaultRowHeight="21.95" customHeight="1"/>
  <cols>
    <col min="1" max="1" width="17.1640625" style="68" bestFit="1" customWidth="1"/>
    <col min="2" max="2" width="82.33203125" style="68" bestFit="1" customWidth="1"/>
    <col min="3" max="8" width="9.33203125" style="68" hidden="1" customWidth="1"/>
    <col min="9" max="9" width="0.1640625" style="68" hidden="1" customWidth="1"/>
    <col min="10" max="10" width="23.33203125" style="68" hidden="1" customWidth="1"/>
    <col min="11" max="11" width="21.83203125" style="68" hidden="1" customWidth="1"/>
    <col min="12" max="13" width="24.1640625" style="86" bestFit="1" customWidth="1"/>
    <col min="14" max="14" width="21.83203125" style="86" customWidth="1"/>
    <col min="15" max="16384" width="9.33203125" style="68"/>
  </cols>
  <sheetData>
    <row r="1" spans="1:14" s="184" customFormat="1" ht="30" customHeight="1">
      <c r="A1" s="302" t="s">
        <v>44</v>
      </c>
      <c r="B1" s="303" t="s">
        <v>523</v>
      </c>
      <c r="C1" s="304"/>
      <c r="D1" s="304"/>
      <c r="E1" s="304"/>
      <c r="F1" s="304"/>
      <c r="G1" s="304"/>
      <c r="H1" s="304"/>
      <c r="I1" s="304"/>
      <c r="J1" s="304"/>
      <c r="K1" s="304"/>
      <c r="L1" s="305"/>
      <c r="M1" s="305"/>
      <c r="N1" s="306"/>
    </row>
    <row r="2" spans="1:14" s="184" customFormat="1" ht="30" customHeight="1">
      <c r="A2" s="307" t="s">
        <v>28</v>
      </c>
      <c r="B2" s="308" t="s">
        <v>29</v>
      </c>
      <c r="C2" s="309" t="s">
        <v>48</v>
      </c>
      <c r="D2" s="309" t="s">
        <v>52</v>
      </c>
      <c r="E2" s="309" t="s">
        <v>62</v>
      </c>
      <c r="F2" s="309" t="s">
        <v>69</v>
      </c>
      <c r="G2" s="309" t="s">
        <v>128</v>
      </c>
      <c r="H2" s="309" t="s">
        <v>135</v>
      </c>
      <c r="I2" s="309" t="s">
        <v>146</v>
      </c>
      <c r="J2" s="309" t="s">
        <v>180</v>
      </c>
      <c r="K2" s="309" t="s">
        <v>297</v>
      </c>
      <c r="L2" s="310" t="s">
        <v>643</v>
      </c>
      <c r="M2" s="310" t="s">
        <v>1111</v>
      </c>
      <c r="N2" s="268" t="s">
        <v>63</v>
      </c>
    </row>
    <row r="3" spans="1:14" s="184" customFormat="1" ht="30" customHeight="1">
      <c r="A3" s="311" t="s">
        <v>248</v>
      </c>
      <c r="B3" s="312" t="s">
        <v>165</v>
      </c>
      <c r="C3" s="313"/>
      <c r="D3" s="313"/>
      <c r="E3" s="313"/>
      <c r="F3" s="313"/>
      <c r="G3" s="313"/>
      <c r="H3" s="313"/>
      <c r="I3" s="313"/>
      <c r="J3" s="313"/>
      <c r="K3" s="313"/>
      <c r="L3" s="314"/>
      <c r="M3" s="314"/>
      <c r="N3" s="315"/>
    </row>
    <row r="4" spans="1:14" s="184" customFormat="1" ht="30" customHeight="1">
      <c r="A4" s="311" t="s">
        <v>249</v>
      </c>
      <c r="B4" s="312" t="s">
        <v>250</v>
      </c>
      <c r="C4" s="316">
        <v>0</v>
      </c>
      <c r="D4" s="316">
        <v>45168000</v>
      </c>
      <c r="E4" s="316">
        <v>82272000</v>
      </c>
      <c r="F4" s="316">
        <v>82272000</v>
      </c>
      <c r="G4" s="316">
        <v>167590800</v>
      </c>
      <c r="H4" s="316">
        <f>135236400+4149600+27000000+3000000</f>
        <v>169386000</v>
      </c>
      <c r="I4" s="316">
        <f>169386000+6000000+4149600</f>
        <v>179535600</v>
      </c>
      <c r="J4" s="316"/>
      <c r="K4" s="316"/>
      <c r="L4" s="317"/>
      <c r="M4" s="318"/>
      <c r="N4" s="315"/>
    </row>
    <row r="5" spans="1:14" s="184" customFormat="1" ht="30" customHeight="1">
      <c r="A5" s="319" t="s">
        <v>247</v>
      </c>
      <c r="B5" s="317" t="s">
        <v>32</v>
      </c>
      <c r="C5" s="316">
        <v>0</v>
      </c>
      <c r="D5" s="316">
        <v>24500000</v>
      </c>
      <c r="E5" s="316">
        <v>0</v>
      </c>
      <c r="F5" s="316">
        <v>0</v>
      </c>
      <c r="G5" s="316">
        <v>0</v>
      </c>
      <c r="H5" s="316">
        <v>0</v>
      </c>
      <c r="I5" s="316">
        <v>0</v>
      </c>
      <c r="J5" s="316">
        <v>0</v>
      </c>
      <c r="K5" s="316">
        <f>'shaq,3'!H50</f>
        <v>42525600</v>
      </c>
      <c r="L5" s="317">
        <f>K5</f>
        <v>42525600</v>
      </c>
      <c r="M5" s="317">
        <v>42556800</v>
      </c>
      <c r="N5" s="315">
        <f>M5-L5</f>
        <v>31200</v>
      </c>
    </row>
    <row r="6" spans="1:14" s="184" customFormat="1" ht="30" customHeight="1">
      <c r="A6" s="319" t="s">
        <v>251</v>
      </c>
      <c r="B6" s="317" t="s">
        <v>33</v>
      </c>
      <c r="C6" s="317">
        <v>0</v>
      </c>
      <c r="D6" s="317">
        <v>10800000</v>
      </c>
      <c r="E6" s="317">
        <v>14400000</v>
      </c>
      <c r="F6" s="317">
        <v>14400000</v>
      </c>
      <c r="G6" s="317">
        <v>14400000</v>
      </c>
      <c r="H6" s="317">
        <f>14400000+16200000+720000</f>
        <v>31320000</v>
      </c>
      <c r="I6" s="317">
        <f>31320000+720000+3960000</f>
        <v>36000000</v>
      </c>
      <c r="J6" s="316">
        <v>0</v>
      </c>
      <c r="K6" s="316">
        <v>0</v>
      </c>
      <c r="L6" s="317">
        <v>30000000</v>
      </c>
      <c r="M6" s="317">
        <v>30000000</v>
      </c>
      <c r="N6" s="315">
        <f t="shared" ref="N6:N38" si="0">M6-L6</f>
        <v>0</v>
      </c>
    </row>
    <row r="7" spans="1:14" s="184" customFormat="1" ht="30" customHeight="1">
      <c r="A7" s="319" t="s">
        <v>252</v>
      </c>
      <c r="B7" s="317" t="s">
        <v>34</v>
      </c>
      <c r="C7" s="312">
        <v>0</v>
      </c>
      <c r="D7" s="312">
        <f>SUM(D4:D6)</f>
        <v>80468000</v>
      </c>
      <c r="E7" s="312">
        <f>SUM(E4:E6)</f>
        <v>96672000</v>
      </c>
      <c r="F7" s="312">
        <f>SUM(F4:F6)</f>
        <v>96672000</v>
      </c>
      <c r="G7" s="312">
        <f>SUM(G4:G6)</f>
        <v>181990800</v>
      </c>
      <c r="H7" s="312">
        <f>SUM(H4:H6)</f>
        <v>200706000</v>
      </c>
      <c r="I7" s="317">
        <v>0</v>
      </c>
      <c r="J7" s="317">
        <v>0</v>
      </c>
      <c r="K7" s="317">
        <v>34800000</v>
      </c>
      <c r="L7" s="317">
        <v>49200000</v>
      </c>
      <c r="M7" s="317">
        <v>39600000</v>
      </c>
      <c r="N7" s="315">
        <f t="shared" si="0"/>
        <v>-9600000</v>
      </c>
    </row>
    <row r="8" spans="1:14" s="184" customFormat="1" ht="30" customHeight="1">
      <c r="A8" s="319"/>
      <c r="B8" s="312" t="s">
        <v>119</v>
      </c>
      <c r="C8" s="312">
        <v>0</v>
      </c>
      <c r="D8" s="312" t="e">
        <f>SUM(#REF!)</f>
        <v>#REF!</v>
      </c>
      <c r="E8" s="312" t="e">
        <f>SUM(#REF!)</f>
        <v>#REF!</v>
      </c>
      <c r="F8" s="312" t="e">
        <f>SUM(#REF!)</f>
        <v>#REF!</v>
      </c>
      <c r="G8" s="312" t="e">
        <f>SUM(#REF!)</f>
        <v>#REF!</v>
      </c>
      <c r="H8" s="312" t="e">
        <f>SUM(#REF!)</f>
        <v>#REF!</v>
      </c>
      <c r="I8" s="317">
        <v>0</v>
      </c>
      <c r="J8" s="312">
        <f>SUM(J5:J7)</f>
        <v>0</v>
      </c>
      <c r="K8" s="312">
        <f>SUM(K5:K7)</f>
        <v>77325600</v>
      </c>
      <c r="L8" s="312">
        <f>SUM(L5:L7)</f>
        <v>121725600</v>
      </c>
      <c r="M8" s="312">
        <f>SUM(M5:M7)</f>
        <v>112156800</v>
      </c>
      <c r="N8" s="315">
        <f t="shared" si="0"/>
        <v>-9568800</v>
      </c>
    </row>
    <row r="9" spans="1:14" s="184" customFormat="1" ht="30" customHeight="1">
      <c r="A9" s="311" t="s">
        <v>262</v>
      </c>
      <c r="B9" s="312" t="s">
        <v>263</v>
      </c>
      <c r="C9" s="317" t="s">
        <v>4</v>
      </c>
      <c r="D9" s="317"/>
      <c r="E9" s="317"/>
      <c r="F9" s="317"/>
      <c r="G9" s="317"/>
      <c r="H9" s="317"/>
      <c r="I9" s="317">
        <v>0</v>
      </c>
      <c r="J9" s="317"/>
      <c r="K9" s="317"/>
      <c r="L9" s="317"/>
      <c r="M9" s="317"/>
      <c r="N9" s="315">
        <f t="shared" si="0"/>
        <v>0</v>
      </c>
    </row>
    <row r="10" spans="1:14" s="184" customFormat="1" ht="30" customHeight="1">
      <c r="A10" s="311" t="s">
        <v>265</v>
      </c>
      <c r="B10" s="312" t="s">
        <v>264</v>
      </c>
      <c r="C10" s="317">
        <v>0</v>
      </c>
      <c r="D10" s="317">
        <v>22600000</v>
      </c>
      <c r="E10" s="317">
        <v>0</v>
      </c>
      <c r="F10" s="317">
        <v>0</v>
      </c>
      <c r="G10" s="317">
        <v>0</v>
      </c>
      <c r="H10" s="317">
        <v>0</v>
      </c>
      <c r="I10" s="317">
        <v>7448000</v>
      </c>
      <c r="J10" s="317"/>
      <c r="K10" s="317"/>
      <c r="L10" s="317"/>
      <c r="M10" s="317"/>
      <c r="N10" s="315">
        <f t="shared" si="0"/>
        <v>0</v>
      </c>
    </row>
    <row r="11" spans="1:14" s="184" customFormat="1" ht="30" customHeight="1">
      <c r="A11" s="319" t="s">
        <v>266</v>
      </c>
      <c r="B11" s="317" t="s">
        <v>621</v>
      </c>
      <c r="C11" s="317">
        <v>0</v>
      </c>
      <c r="D11" s="317">
        <v>0</v>
      </c>
      <c r="E11" s="317">
        <v>0</v>
      </c>
      <c r="F11" s="317">
        <v>0</v>
      </c>
      <c r="G11" s="317">
        <v>0</v>
      </c>
      <c r="H11" s="317">
        <v>0</v>
      </c>
      <c r="I11" s="317">
        <v>7448000</v>
      </c>
      <c r="J11" s="317">
        <v>0</v>
      </c>
      <c r="K11" s="317">
        <f>40000000*70%</f>
        <v>28000000</v>
      </c>
      <c r="L11" s="317">
        <f>40000000*70%</f>
        <v>28000000</v>
      </c>
      <c r="M11" s="317">
        <f>40000000*70%</f>
        <v>28000000</v>
      </c>
      <c r="N11" s="315">
        <f t="shared" si="0"/>
        <v>0</v>
      </c>
    </row>
    <row r="12" spans="1:14" s="184" customFormat="1" ht="30" customHeight="1">
      <c r="A12" s="319" t="s">
        <v>269</v>
      </c>
      <c r="B12" s="317" t="s">
        <v>186</v>
      </c>
      <c r="C12" s="317"/>
      <c r="D12" s="317"/>
      <c r="E12" s="317"/>
      <c r="F12" s="317"/>
      <c r="G12" s="317"/>
      <c r="H12" s="317"/>
      <c r="I12" s="317">
        <v>37240000</v>
      </c>
      <c r="J12" s="317">
        <v>0</v>
      </c>
      <c r="K12" s="317">
        <v>15000000</v>
      </c>
      <c r="L12" s="317">
        <v>15000000</v>
      </c>
      <c r="M12" s="317">
        <v>15000000</v>
      </c>
      <c r="N12" s="315">
        <f t="shared" si="0"/>
        <v>0</v>
      </c>
    </row>
    <row r="13" spans="1:14" s="184" customFormat="1" ht="30" customHeight="1">
      <c r="A13" s="319" t="s">
        <v>272</v>
      </c>
      <c r="B13" s="317" t="s">
        <v>54</v>
      </c>
      <c r="C13" s="317">
        <v>0</v>
      </c>
      <c r="D13" s="317">
        <v>4000000</v>
      </c>
      <c r="E13" s="317">
        <v>8000000</v>
      </c>
      <c r="F13" s="317">
        <v>17000000</v>
      </c>
      <c r="G13" s="317">
        <v>12661600</v>
      </c>
      <c r="H13" s="317">
        <v>25000000</v>
      </c>
      <c r="I13" s="312">
        <f>SUM(I8:I12)</f>
        <v>52136000</v>
      </c>
      <c r="J13" s="317">
        <v>0</v>
      </c>
      <c r="K13" s="317">
        <v>0</v>
      </c>
      <c r="L13" s="317">
        <v>0</v>
      </c>
      <c r="M13" s="317">
        <v>0</v>
      </c>
      <c r="N13" s="315">
        <f t="shared" si="0"/>
        <v>0</v>
      </c>
    </row>
    <row r="14" spans="1:14" s="184" customFormat="1" ht="30" customHeight="1">
      <c r="A14" s="319" t="s">
        <v>274</v>
      </c>
      <c r="B14" s="317" t="s">
        <v>164</v>
      </c>
      <c r="C14" s="317">
        <v>0</v>
      </c>
      <c r="D14" s="317">
        <v>0</v>
      </c>
      <c r="E14" s="317">
        <v>0</v>
      </c>
      <c r="F14" s="317">
        <v>0</v>
      </c>
      <c r="G14" s="317">
        <v>0</v>
      </c>
      <c r="H14" s="317">
        <v>0</v>
      </c>
      <c r="I14" s="317"/>
      <c r="J14" s="317">
        <v>0</v>
      </c>
      <c r="K14" s="317">
        <f>5000000*70%</f>
        <v>3500000</v>
      </c>
      <c r="L14" s="317">
        <f>5000000*70%</f>
        <v>3500000</v>
      </c>
      <c r="M14" s="317">
        <f>5000000*70%</f>
        <v>3500000</v>
      </c>
      <c r="N14" s="315">
        <f t="shared" si="0"/>
        <v>0</v>
      </c>
    </row>
    <row r="15" spans="1:14" s="184" customFormat="1" ht="30" customHeight="1">
      <c r="A15" s="319" t="s">
        <v>275</v>
      </c>
      <c r="B15" s="317" t="s">
        <v>40</v>
      </c>
      <c r="C15" s="317" t="s">
        <v>4</v>
      </c>
      <c r="D15" s="317">
        <v>0</v>
      </c>
      <c r="E15" s="317">
        <v>0</v>
      </c>
      <c r="F15" s="317">
        <v>3000000</v>
      </c>
      <c r="G15" s="317">
        <v>2234400</v>
      </c>
      <c r="H15" s="317">
        <v>2234400</v>
      </c>
      <c r="I15" s="317">
        <v>0</v>
      </c>
      <c r="J15" s="317">
        <v>0</v>
      </c>
      <c r="K15" s="317">
        <f>12000000*70%</f>
        <v>8400000</v>
      </c>
      <c r="L15" s="317">
        <f>12000000*70%</f>
        <v>8400000</v>
      </c>
      <c r="M15" s="317">
        <f>12000000*70%</f>
        <v>8400000</v>
      </c>
      <c r="N15" s="315">
        <f t="shared" si="0"/>
        <v>0</v>
      </c>
    </row>
    <row r="16" spans="1:14" s="184" customFormat="1" ht="30" customHeight="1">
      <c r="A16" s="319" t="s">
        <v>330</v>
      </c>
      <c r="B16" s="317" t="s">
        <v>171</v>
      </c>
      <c r="C16" s="317"/>
      <c r="D16" s="317"/>
      <c r="E16" s="317"/>
      <c r="F16" s="317"/>
      <c r="G16" s="317">
        <v>0</v>
      </c>
      <c r="H16" s="317">
        <v>100000000</v>
      </c>
      <c r="I16" s="317">
        <v>90000000</v>
      </c>
      <c r="J16" s="317">
        <v>0</v>
      </c>
      <c r="K16" s="317">
        <f>3000000*70%</f>
        <v>2100000</v>
      </c>
      <c r="L16" s="317">
        <v>0</v>
      </c>
      <c r="M16" s="317">
        <v>0</v>
      </c>
      <c r="N16" s="315">
        <f t="shared" si="0"/>
        <v>0</v>
      </c>
    </row>
    <row r="17" spans="1:14" s="184" customFormat="1" ht="30" customHeight="1">
      <c r="A17" s="319" t="s">
        <v>277</v>
      </c>
      <c r="B17" s="317" t="s">
        <v>218</v>
      </c>
      <c r="C17" s="312">
        <v>0</v>
      </c>
      <c r="D17" s="312">
        <f>SUM(D13:D15)</f>
        <v>4000000</v>
      </c>
      <c r="E17" s="312">
        <f>SUM(E13:E15)</f>
        <v>8000000</v>
      </c>
      <c r="F17" s="312">
        <f>SUM(F13:F15)</f>
        <v>20000000</v>
      </c>
      <c r="G17" s="312">
        <f>SUM(G13:G16)</f>
        <v>14896000</v>
      </c>
      <c r="H17" s="312">
        <f>SUM(H13:H16)</f>
        <v>127234400</v>
      </c>
      <c r="I17" s="317">
        <v>11172000</v>
      </c>
      <c r="J17" s="317">
        <v>0</v>
      </c>
      <c r="K17" s="317">
        <f>10000000*70%</f>
        <v>7000000</v>
      </c>
      <c r="L17" s="317">
        <v>0</v>
      </c>
      <c r="M17" s="317">
        <v>0</v>
      </c>
      <c r="N17" s="315">
        <f t="shared" si="0"/>
        <v>0</v>
      </c>
    </row>
    <row r="18" spans="1:14" s="184" customFormat="1" ht="30" customHeight="1">
      <c r="A18" s="319"/>
      <c r="B18" s="312" t="s">
        <v>119</v>
      </c>
      <c r="C18" s="317" t="s">
        <v>4</v>
      </c>
      <c r="D18" s="317"/>
      <c r="E18" s="317"/>
      <c r="F18" s="317"/>
      <c r="G18" s="317"/>
      <c r="H18" s="317"/>
      <c r="I18" s="317">
        <v>3724000</v>
      </c>
      <c r="J18" s="312">
        <f>SUM(J9:J17)</f>
        <v>0</v>
      </c>
      <c r="K18" s="312">
        <f>SUM(K11:K17)</f>
        <v>64000000</v>
      </c>
      <c r="L18" s="312">
        <f>SUM(L11:L17)</f>
        <v>54900000</v>
      </c>
      <c r="M18" s="312">
        <f>SUM(M11:M17)</f>
        <v>54900000</v>
      </c>
      <c r="N18" s="315">
        <f t="shared" si="0"/>
        <v>0</v>
      </c>
    </row>
    <row r="19" spans="1:14" s="184" customFormat="1" ht="30" customHeight="1">
      <c r="A19" s="311" t="s">
        <v>279</v>
      </c>
      <c r="B19" s="312" t="s">
        <v>278</v>
      </c>
      <c r="C19" s="317">
        <v>0</v>
      </c>
      <c r="D19" s="317">
        <v>6000000</v>
      </c>
      <c r="E19" s="317">
        <v>7200000</v>
      </c>
      <c r="F19" s="317">
        <v>10000000</v>
      </c>
      <c r="G19" s="317">
        <v>11172000</v>
      </c>
      <c r="H19" s="317">
        <v>11172000</v>
      </c>
      <c r="I19" s="312">
        <f>SUM(I15:I18)</f>
        <v>104896000</v>
      </c>
      <c r="J19" s="312"/>
      <c r="K19" s="312"/>
      <c r="L19" s="312"/>
      <c r="M19" s="312"/>
      <c r="N19" s="315">
        <f t="shared" si="0"/>
        <v>0</v>
      </c>
    </row>
    <row r="20" spans="1:14" s="184" customFormat="1" ht="30" customHeight="1">
      <c r="A20" s="319" t="s">
        <v>281</v>
      </c>
      <c r="B20" s="317" t="s">
        <v>161</v>
      </c>
      <c r="C20" s="317">
        <v>0</v>
      </c>
      <c r="D20" s="317">
        <v>17000000</v>
      </c>
      <c r="E20" s="317">
        <v>9734400</v>
      </c>
      <c r="F20" s="317">
        <v>20000000</v>
      </c>
      <c r="G20" s="317">
        <v>18620000</v>
      </c>
      <c r="H20" s="317">
        <v>30000000</v>
      </c>
      <c r="I20" s="317"/>
      <c r="J20" s="317">
        <v>0</v>
      </c>
      <c r="K20" s="317">
        <f>150000000*70%</f>
        <v>105000000</v>
      </c>
      <c r="L20" s="317">
        <f>K20*80%</f>
        <v>84000000</v>
      </c>
      <c r="M20" s="317">
        <f>L20</f>
        <v>84000000</v>
      </c>
      <c r="N20" s="315">
        <f t="shared" si="0"/>
        <v>0</v>
      </c>
    </row>
    <row r="21" spans="1:14" s="184" customFormat="1" ht="30" customHeight="1">
      <c r="A21" s="319" t="s">
        <v>282</v>
      </c>
      <c r="B21" s="317" t="s">
        <v>155</v>
      </c>
      <c r="C21" s="317">
        <v>0</v>
      </c>
      <c r="D21" s="317">
        <v>0</v>
      </c>
      <c r="E21" s="317">
        <v>14592000</v>
      </c>
      <c r="F21" s="317">
        <v>0</v>
      </c>
      <c r="G21" s="317">
        <v>0</v>
      </c>
      <c r="H21" s="317">
        <v>10000000</v>
      </c>
      <c r="I21" s="317">
        <v>0</v>
      </c>
      <c r="J21" s="317">
        <v>0</v>
      </c>
      <c r="K21" s="317">
        <f>18000000*70%</f>
        <v>12600000</v>
      </c>
      <c r="L21" s="317">
        <f>18000000*70%</f>
        <v>12600000</v>
      </c>
      <c r="M21" s="317">
        <f>18000000*70%</f>
        <v>12600000</v>
      </c>
      <c r="N21" s="315">
        <f t="shared" si="0"/>
        <v>0</v>
      </c>
    </row>
    <row r="22" spans="1:14" s="184" customFormat="1" ht="30" customHeight="1">
      <c r="A22" s="319" t="s">
        <v>283</v>
      </c>
      <c r="B22" s="317" t="s">
        <v>156</v>
      </c>
      <c r="C22" s="317">
        <v>0</v>
      </c>
      <c r="D22" s="317">
        <v>0</v>
      </c>
      <c r="E22" s="317">
        <v>0</v>
      </c>
      <c r="F22" s="317">
        <v>0</v>
      </c>
      <c r="G22" s="317">
        <v>0</v>
      </c>
      <c r="H22" s="317">
        <v>0</v>
      </c>
      <c r="I22" s="317">
        <v>0</v>
      </c>
      <c r="J22" s="317">
        <v>0</v>
      </c>
      <c r="K22" s="317">
        <v>3000000</v>
      </c>
      <c r="L22" s="317">
        <v>3000000</v>
      </c>
      <c r="M22" s="317">
        <v>3000000</v>
      </c>
      <c r="N22" s="315">
        <f t="shared" si="0"/>
        <v>0</v>
      </c>
    </row>
    <row r="23" spans="1:14" s="184" customFormat="1" ht="30" customHeight="1">
      <c r="A23" s="319" t="s">
        <v>298</v>
      </c>
      <c r="B23" s="317" t="s">
        <v>219</v>
      </c>
      <c r="C23" s="317">
        <v>0</v>
      </c>
      <c r="D23" s="317">
        <v>3000000</v>
      </c>
      <c r="E23" s="317">
        <v>8000000</v>
      </c>
      <c r="F23" s="317">
        <v>10000000</v>
      </c>
      <c r="G23" s="317">
        <v>7448000</v>
      </c>
      <c r="H23" s="317">
        <v>7448000</v>
      </c>
      <c r="I23" s="317">
        <v>2979200</v>
      </c>
      <c r="J23" s="317">
        <v>0</v>
      </c>
      <c r="K23" s="317">
        <v>3000000</v>
      </c>
      <c r="L23" s="317">
        <v>0</v>
      </c>
      <c r="M23" s="317">
        <v>0</v>
      </c>
      <c r="N23" s="315">
        <f t="shared" si="0"/>
        <v>0</v>
      </c>
    </row>
    <row r="24" spans="1:14" s="184" customFormat="1" ht="30" customHeight="1">
      <c r="A24" s="319" t="s">
        <v>616</v>
      </c>
      <c r="B24" s="317" t="s">
        <v>425</v>
      </c>
      <c r="C24" s="317"/>
      <c r="D24" s="317"/>
      <c r="E24" s="317"/>
      <c r="F24" s="317"/>
      <c r="G24" s="317"/>
      <c r="H24" s="317"/>
      <c r="I24" s="317"/>
      <c r="J24" s="317">
        <v>0</v>
      </c>
      <c r="K24" s="317">
        <v>1500000</v>
      </c>
      <c r="L24" s="317">
        <v>1500000</v>
      </c>
      <c r="M24" s="317">
        <v>1500000</v>
      </c>
      <c r="N24" s="315">
        <f t="shared" si="0"/>
        <v>0</v>
      </c>
    </row>
    <row r="25" spans="1:14" s="184" customFormat="1" ht="30" customHeight="1">
      <c r="A25" s="319"/>
      <c r="B25" s="312" t="s">
        <v>119</v>
      </c>
      <c r="C25" s="317">
        <v>0</v>
      </c>
      <c r="D25" s="317">
        <v>0</v>
      </c>
      <c r="E25" s="317"/>
      <c r="F25" s="317">
        <v>0</v>
      </c>
      <c r="G25" s="317">
        <v>0</v>
      </c>
      <c r="H25" s="317">
        <v>0</v>
      </c>
      <c r="I25" s="317">
        <v>4468800</v>
      </c>
      <c r="J25" s="312">
        <v>0</v>
      </c>
      <c r="K25" s="312">
        <f>SUM(K20:K24)</f>
        <v>125100000</v>
      </c>
      <c r="L25" s="312">
        <f>SUM(L20:L24)</f>
        <v>101100000</v>
      </c>
      <c r="M25" s="312">
        <f>SUM(M20:M24)</f>
        <v>101100000</v>
      </c>
      <c r="N25" s="315">
        <f t="shared" si="0"/>
        <v>0</v>
      </c>
    </row>
    <row r="26" spans="1:14" s="184" customFormat="1" ht="30" customHeight="1">
      <c r="A26" s="311" t="s">
        <v>285</v>
      </c>
      <c r="B26" s="312" t="s">
        <v>158</v>
      </c>
      <c r="C26" s="317">
        <v>0</v>
      </c>
      <c r="D26" s="317">
        <v>0</v>
      </c>
      <c r="E26" s="317"/>
      <c r="F26" s="317">
        <v>0</v>
      </c>
      <c r="G26" s="317">
        <v>0</v>
      </c>
      <c r="H26" s="317">
        <v>0</v>
      </c>
      <c r="I26" s="312">
        <f>SUM(I21:I25)</f>
        <v>7448000</v>
      </c>
      <c r="J26" s="312"/>
      <c r="K26" s="312"/>
      <c r="L26" s="312"/>
      <c r="M26" s="312"/>
      <c r="N26" s="315">
        <f t="shared" si="0"/>
        <v>0</v>
      </c>
    </row>
    <row r="27" spans="1:14" s="184" customFormat="1" ht="30" customHeight="1">
      <c r="A27" s="319" t="s">
        <v>286</v>
      </c>
      <c r="B27" s="317" t="s">
        <v>55</v>
      </c>
      <c r="C27" s="317">
        <v>0</v>
      </c>
      <c r="D27" s="317">
        <v>0</v>
      </c>
      <c r="E27" s="317"/>
      <c r="F27" s="317">
        <v>0</v>
      </c>
      <c r="G27" s="317">
        <v>0</v>
      </c>
      <c r="H27" s="317">
        <v>0</v>
      </c>
      <c r="I27" s="317">
        <v>0</v>
      </c>
      <c r="J27" s="317">
        <v>0</v>
      </c>
      <c r="K27" s="317">
        <f>15000000*70%</f>
        <v>10500000</v>
      </c>
      <c r="L27" s="317">
        <f>15000000*70%</f>
        <v>10500000</v>
      </c>
      <c r="M27" s="317">
        <f>15000000*70%</f>
        <v>10500000</v>
      </c>
      <c r="N27" s="315">
        <f t="shared" si="0"/>
        <v>0</v>
      </c>
    </row>
    <row r="28" spans="1:14" s="184" customFormat="1" ht="30" customHeight="1">
      <c r="A28" s="319" t="s">
        <v>288</v>
      </c>
      <c r="B28" s="317" t="s">
        <v>287</v>
      </c>
      <c r="C28" s="317">
        <v>0</v>
      </c>
      <c r="D28" s="317">
        <v>5000000</v>
      </c>
      <c r="E28" s="317">
        <v>6400000</v>
      </c>
      <c r="F28" s="317">
        <v>10000000</v>
      </c>
      <c r="G28" s="317">
        <v>7448000</v>
      </c>
      <c r="H28" s="317">
        <v>7448000</v>
      </c>
      <c r="I28" s="317">
        <v>12661600</v>
      </c>
      <c r="J28" s="317">
        <v>0</v>
      </c>
      <c r="K28" s="317">
        <v>0</v>
      </c>
      <c r="L28" s="317">
        <v>0</v>
      </c>
      <c r="M28" s="317">
        <v>0</v>
      </c>
      <c r="N28" s="315">
        <f t="shared" si="0"/>
        <v>0</v>
      </c>
    </row>
    <row r="29" spans="1:14" s="184" customFormat="1" ht="30" customHeight="1">
      <c r="A29" s="319" t="s">
        <v>289</v>
      </c>
      <c r="B29" s="317" t="s">
        <v>290</v>
      </c>
      <c r="C29" s="317">
        <v>0</v>
      </c>
      <c r="D29" s="317">
        <v>0</v>
      </c>
      <c r="E29" s="317">
        <v>28000000</v>
      </c>
      <c r="F29" s="317">
        <v>40000000</v>
      </c>
      <c r="G29" s="317">
        <v>37240000</v>
      </c>
      <c r="H29" s="317">
        <v>75000000</v>
      </c>
      <c r="I29" s="317">
        <v>0</v>
      </c>
      <c r="J29" s="317">
        <v>0</v>
      </c>
      <c r="K29" s="317">
        <v>0</v>
      </c>
      <c r="L29" s="317">
        <v>0</v>
      </c>
      <c r="M29" s="317">
        <v>0</v>
      </c>
      <c r="N29" s="315">
        <f t="shared" si="0"/>
        <v>0</v>
      </c>
    </row>
    <row r="30" spans="1:14" s="184" customFormat="1" ht="30" customHeight="1">
      <c r="A30" s="319"/>
      <c r="B30" s="312" t="s">
        <v>119</v>
      </c>
      <c r="C30" s="317"/>
      <c r="D30" s="317"/>
      <c r="E30" s="317"/>
      <c r="F30" s="317">
        <v>0</v>
      </c>
      <c r="G30" s="317">
        <v>0</v>
      </c>
      <c r="H30" s="317">
        <v>0</v>
      </c>
      <c r="I30" s="312">
        <f>SUM(I27:I29)</f>
        <v>12661600</v>
      </c>
      <c r="J30" s="312">
        <v>0</v>
      </c>
      <c r="K30" s="312">
        <f>SUM(K27:K29)</f>
        <v>10500000</v>
      </c>
      <c r="L30" s="312">
        <f>SUM(L27:L29)</f>
        <v>10500000</v>
      </c>
      <c r="M30" s="312">
        <f>SUM(M27:M29)</f>
        <v>10500000</v>
      </c>
      <c r="N30" s="315">
        <f t="shared" si="0"/>
        <v>0</v>
      </c>
    </row>
    <row r="31" spans="1:14" s="184" customFormat="1" ht="30" customHeight="1" thickBot="1">
      <c r="A31" s="311" t="s">
        <v>293</v>
      </c>
      <c r="B31" s="312" t="s">
        <v>292</v>
      </c>
      <c r="C31" s="320">
        <v>0</v>
      </c>
      <c r="D31" s="320">
        <f>SUM(D19:D29)</f>
        <v>31000000</v>
      </c>
      <c r="E31" s="320">
        <f>SUM(E19:E29)</f>
        <v>73926400</v>
      </c>
      <c r="F31" s="320">
        <f>SUM(F19:F30)</f>
        <v>90000000</v>
      </c>
      <c r="G31" s="320">
        <f>SUM(G19:G30)</f>
        <v>81928000</v>
      </c>
      <c r="H31" s="320">
        <f>SUM(H19:H30)</f>
        <v>141068000</v>
      </c>
      <c r="I31" s="320" t="e">
        <f>I30+I26+I19+I13+#REF!</f>
        <v>#REF!</v>
      </c>
      <c r="J31" s="321"/>
      <c r="K31" s="321"/>
      <c r="L31" s="321"/>
      <c r="M31" s="321"/>
      <c r="N31" s="315">
        <f t="shared" si="0"/>
        <v>0</v>
      </c>
    </row>
    <row r="32" spans="1:14" s="184" customFormat="1" ht="30" customHeight="1">
      <c r="A32" s="311" t="s">
        <v>294</v>
      </c>
      <c r="B32" s="312" t="s">
        <v>291</v>
      </c>
      <c r="C32" s="322"/>
      <c r="D32" s="322">
        <v>0</v>
      </c>
      <c r="E32" s="322"/>
      <c r="F32" s="322"/>
      <c r="G32" s="322"/>
      <c r="H32" s="322"/>
      <c r="I32" s="323"/>
      <c r="J32" s="324"/>
      <c r="K32" s="324"/>
      <c r="L32" s="317"/>
      <c r="M32" s="317"/>
      <c r="N32" s="315">
        <f t="shared" si="0"/>
        <v>0</v>
      </c>
    </row>
    <row r="33" spans="1:14" s="184" customFormat="1" ht="30" customHeight="1">
      <c r="A33" s="319" t="s">
        <v>389</v>
      </c>
      <c r="B33" s="317" t="s">
        <v>307</v>
      </c>
      <c r="C33" s="325"/>
      <c r="D33" s="325" t="e">
        <f>#REF!-D32</f>
        <v>#REF!</v>
      </c>
      <c r="E33" s="325"/>
      <c r="F33" s="325"/>
      <c r="G33" s="325"/>
      <c r="H33" s="325"/>
      <c r="I33" s="325"/>
      <c r="J33" s="317">
        <v>0</v>
      </c>
      <c r="K33" s="317">
        <v>50000000</v>
      </c>
      <c r="L33" s="317">
        <v>0</v>
      </c>
      <c r="M33" s="317">
        <v>0</v>
      </c>
      <c r="N33" s="315">
        <f t="shared" si="0"/>
        <v>0</v>
      </c>
    </row>
    <row r="34" spans="1:14" s="184" customFormat="1" ht="30" customHeight="1">
      <c r="A34" s="319" t="s">
        <v>388</v>
      </c>
      <c r="B34" s="317" t="s">
        <v>309</v>
      </c>
      <c r="C34" s="326"/>
      <c r="D34" s="326"/>
      <c r="E34" s="326"/>
      <c r="F34" s="326"/>
      <c r="G34" s="326"/>
      <c r="H34" s="326"/>
      <c r="I34" s="326"/>
      <c r="J34" s="317">
        <v>0</v>
      </c>
      <c r="K34" s="317">
        <v>0</v>
      </c>
      <c r="L34" s="317">
        <v>0</v>
      </c>
      <c r="M34" s="317">
        <v>0</v>
      </c>
      <c r="N34" s="315">
        <f t="shared" si="0"/>
        <v>0</v>
      </c>
    </row>
    <row r="35" spans="1:14" s="184" customFormat="1" ht="30" customHeight="1">
      <c r="A35" s="319" t="s">
        <v>295</v>
      </c>
      <c r="B35" s="317" t="s">
        <v>176</v>
      </c>
      <c r="C35" s="326"/>
      <c r="D35" s="326"/>
      <c r="E35" s="326"/>
      <c r="F35" s="326"/>
      <c r="G35" s="326"/>
      <c r="H35" s="326"/>
      <c r="I35" s="326"/>
      <c r="J35" s="317">
        <v>0</v>
      </c>
      <c r="K35" s="327">
        <v>2000000</v>
      </c>
      <c r="L35" s="317">
        <v>0</v>
      </c>
      <c r="M35" s="317">
        <v>0</v>
      </c>
      <c r="N35" s="315">
        <f t="shared" si="0"/>
        <v>0</v>
      </c>
    </row>
    <row r="36" spans="1:14" s="184" customFormat="1" ht="30" customHeight="1">
      <c r="A36" s="319" t="s">
        <v>296</v>
      </c>
      <c r="B36" s="317" t="s">
        <v>177</v>
      </c>
      <c r="C36" s="326"/>
      <c r="D36" s="326"/>
      <c r="E36" s="326"/>
      <c r="F36" s="326"/>
      <c r="G36" s="326"/>
      <c r="H36" s="326"/>
      <c r="I36" s="326"/>
      <c r="J36" s="317">
        <v>0</v>
      </c>
      <c r="K36" s="327">
        <v>3000000</v>
      </c>
      <c r="L36" s="317">
        <v>0</v>
      </c>
      <c r="M36" s="317">
        <v>0</v>
      </c>
      <c r="N36" s="315">
        <f t="shared" si="0"/>
        <v>0</v>
      </c>
    </row>
    <row r="37" spans="1:14" s="184" customFormat="1" ht="30" customHeight="1">
      <c r="A37" s="319"/>
      <c r="B37" s="312" t="s">
        <v>119</v>
      </c>
      <c r="C37" s="326"/>
      <c r="D37" s="326"/>
      <c r="E37" s="326"/>
      <c r="F37" s="326"/>
      <c r="G37" s="326"/>
      <c r="H37" s="326"/>
      <c r="I37" s="326"/>
      <c r="J37" s="312">
        <v>0</v>
      </c>
      <c r="K37" s="328">
        <f>SUM(K33:K36)</f>
        <v>55000000</v>
      </c>
      <c r="L37" s="312">
        <f>SUM(L33:L36)</f>
        <v>0</v>
      </c>
      <c r="M37" s="312">
        <f>SUM(M33:M36)</f>
        <v>0</v>
      </c>
      <c r="N37" s="315">
        <f t="shared" si="0"/>
        <v>0</v>
      </c>
    </row>
    <row r="38" spans="1:14" s="184" customFormat="1" ht="30" customHeight="1" thickBot="1">
      <c r="A38" s="329"/>
      <c r="B38" s="320" t="s">
        <v>42</v>
      </c>
      <c r="C38" s="330"/>
      <c r="D38" s="330"/>
      <c r="E38" s="330"/>
      <c r="F38" s="330"/>
      <c r="G38" s="330"/>
      <c r="H38" s="330"/>
      <c r="I38" s="330"/>
      <c r="J38" s="320">
        <v>0</v>
      </c>
      <c r="K38" s="331">
        <f>K37+K30+K25+K18+K8</f>
        <v>331925600</v>
      </c>
      <c r="L38" s="320">
        <f>L37+L30+L25+L18+L8</f>
        <v>288225600</v>
      </c>
      <c r="M38" s="320">
        <f>M37+M30+M25+M18+M8</f>
        <v>278656800</v>
      </c>
      <c r="N38" s="315">
        <f t="shared" si="0"/>
        <v>-9568800</v>
      </c>
    </row>
    <row r="42" spans="1:14" ht="21.95" customHeight="1">
      <c r="B42" s="185"/>
    </row>
    <row r="43" spans="1:14" ht="21.95" customHeight="1">
      <c r="B43" s="185"/>
    </row>
  </sheetData>
  <pageMargins left="0.7" right="0.25" top="0.87" bottom="0.59" header="0.31" footer="0.22"/>
  <pageSetup scale="60" orientation="portrait" r:id="rId1"/>
  <headerFooter>
    <oddHeader>&amp;C&amp;"CG Omega,Bold"&amp;22Hay'adda Xidhiidhinta Caawimadda  WFP.</oddHeader>
    <oddFooter>&amp;R&amp;"Times New Roman,Bold"&amp;14 48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60" zoomScaleNormal="50" zoomScalePageLayoutView="55" workbookViewId="0">
      <selection sqref="A1:XFD1048576"/>
    </sheetView>
  </sheetViews>
  <sheetFormatPr defaultRowHeight="20.25"/>
  <cols>
    <col min="1" max="1" width="18.1640625" style="647" bestFit="1" customWidth="1"/>
    <col min="2" max="2" width="87.1640625" style="647" customWidth="1"/>
    <col min="3" max="3" width="23.1640625" style="647" hidden="1" customWidth="1"/>
    <col min="4" max="4" width="24.5" style="647" hidden="1" customWidth="1"/>
    <col min="5" max="6" width="27.6640625" style="708" customWidth="1"/>
    <col min="7" max="7" width="23.1640625" style="708" customWidth="1"/>
    <col min="8" max="16384" width="9.33203125" style="386"/>
  </cols>
  <sheetData>
    <row r="1" spans="1:7" ht="29.1" customHeight="1">
      <c r="A1" s="373" t="s">
        <v>44</v>
      </c>
      <c r="B1" s="443" t="s">
        <v>550</v>
      </c>
      <c r="C1" s="373"/>
      <c r="D1" s="373"/>
      <c r="E1" s="292"/>
      <c r="F1" s="292"/>
      <c r="G1" s="292"/>
    </row>
    <row r="2" spans="1:7" ht="29.1" customHeight="1">
      <c r="A2" s="371" t="s">
        <v>28</v>
      </c>
      <c r="B2" s="371" t="s">
        <v>29</v>
      </c>
      <c r="C2" s="378" t="s">
        <v>180</v>
      </c>
      <c r="D2" s="378" t="s">
        <v>297</v>
      </c>
      <c r="E2" s="271" t="s">
        <v>642</v>
      </c>
      <c r="F2" s="271" t="s">
        <v>1111</v>
      </c>
      <c r="G2" s="271" t="s">
        <v>63</v>
      </c>
    </row>
    <row r="3" spans="1:7" ht="29.1" customHeight="1">
      <c r="A3" s="292" t="s">
        <v>248</v>
      </c>
      <c r="B3" s="292" t="s">
        <v>165</v>
      </c>
      <c r="C3" s="373"/>
      <c r="D3" s="373"/>
      <c r="E3" s="292"/>
      <c r="F3" s="292"/>
      <c r="G3" s="284"/>
    </row>
    <row r="4" spans="1:7" ht="29.1" customHeight="1">
      <c r="A4" s="292" t="s">
        <v>249</v>
      </c>
      <c r="B4" s="292" t="s">
        <v>250</v>
      </c>
      <c r="C4" s="336"/>
      <c r="D4" s="335"/>
      <c r="E4" s="284"/>
      <c r="F4" s="284"/>
      <c r="G4" s="284"/>
    </row>
    <row r="5" spans="1:7" ht="29.1" customHeight="1">
      <c r="A5" s="284" t="s">
        <v>247</v>
      </c>
      <c r="B5" s="284" t="s">
        <v>32</v>
      </c>
      <c r="C5" s="336">
        <v>0</v>
      </c>
      <c r="D5" s="336">
        <f>'shaq,3'!H51+36000000</f>
        <v>135777600</v>
      </c>
      <c r="E5" s="284">
        <v>99777600</v>
      </c>
      <c r="F5" s="284">
        <v>99777600</v>
      </c>
      <c r="G5" s="284">
        <f>F5-E5</f>
        <v>0</v>
      </c>
    </row>
    <row r="6" spans="1:7" ht="29.1" customHeight="1">
      <c r="A6" s="284" t="s">
        <v>251</v>
      </c>
      <c r="B6" s="284" t="s">
        <v>905</v>
      </c>
      <c r="C6" s="336">
        <v>0</v>
      </c>
      <c r="D6" s="336">
        <v>15499000</v>
      </c>
      <c r="E6" s="284">
        <v>45499000</v>
      </c>
      <c r="F6" s="284">
        <v>45499000</v>
      </c>
      <c r="G6" s="284">
        <f t="shared" ref="G6:G44" si="0">F6-E6</f>
        <v>0</v>
      </c>
    </row>
    <row r="7" spans="1:7" ht="29.1" customHeight="1">
      <c r="A7" s="284" t="s">
        <v>252</v>
      </c>
      <c r="B7" s="284" t="s">
        <v>34</v>
      </c>
      <c r="C7" s="284">
        <v>0</v>
      </c>
      <c r="D7" s="284">
        <v>18000000</v>
      </c>
      <c r="E7" s="284">
        <v>50400000</v>
      </c>
      <c r="F7" s="284">
        <v>50400000</v>
      </c>
      <c r="G7" s="284">
        <f t="shared" si="0"/>
        <v>0</v>
      </c>
    </row>
    <row r="8" spans="1:7" ht="29.1" customHeight="1">
      <c r="A8" s="284"/>
      <c r="B8" s="292" t="s">
        <v>119</v>
      </c>
      <c r="C8" s="292">
        <f>SUM(C5:C7)</f>
        <v>0</v>
      </c>
      <c r="D8" s="292">
        <f>SUM(D5:D7)</f>
        <v>169276600</v>
      </c>
      <c r="E8" s="292">
        <f>SUM(E5:E7)</f>
        <v>195676600</v>
      </c>
      <c r="F8" s="292">
        <f>SUM(F5:F7)</f>
        <v>195676600</v>
      </c>
      <c r="G8" s="284">
        <f t="shared" si="0"/>
        <v>0</v>
      </c>
    </row>
    <row r="9" spans="1:7" ht="29.1" customHeight="1">
      <c r="A9" s="292" t="s">
        <v>262</v>
      </c>
      <c r="B9" s="292" t="s">
        <v>263</v>
      </c>
      <c r="C9" s="284"/>
      <c r="D9" s="284"/>
      <c r="E9" s="284"/>
      <c r="F9" s="284"/>
      <c r="G9" s="284">
        <f t="shared" si="0"/>
        <v>0</v>
      </c>
    </row>
    <row r="10" spans="1:7" ht="29.1" customHeight="1">
      <c r="A10" s="292" t="s">
        <v>265</v>
      </c>
      <c r="B10" s="292" t="s">
        <v>264</v>
      </c>
      <c r="C10" s="284"/>
      <c r="D10" s="284"/>
      <c r="E10" s="284"/>
      <c r="F10" s="284"/>
      <c r="G10" s="284">
        <f t="shared" si="0"/>
        <v>0</v>
      </c>
    </row>
    <row r="11" spans="1:7" ht="29.1" customHeight="1">
      <c r="A11" s="284" t="s">
        <v>266</v>
      </c>
      <c r="B11" s="284" t="s">
        <v>38</v>
      </c>
      <c r="C11" s="284">
        <v>0</v>
      </c>
      <c r="D11" s="284">
        <f>43100000*70%</f>
        <v>30169999.999999996</v>
      </c>
      <c r="E11" s="284">
        <v>23570000</v>
      </c>
      <c r="F11" s="284">
        <v>23570000</v>
      </c>
      <c r="G11" s="284">
        <f t="shared" si="0"/>
        <v>0</v>
      </c>
    </row>
    <row r="12" spans="1:7" ht="29.1" customHeight="1">
      <c r="A12" s="284" t="s">
        <v>267</v>
      </c>
      <c r="B12" s="284" t="s">
        <v>459</v>
      </c>
      <c r="C12" s="284">
        <v>0</v>
      </c>
      <c r="D12" s="284">
        <v>0</v>
      </c>
      <c r="E12" s="284">
        <v>0</v>
      </c>
      <c r="F12" s="284">
        <v>0</v>
      </c>
      <c r="G12" s="284">
        <f t="shared" si="0"/>
        <v>0</v>
      </c>
    </row>
    <row r="13" spans="1:7" ht="29.1" customHeight="1">
      <c r="A13" s="284" t="s">
        <v>268</v>
      </c>
      <c r="B13" s="284" t="s">
        <v>153</v>
      </c>
      <c r="C13" s="284">
        <v>0</v>
      </c>
      <c r="D13" s="284">
        <f>57100000*70%</f>
        <v>39970000</v>
      </c>
      <c r="E13" s="284"/>
      <c r="F13" s="395"/>
      <c r="G13" s="284">
        <f t="shared" si="0"/>
        <v>0</v>
      </c>
    </row>
    <row r="14" spans="1:7" ht="29.1" customHeight="1">
      <c r="A14" s="284" t="s">
        <v>269</v>
      </c>
      <c r="B14" s="284" t="s">
        <v>186</v>
      </c>
      <c r="C14" s="284">
        <v>0</v>
      </c>
      <c r="D14" s="284">
        <f>10420000*70%</f>
        <v>7294000</v>
      </c>
      <c r="E14" s="284">
        <f>10420000*70%</f>
        <v>7294000</v>
      </c>
      <c r="F14" s="284">
        <f>10420000*70%</f>
        <v>7294000</v>
      </c>
      <c r="G14" s="284">
        <f t="shared" si="0"/>
        <v>0</v>
      </c>
    </row>
    <row r="15" spans="1:7" ht="29.1" customHeight="1">
      <c r="A15" s="284" t="s">
        <v>270</v>
      </c>
      <c r="B15" s="284" t="s">
        <v>442</v>
      </c>
      <c r="C15" s="284"/>
      <c r="D15" s="284">
        <f>21600000*70%</f>
        <v>15119999.999999998</v>
      </c>
      <c r="E15" s="284">
        <v>23040000</v>
      </c>
      <c r="F15" s="284">
        <v>23040000</v>
      </c>
      <c r="G15" s="284">
        <f t="shared" si="0"/>
        <v>0</v>
      </c>
    </row>
    <row r="16" spans="1:7" ht="29.1" customHeight="1">
      <c r="A16" s="284" t="s">
        <v>272</v>
      </c>
      <c r="B16" s="284" t="s">
        <v>439</v>
      </c>
      <c r="C16" s="284">
        <v>0</v>
      </c>
      <c r="D16" s="284">
        <v>980000</v>
      </c>
      <c r="E16" s="284">
        <f>D16*70%</f>
        <v>686000</v>
      </c>
      <c r="F16" s="284">
        <v>10000000</v>
      </c>
      <c r="G16" s="284">
        <f t="shared" si="0"/>
        <v>9314000</v>
      </c>
    </row>
    <row r="17" spans="1:7" ht="29.1" customHeight="1">
      <c r="A17" s="284" t="s">
        <v>273</v>
      </c>
      <c r="B17" s="284" t="s">
        <v>460</v>
      </c>
      <c r="C17" s="284"/>
      <c r="D17" s="284">
        <v>600000</v>
      </c>
      <c r="E17" s="284">
        <v>420000</v>
      </c>
      <c r="F17" s="284">
        <v>420000</v>
      </c>
      <c r="G17" s="284">
        <f t="shared" si="0"/>
        <v>0</v>
      </c>
    </row>
    <row r="18" spans="1:7" ht="29.1" customHeight="1">
      <c r="A18" s="284" t="s">
        <v>274</v>
      </c>
      <c r="B18" s="284" t="s">
        <v>164</v>
      </c>
      <c r="C18" s="284">
        <v>0</v>
      </c>
      <c r="D18" s="284">
        <v>600000</v>
      </c>
      <c r="E18" s="284">
        <v>2000000</v>
      </c>
      <c r="F18" s="284">
        <v>8000000</v>
      </c>
      <c r="G18" s="284">
        <f t="shared" si="0"/>
        <v>6000000</v>
      </c>
    </row>
    <row r="19" spans="1:7" ht="29.1" customHeight="1">
      <c r="A19" s="284" t="s">
        <v>275</v>
      </c>
      <c r="B19" s="284" t="s">
        <v>40</v>
      </c>
      <c r="C19" s="284">
        <v>0</v>
      </c>
      <c r="D19" s="284">
        <f>10800000*70%</f>
        <v>7559999.9999999991</v>
      </c>
      <c r="E19" s="284">
        <f>10800000*70%</f>
        <v>7559999.9999999991</v>
      </c>
      <c r="F19" s="284">
        <f>10800000*70%</f>
        <v>7559999.9999999991</v>
      </c>
      <c r="G19" s="284">
        <f t="shared" si="0"/>
        <v>0</v>
      </c>
    </row>
    <row r="20" spans="1:7" ht="29.1" customHeight="1">
      <c r="A20" s="284" t="s">
        <v>330</v>
      </c>
      <c r="B20" s="284" t="s">
        <v>171</v>
      </c>
      <c r="C20" s="284">
        <v>0</v>
      </c>
      <c r="D20" s="284">
        <v>0</v>
      </c>
      <c r="E20" s="284">
        <v>0</v>
      </c>
      <c r="F20" s="284">
        <v>0</v>
      </c>
      <c r="G20" s="284">
        <f t="shared" si="0"/>
        <v>0</v>
      </c>
    </row>
    <row r="21" spans="1:7" ht="29.1" customHeight="1">
      <c r="A21" s="284" t="s">
        <v>277</v>
      </c>
      <c r="B21" s="284" t="s">
        <v>1145</v>
      </c>
      <c r="C21" s="284">
        <v>0</v>
      </c>
      <c r="D21" s="284">
        <f>1000000+42906000</f>
        <v>43906000</v>
      </c>
      <c r="E21" s="284">
        <v>0</v>
      </c>
      <c r="F21" s="284">
        <v>30000000</v>
      </c>
      <c r="G21" s="284">
        <f t="shared" si="0"/>
        <v>30000000</v>
      </c>
    </row>
    <row r="22" spans="1:7" ht="29.1" customHeight="1">
      <c r="A22" s="284" t="s">
        <v>276</v>
      </c>
      <c r="B22" s="284" t="s">
        <v>461</v>
      </c>
      <c r="C22" s="284">
        <v>0</v>
      </c>
      <c r="D22" s="284">
        <v>0</v>
      </c>
      <c r="E22" s="284">
        <v>0</v>
      </c>
      <c r="F22" s="284">
        <v>0</v>
      </c>
      <c r="G22" s="284">
        <f t="shared" si="0"/>
        <v>0</v>
      </c>
    </row>
    <row r="23" spans="1:7" ht="29.1" customHeight="1">
      <c r="A23" s="284" t="s">
        <v>462</v>
      </c>
      <c r="B23" s="284" t="s">
        <v>463</v>
      </c>
      <c r="C23" s="284">
        <v>0</v>
      </c>
      <c r="D23" s="284">
        <v>0</v>
      </c>
      <c r="E23" s="284">
        <v>0</v>
      </c>
      <c r="F23" s="284">
        <v>0</v>
      </c>
      <c r="G23" s="284">
        <f t="shared" si="0"/>
        <v>0</v>
      </c>
    </row>
    <row r="24" spans="1:7" ht="29.1" customHeight="1">
      <c r="A24" s="284"/>
      <c r="B24" s="292" t="s">
        <v>119</v>
      </c>
      <c r="C24" s="292">
        <f>SUM(C9:C23)</f>
        <v>0</v>
      </c>
      <c r="D24" s="292">
        <f>SUM(D11:D23)</f>
        <v>146200000</v>
      </c>
      <c r="E24" s="292">
        <f>SUM(E11:E23)</f>
        <v>64570000</v>
      </c>
      <c r="F24" s="292">
        <f>SUM(F11:F23)</f>
        <v>109884000</v>
      </c>
      <c r="G24" s="292">
        <f t="shared" si="0"/>
        <v>45314000</v>
      </c>
    </row>
    <row r="25" spans="1:7" ht="29.1" customHeight="1">
      <c r="A25" s="292" t="s">
        <v>279</v>
      </c>
      <c r="B25" s="292" t="s">
        <v>278</v>
      </c>
      <c r="C25" s="292"/>
      <c r="D25" s="284"/>
      <c r="E25" s="284"/>
      <c r="F25" s="284"/>
      <c r="G25" s="284">
        <f t="shared" si="0"/>
        <v>0</v>
      </c>
    </row>
    <row r="26" spans="1:7" ht="29.1" customHeight="1">
      <c r="A26" s="284" t="s">
        <v>281</v>
      </c>
      <c r="B26" s="284" t="s">
        <v>161</v>
      </c>
      <c r="C26" s="284">
        <v>0</v>
      </c>
      <c r="D26" s="284">
        <v>32400000</v>
      </c>
      <c r="E26" s="284">
        <f>D26*80%</f>
        <v>25920000</v>
      </c>
      <c r="F26" s="284">
        <f>E26</f>
        <v>25920000</v>
      </c>
      <c r="G26" s="284">
        <f t="shared" si="0"/>
        <v>0</v>
      </c>
    </row>
    <row r="27" spans="1:7" ht="29.1" customHeight="1">
      <c r="A27" s="284" t="s">
        <v>282</v>
      </c>
      <c r="B27" s="284" t="s">
        <v>155</v>
      </c>
      <c r="C27" s="284">
        <v>0</v>
      </c>
      <c r="D27" s="284">
        <v>600000</v>
      </c>
      <c r="E27" s="284">
        <v>2000000</v>
      </c>
      <c r="F27" s="284">
        <v>20000000</v>
      </c>
      <c r="G27" s="284">
        <f t="shared" si="0"/>
        <v>18000000</v>
      </c>
    </row>
    <row r="28" spans="1:7" ht="29.1" customHeight="1">
      <c r="A28" s="284" t="s">
        <v>283</v>
      </c>
      <c r="B28" s="284" t="s">
        <v>156</v>
      </c>
      <c r="C28" s="284">
        <v>0</v>
      </c>
      <c r="D28" s="284">
        <v>0</v>
      </c>
      <c r="E28" s="284">
        <v>1800000</v>
      </c>
      <c r="F28" s="284">
        <v>1800000</v>
      </c>
      <c r="G28" s="284">
        <f t="shared" si="0"/>
        <v>0</v>
      </c>
    </row>
    <row r="29" spans="1:7" ht="29.1" customHeight="1">
      <c r="A29" s="284" t="s">
        <v>316</v>
      </c>
      <c r="B29" s="284" t="s">
        <v>425</v>
      </c>
      <c r="C29" s="284">
        <v>0</v>
      </c>
      <c r="D29" s="284">
        <v>0</v>
      </c>
      <c r="E29" s="284">
        <v>0</v>
      </c>
      <c r="F29" s="284">
        <v>0</v>
      </c>
      <c r="G29" s="284">
        <f t="shared" si="0"/>
        <v>0</v>
      </c>
    </row>
    <row r="30" spans="1:7" ht="29.1" customHeight="1">
      <c r="A30" s="284" t="s">
        <v>298</v>
      </c>
      <c r="B30" s="284" t="s">
        <v>219</v>
      </c>
      <c r="C30" s="284">
        <v>0</v>
      </c>
      <c r="D30" s="284">
        <v>800000</v>
      </c>
      <c r="E30" s="284">
        <v>800000</v>
      </c>
      <c r="F30" s="284">
        <v>0</v>
      </c>
      <c r="G30" s="284">
        <f t="shared" si="0"/>
        <v>-800000</v>
      </c>
    </row>
    <row r="31" spans="1:7" ht="29.1" customHeight="1">
      <c r="A31" s="284"/>
      <c r="B31" s="292" t="s">
        <v>119</v>
      </c>
      <c r="C31" s="292">
        <v>0</v>
      </c>
      <c r="D31" s="292">
        <f>SUM(D25:D30)</f>
        <v>33800000</v>
      </c>
      <c r="E31" s="292">
        <f>SUM(E25:E30)</f>
        <v>30520000</v>
      </c>
      <c r="F31" s="292">
        <f>SUM(F25:F30)</f>
        <v>47720000</v>
      </c>
      <c r="G31" s="284">
        <f t="shared" si="0"/>
        <v>17200000</v>
      </c>
    </row>
    <row r="32" spans="1:7" ht="29.1" customHeight="1">
      <c r="A32" s="292" t="s">
        <v>285</v>
      </c>
      <c r="B32" s="292" t="s">
        <v>158</v>
      </c>
      <c r="C32" s="292"/>
      <c r="D32" s="284"/>
      <c r="E32" s="284"/>
      <c r="F32" s="284"/>
      <c r="G32" s="284">
        <f t="shared" si="0"/>
        <v>0</v>
      </c>
    </row>
    <row r="33" spans="1:7" ht="29.1" customHeight="1">
      <c r="A33" s="284" t="s">
        <v>286</v>
      </c>
      <c r="B33" s="284" t="s">
        <v>55</v>
      </c>
      <c r="C33" s="284">
        <v>0</v>
      </c>
      <c r="D33" s="284">
        <v>1000000</v>
      </c>
      <c r="E33" s="284">
        <v>3000000</v>
      </c>
      <c r="F33" s="284">
        <v>10000000</v>
      </c>
      <c r="G33" s="284">
        <f t="shared" si="0"/>
        <v>7000000</v>
      </c>
    </row>
    <row r="34" spans="1:7" ht="29.1" customHeight="1">
      <c r="A34" s="284" t="s">
        <v>288</v>
      </c>
      <c r="B34" s="284" t="s">
        <v>287</v>
      </c>
      <c r="C34" s="284">
        <v>0</v>
      </c>
      <c r="D34" s="284">
        <v>1000000</v>
      </c>
      <c r="E34" s="284">
        <v>1000000</v>
      </c>
      <c r="F34" s="284">
        <v>1000000</v>
      </c>
      <c r="G34" s="284">
        <f t="shared" si="0"/>
        <v>0</v>
      </c>
    </row>
    <row r="35" spans="1:7" ht="29.1" customHeight="1">
      <c r="A35" s="284" t="s">
        <v>289</v>
      </c>
      <c r="B35" s="284" t="s">
        <v>290</v>
      </c>
      <c r="C35" s="284">
        <v>0</v>
      </c>
      <c r="D35" s="284">
        <v>0</v>
      </c>
      <c r="E35" s="284">
        <v>0</v>
      </c>
      <c r="F35" s="284">
        <v>0</v>
      </c>
      <c r="G35" s="284">
        <f t="shared" si="0"/>
        <v>0</v>
      </c>
    </row>
    <row r="36" spans="1:7" ht="29.1" customHeight="1">
      <c r="A36" s="284"/>
      <c r="B36" s="292" t="s">
        <v>119</v>
      </c>
      <c r="C36" s="292">
        <v>0</v>
      </c>
      <c r="D36" s="292">
        <f>SUM(D33:D35)</f>
        <v>2000000</v>
      </c>
      <c r="E36" s="292">
        <f>SUM(E33:E35)</f>
        <v>4000000</v>
      </c>
      <c r="F36" s="292">
        <f>SUM(F33:F35)</f>
        <v>11000000</v>
      </c>
      <c r="G36" s="284">
        <f t="shared" si="0"/>
        <v>7000000</v>
      </c>
    </row>
    <row r="37" spans="1:7" ht="29.1" customHeight="1">
      <c r="A37" s="292" t="s">
        <v>293</v>
      </c>
      <c r="B37" s="292" t="s">
        <v>292</v>
      </c>
      <c r="C37" s="292"/>
      <c r="D37" s="292"/>
      <c r="E37" s="292"/>
      <c r="F37" s="292"/>
      <c r="G37" s="284">
        <f t="shared" si="0"/>
        <v>0</v>
      </c>
    </row>
    <row r="38" spans="1:7" ht="29.1" customHeight="1">
      <c r="A38" s="292" t="s">
        <v>294</v>
      </c>
      <c r="B38" s="292" t="s">
        <v>291</v>
      </c>
      <c r="C38" s="358"/>
      <c r="D38" s="358"/>
      <c r="E38" s="284"/>
      <c r="F38" s="284"/>
      <c r="G38" s="284">
        <f t="shared" si="0"/>
        <v>0</v>
      </c>
    </row>
    <row r="39" spans="1:7" ht="29.1" customHeight="1">
      <c r="A39" s="284" t="s">
        <v>389</v>
      </c>
      <c r="B39" s="284" t="s">
        <v>307</v>
      </c>
      <c r="C39" s="284">
        <v>0</v>
      </c>
      <c r="D39" s="284">
        <v>20000000</v>
      </c>
      <c r="E39" s="284">
        <v>0</v>
      </c>
      <c r="F39" s="284">
        <v>0</v>
      </c>
      <c r="G39" s="284">
        <f t="shared" si="0"/>
        <v>0</v>
      </c>
    </row>
    <row r="40" spans="1:7" ht="29.1" customHeight="1">
      <c r="A40" s="284" t="s">
        <v>388</v>
      </c>
      <c r="B40" s="284" t="s">
        <v>309</v>
      </c>
      <c r="C40" s="284">
        <v>0</v>
      </c>
      <c r="D40" s="284">
        <f>198000000*70%</f>
        <v>138600000</v>
      </c>
      <c r="E40" s="284">
        <v>0</v>
      </c>
      <c r="F40" s="284">
        <v>0</v>
      </c>
      <c r="G40" s="284">
        <f t="shared" si="0"/>
        <v>0</v>
      </c>
    </row>
    <row r="41" spans="1:7" ht="29.1" customHeight="1">
      <c r="A41" s="284" t="s">
        <v>295</v>
      </c>
      <c r="B41" s="284" t="s">
        <v>176</v>
      </c>
      <c r="C41" s="284">
        <v>0</v>
      </c>
      <c r="D41" s="360">
        <v>0</v>
      </c>
      <c r="E41" s="284">
        <v>0</v>
      </c>
      <c r="F41" s="284">
        <v>0</v>
      </c>
      <c r="G41" s="284">
        <f t="shared" si="0"/>
        <v>0</v>
      </c>
    </row>
    <row r="42" spans="1:7" ht="29.1" customHeight="1">
      <c r="A42" s="284" t="s">
        <v>296</v>
      </c>
      <c r="B42" s="284" t="s">
        <v>177</v>
      </c>
      <c r="C42" s="284">
        <v>0</v>
      </c>
      <c r="D42" s="360">
        <v>0</v>
      </c>
      <c r="E42" s="284">
        <v>0</v>
      </c>
      <c r="F42" s="284">
        <v>0</v>
      </c>
      <c r="G42" s="284">
        <f t="shared" si="0"/>
        <v>0</v>
      </c>
    </row>
    <row r="43" spans="1:7" ht="29.1" customHeight="1">
      <c r="A43" s="335"/>
      <c r="B43" s="292" t="s">
        <v>119</v>
      </c>
      <c r="C43" s="292">
        <v>0</v>
      </c>
      <c r="D43" s="383">
        <f>SUM(D37:D42)</f>
        <v>158600000</v>
      </c>
      <c r="E43" s="292">
        <f>SUM(E37:E42)</f>
        <v>0</v>
      </c>
      <c r="F43" s="292">
        <f>SUM(F37:F42)</f>
        <v>0</v>
      </c>
      <c r="G43" s="284">
        <f t="shared" si="0"/>
        <v>0</v>
      </c>
    </row>
    <row r="44" spans="1:7" ht="29.1" customHeight="1" thickBot="1">
      <c r="A44" s="703"/>
      <c r="B44" s="704" t="s">
        <v>42</v>
      </c>
      <c r="C44" s="704">
        <v>0</v>
      </c>
      <c r="D44" s="705">
        <f>D43+D36+D31+D24+D8</f>
        <v>509876600</v>
      </c>
      <c r="E44" s="704">
        <f>E43+E36+E31+E24+E8</f>
        <v>294766600</v>
      </c>
      <c r="F44" s="704">
        <f>F43+F36+F31+F24+F8</f>
        <v>364280600</v>
      </c>
      <c r="G44" s="292">
        <f t="shared" si="0"/>
        <v>69514000</v>
      </c>
    </row>
    <row r="45" spans="1:7" ht="21" thickTop="1">
      <c r="A45" s="706"/>
      <c r="B45" s="66"/>
      <c r="C45" s="706"/>
      <c r="D45" s="706"/>
      <c r="E45" s="707"/>
      <c r="F45" s="707"/>
      <c r="G45" s="707"/>
    </row>
    <row r="46" spans="1:7">
      <c r="A46" s="706"/>
      <c r="B46" s="706"/>
      <c r="C46" s="706"/>
      <c r="D46" s="706"/>
      <c r="E46" s="707"/>
      <c r="F46" s="707"/>
      <c r="G46" s="707"/>
    </row>
    <row r="47" spans="1:7">
      <c r="A47" s="706"/>
      <c r="B47" s="706"/>
      <c r="C47" s="706"/>
      <c r="D47" s="706"/>
      <c r="E47" s="707"/>
      <c r="F47" s="707"/>
      <c r="G47" s="707"/>
    </row>
    <row r="48" spans="1:7">
      <c r="A48" s="706"/>
      <c r="B48" s="706"/>
      <c r="C48" s="706"/>
      <c r="D48" s="706"/>
      <c r="E48" s="707"/>
      <c r="F48" s="707"/>
      <c r="G48" s="707"/>
    </row>
    <row r="49" spans="1:7">
      <c r="A49" s="706"/>
      <c r="B49" s="706"/>
      <c r="C49" s="706"/>
      <c r="D49" s="706"/>
      <c r="E49" s="707"/>
      <c r="F49" s="707"/>
      <c r="G49" s="707"/>
    </row>
  </sheetData>
  <pageMargins left="0.7" right="0.25" top="0.59" bottom="0.37" header="0.22" footer="0.17"/>
  <pageSetup scale="55" orientation="portrait" r:id="rId1"/>
  <headerFooter>
    <oddHeader xml:space="preserve">&amp;C&amp;"Times New Roman,Bold"&amp;26Hay'adda Qurbo Jooga Soomaaliland </oddHeader>
    <oddFooter>&amp;R&amp;"Times New Roman,Bold"&amp;14 &amp;16 49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60" zoomScaleNormal="75" workbookViewId="0">
      <selection sqref="A1:XFD1048576"/>
    </sheetView>
  </sheetViews>
  <sheetFormatPr defaultRowHeight="24.95" customHeight="1"/>
  <cols>
    <col min="1" max="1" width="18.1640625" style="473" bestFit="1" customWidth="1"/>
    <col min="2" max="2" width="82.1640625" style="484" bestFit="1" customWidth="1"/>
    <col min="3" max="3" width="21.33203125" style="386" hidden="1" customWidth="1"/>
    <col min="4" max="4" width="22.5" style="386" hidden="1" customWidth="1"/>
    <col min="5" max="6" width="27.6640625" style="399" bestFit="1" customWidth="1"/>
    <col min="7" max="7" width="22.5" style="399" customWidth="1"/>
    <col min="8" max="16384" width="9.33203125" style="386"/>
  </cols>
  <sheetData>
    <row r="1" spans="1:7" ht="24.95" customHeight="1">
      <c r="A1" s="373" t="s">
        <v>45</v>
      </c>
      <c r="B1" s="443" t="s">
        <v>549</v>
      </c>
      <c r="C1" s="443"/>
      <c r="D1" s="443"/>
      <c r="E1" s="371"/>
      <c r="F1" s="371"/>
      <c r="G1" s="371"/>
    </row>
    <row r="2" spans="1:7" ht="24.95" customHeight="1">
      <c r="A2" s="378" t="s">
        <v>28</v>
      </c>
      <c r="B2" s="443" t="s">
        <v>29</v>
      </c>
      <c r="C2" s="443" t="s">
        <v>180</v>
      </c>
      <c r="D2" s="443" t="s">
        <v>297</v>
      </c>
      <c r="E2" s="371" t="s">
        <v>642</v>
      </c>
      <c r="F2" s="371" t="s">
        <v>1111</v>
      </c>
      <c r="G2" s="371" t="s">
        <v>63</v>
      </c>
    </row>
    <row r="3" spans="1:7" ht="24.95" customHeight="1">
      <c r="A3" s="292" t="s">
        <v>248</v>
      </c>
      <c r="B3" s="292" t="s">
        <v>165</v>
      </c>
      <c r="C3" s="443"/>
      <c r="D3" s="443"/>
      <c r="E3" s="371"/>
      <c r="F3" s="371"/>
      <c r="G3" s="371"/>
    </row>
    <row r="4" spans="1:7" ht="24.95" customHeight="1">
      <c r="A4" s="292" t="s">
        <v>249</v>
      </c>
      <c r="B4" s="292" t="s">
        <v>250</v>
      </c>
      <c r="C4" s="691"/>
      <c r="D4" s="691"/>
      <c r="E4" s="283"/>
      <c r="F4" s="283"/>
      <c r="G4" s="283"/>
    </row>
    <row r="5" spans="1:7" ht="24.95" customHeight="1">
      <c r="A5" s="284" t="s">
        <v>247</v>
      </c>
      <c r="B5" s="284" t="s">
        <v>32</v>
      </c>
      <c r="C5" s="691">
        <v>0</v>
      </c>
      <c r="D5" s="691">
        <v>539292000</v>
      </c>
      <c r="E5" s="283">
        <v>535548000</v>
      </c>
      <c r="F5" s="283">
        <v>540103200</v>
      </c>
      <c r="G5" s="283">
        <f>F5-E5</f>
        <v>4555200</v>
      </c>
    </row>
    <row r="6" spans="1:7" ht="24.95" customHeight="1">
      <c r="A6" s="284" t="s">
        <v>251</v>
      </c>
      <c r="B6" s="284" t="s">
        <v>906</v>
      </c>
      <c r="C6" s="691">
        <v>0</v>
      </c>
      <c r="D6" s="691">
        <v>22500000</v>
      </c>
      <c r="E6" s="283">
        <v>54000000</v>
      </c>
      <c r="F6" s="283">
        <v>54000000</v>
      </c>
      <c r="G6" s="283">
        <f t="shared" ref="G6:G46" si="0">F6-E6</f>
        <v>0</v>
      </c>
    </row>
    <row r="7" spans="1:7" ht="24.95" customHeight="1">
      <c r="A7" s="284" t="s">
        <v>649</v>
      </c>
      <c r="B7" s="284" t="s">
        <v>33</v>
      </c>
      <c r="C7" s="691"/>
      <c r="D7" s="691"/>
      <c r="E7" s="283">
        <v>0</v>
      </c>
      <c r="F7" s="283">
        <v>0</v>
      </c>
      <c r="G7" s="283">
        <f t="shared" si="0"/>
        <v>0</v>
      </c>
    </row>
    <row r="8" spans="1:7" ht="24.95" customHeight="1">
      <c r="A8" s="284" t="s">
        <v>252</v>
      </c>
      <c r="B8" s="284" t="s">
        <v>34</v>
      </c>
      <c r="C8" s="283">
        <f>SUM(C5:C6)</f>
        <v>0</v>
      </c>
      <c r="D8" s="283">
        <v>86400000</v>
      </c>
      <c r="E8" s="283">
        <v>104400000</v>
      </c>
      <c r="F8" s="283">
        <v>104400000</v>
      </c>
      <c r="G8" s="283">
        <f t="shared" si="0"/>
        <v>0</v>
      </c>
    </row>
    <row r="9" spans="1:7" ht="24.95" customHeight="1">
      <c r="A9" s="284"/>
      <c r="B9" s="292" t="s">
        <v>119</v>
      </c>
      <c r="C9" s="283" t="e">
        <f>SUM(#REF!)</f>
        <v>#REF!</v>
      </c>
      <c r="D9" s="371">
        <f>SUM(D5:D8)</f>
        <v>648192000</v>
      </c>
      <c r="E9" s="371">
        <f>SUM(E5:E8)</f>
        <v>693948000</v>
      </c>
      <c r="F9" s="371">
        <f>SUM(F5:F8)</f>
        <v>698503200</v>
      </c>
      <c r="G9" s="371">
        <f t="shared" si="0"/>
        <v>4555200</v>
      </c>
    </row>
    <row r="10" spans="1:7" ht="24.95" customHeight="1">
      <c r="A10" s="292" t="s">
        <v>262</v>
      </c>
      <c r="B10" s="292" t="s">
        <v>263</v>
      </c>
      <c r="C10" s="283"/>
      <c r="D10" s="283"/>
      <c r="E10" s="283"/>
      <c r="F10" s="283"/>
      <c r="G10" s="283">
        <f t="shared" si="0"/>
        <v>0</v>
      </c>
    </row>
    <row r="11" spans="1:7" ht="24.95" customHeight="1">
      <c r="A11" s="292" t="s">
        <v>265</v>
      </c>
      <c r="B11" s="292" t="s">
        <v>264</v>
      </c>
      <c r="C11" s="283"/>
      <c r="D11" s="283"/>
      <c r="E11" s="283"/>
      <c r="F11" s="283"/>
      <c r="G11" s="283">
        <f t="shared" si="0"/>
        <v>0</v>
      </c>
    </row>
    <row r="12" spans="1:7" ht="24.95" customHeight="1">
      <c r="A12" s="284" t="s">
        <v>266</v>
      </c>
      <c r="B12" s="284" t="s">
        <v>38</v>
      </c>
      <c r="C12" s="283">
        <v>0</v>
      </c>
      <c r="D12" s="283">
        <v>15000000</v>
      </c>
      <c r="E12" s="283">
        <v>35000000</v>
      </c>
      <c r="F12" s="283">
        <v>35000000</v>
      </c>
      <c r="G12" s="283">
        <f t="shared" si="0"/>
        <v>0</v>
      </c>
    </row>
    <row r="13" spans="1:7" ht="24.95" customHeight="1">
      <c r="A13" s="284" t="s">
        <v>267</v>
      </c>
      <c r="B13" s="284" t="s">
        <v>426</v>
      </c>
      <c r="C13" s="283"/>
      <c r="D13" s="283">
        <v>10000000</v>
      </c>
      <c r="E13" s="283">
        <v>10000000</v>
      </c>
      <c r="F13" s="283">
        <v>10000000</v>
      </c>
      <c r="G13" s="283">
        <f t="shared" si="0"/>
        <v>0</v>
      </c>
    </row>
    <row r="14" spans="1:7" ht="24.95" customHeight="1">
      <c r="A14" s="284" t="s">
        <v>268</v>
      </c>
      <c r="B14" s="284" t="s">
        <v>450</v>
      </c>
      <c r="C14" s="283"/>
      <c r="D14" s="283">
        <f>30000000*70%</f>
        <v>21000000</v>
      </c>
      <c r="E14" s="284"/>
      <c r="F14" s="284"/>
      <c r="G14" s="395">
        <f t="shared" si="0"/>
        <v>0</v>
      </c>
    </row>
    <row r="15" spans="1:7" ht="24.95" customHeight="1">
      <c r="A15" s="284" t="s">
        <v>269</v>
      </c>
      <c r="B15" s="284" t="s">
        <v>186</v>
      </c>
      <c r="C15" s="283">
        <v>0</v>
      </c>
      <c r="D15" s="283">
        <f>20000000*70%</f>
        <v>14000000</v>
      </c>
      <c r="E15" s="283">
        <f>20000000*70%</f>
        <v>14000000</v>
      </c>
      <c r="F15" s="283">
        <f>20000000*70%</f>
        <v>14000000</v>
      </c>
      <c r="G15" s="283">
        <f t="shared" si="0"/>
        <v>0</v>
      </c>
    </row>
    <row r="16" spans="1:7" ht="24.95" customHeight="1">
      <c r="A16" s="284" t="s">
        <v>270</v>
      </c>
      <c r="B16" s="284" t="s">
        <v>437</v>
      </c>
      <c r="C16" s="283">
        <v>0</v>
      </c>
      <c r="D16" s="283">
        <f>57600000*70%</f>
        <v>40320000</v>
      </c>
      <c r="E16" s="283">
        <f>57600000*70%</f>
        <v>40320000</v>
      </c>
      <c r="F16" s="283">
        <f>57600000*70%</f>
        <v>40320000</v>
      </c>
      <c r="G16" s="283">
        <f t="shared" si="0"/>
        <v>0</v>
      </c>
    </row>
    <row r="17" spans="1:7" ht="24.95" customHeight="1">
      <c r="A17" s="284" t="s">
        <v>271</v>
      </c>
      <c r="B17" s="284" t="s">
        <v>154</v>
      </c>
      <c r="C17" s="283">
        <v>0</v>
      </c>
      <c r="D17" s="283">
        <v>0</v>
      </c>
      <c r="E17" s="283">
        <v>0</v>
      </c>
      <c r="F17" s="283">
        <v>0</v>
      </c>
      <c r="G17" s="283">
        <f t="shared" si="0"/>
        <v>0</v>
      </c>
    </row>
    <row r="18" spans="1:7" ht="24.95" customHeight="1">
      <c r="A18" s="284" t="s">
        <v>438</v>
      </c>
      <c r="B18" s="284" t="s">
        <v>439</v>
      </c>
      <c r="C18" s="283">
        <v>0</v>
      </c>
      <c r="D18" s="283">
        <v>3000000</v>
      </c>
      <c r="E18" s="283">
        <f>D18*70%</f>
        <v>2100000</v>
      </c>
      <c r="F18" s="283">
        <f>E18</f>
        <v>2100000</v>
      </c>
      <c r="G18" s="283">
        <f t="shared" si="0"/>
        <v>0</v>
      </c>
    </row>
    <row r="19" spans="1:7" ht="24.95" customHeight="1">
      <c r="A19" s="284" t="s">
        <v>274</v>
      </c>
      <c r="B19" s="284" t="s">
        <v>164</v>
      </c>
      <c r="C19" s="371" t="e">
        <f>SUM(C9:C18)</f>
        <v>#REF!</v>
      </c>
      <c r="D19" s="283">
        <v>1000000</v>
      </c>
      <c r="E19" s="283">
        <v>1000000</v>
      </c>
      <c r="F19" s="283">
        <v>1000000</v>
      </c>
      <c r="G19" s="283">
        <f t="shared" si="0"/>
        <v>0</v>
      </c>
    </row>
    <row r="20" spans="1:7" ht="24.95" customHeight="1">
      <c r="A20" s="284" t="s">
        <v>275</v>
      </c>
      <c r="B20" s="284" t="s">
        <v>40</v>
      </c>
      <c r="C20" s="371"/>
      <c r="D20" s="283">
        <v>3000000</v>
      </c>
      <c r="E20" s="283">
        <v>13000000</v>
      </c>
      <c r="F20" s="283">
        <v>13000000</v>
      </c>
      <c r="G20" s="283">
        <f t="shared" si="0"/>
        <v>0</v>
      </c>
    </row>
    <row r="21" spans="1:7" ht="24.95" customHeight="1">
      <c r="A21" s="284" t="s">
        <v>330</v>
      </c>
      <c r="B21" s="284" t="s">
        <v>171</v>
      </c>
      <c r="C21" s="283">
        <v>0</v>
      </c>
      <c r="D21" s="283">
        <v>1000000</v>
      </c>
      <c r="E21" s="283">
        <v>0</v>
      </c>
      <c r="F21" s="283">
        <v>0</v>
      </c>
      <c r="G21" s="283">
        <f t="shared" si="0"/>
        <v>0</v>
      </c>
    </row>
    <row r="22" spans="1:7" ht="24.95" customHeight="1">
      <c r="A22" s="284" t="s">
        <v>277</v>
      </c>
      <c r="B22" s="284" t="s">
        <v>1146</v>
      </c>
      <c r="C22" s="283">
        <v>0</v>
      </c>
      <c r="D22" s="283">
        <f>20000000*70%</f>
        <v>14000000</v>
      </c>
      <c r="E22" s="283">
        <v>0</v>
      </c>
      <c r="F22" s="283">
        <v>50000000</v>
      </c>
      <c r="G22" s="283">
        <f t="shared" si="0"/>
        <v>50000000</v>
      </c>
    </row>
    <row r="23" spans="1:7" ht="24.95" customHeight="1">
      <c r="A23" s="284" t="s">
        <v>321</v>
      </c>
      <c r="B23" s="284" t="s">
        <v>802</v>
      </c>
      <c r="C23" s="283"/>
      <c r="D23" s="283"/>
      <c r="E23" s="283">
        <v>20000000</v>
      </c>
      <c r="F23" s="283">
        <v>20000000</v>
      </c>
      <c r="G23" s="283">
        <f t="shared" si="0"/>
        <v>0</v>
      </c>
    </row>
    <row r="24" spans="1:7" ht="24.95" customHeight="1">
      <c r="A24" s="284" t="s">
        <v>733</v>
      </c>
      <c r="B24" s="284" t="s">
        <v>751</v>
      </c>
      <c r="C24" s="283"/>
      <c r="D24" s="283"/>
      <c r="E24" s="283"/>
      <c r="F24" s="283">
        <v>30680000</v>
      </c>
      <c r="G24" s="283">
        <f t="shared" si="0"/>
        <v>30680000</v>
      </c>
    </row>
    <row r="25" spans="1:7" ht="24.95" customHeight="1">
      <c r="A25" s="284"/>
      <c r="B25" s="292" t="s">
        <v>119</v>
      </c>
      <c r="C25" s="283">
        <v>0</v>
      </c>
      <c r="D25" s="371">
        <f>SUM(D12:D22)</f>
        <v>122320000</v>
      </c>
      <c r="E25" s="371">
        <f>SUM(E12:E23)</f>
        <v>135420000</v>
      </c>
      <c r="F25" s="371">
        <f>SUM(F12:F24)</f>
        <v>216100000</v>
      </c>
      <c r="G25" s="371">
        <f t="shared" si="0"/>
        <v>80680000</v>
      </c>
    </row>
    <row r="26" spans="1:7" ht="24.95" customHeight="1">
      <c r="A26" s="292" t="s">
        <v>279</v>
      </c>
      <c r="B26" s="292" t="s">
        <v>278</v>
      </c>
      <c r="C26" s="283">
        <v>0</v>
      </c>
      <c r="D26" s="371"/>
      <c r="E26" s="371"/>
      <c r="F26" s="371"/>
      <c r="G26" s="371">
        <f t="shared" si="0"/>
        <v>0</v>
      </c>
    </row>
    <row r="27" spans="1:7" ht="24.95" customHeight="1">
      <c r="A27" s="284" t="s">
        <v>280</v>
      </c>
      <c r="B27" s="284" t="s">
        <v>440</v>
      </c>
      <c r="C27" s="283">
        <v>0</v>
      </c>
      <c r="D27" s="283">
        <v>0</v>
      </c>
      <c r="E27" s="283">
        <v>0</v>
      </c>
      <c r="F27" s="283">
        <v>0</v>
      </c>
      <c r="G27" s="283">
        <f t="shared" si="0"/>
        <v>0</v>
      </c>
    </row>
    <row r="28" spans="1:7" ht="24.95" customHeight="1">
      <c r="A28" s="284" t="s">
        <v>281</v>
      </c>
      <c r="B28" s="284" t="s">
        <v>161</v>
      </c>
      <c r="C28" s="283">
        <v>0</v>
      </c>
      <c r="D28" s="283">
        <f>121600000*70%</f>
        <v>85120000</v>
      </c>
      <c r="E28" s="283">
        <v>125120000</v>
      </c>
      <c r="F28" s="283">
        <v>125120000</v>
      </c>
      <c r="G28" s="283">
        <f t="shared" si="0"/>
        <v>0</v>
      </c>
    </row>
    <row r="29" spans="1:7" ht="24.95" customHeight="1">
      <c r="A29" s="284" t="s">
        <v>282</v>
      </c>
      <c r="B29" s="284" t="s">
        <v>155</v>
      </c>
      <c r="C29" s="371">
        <v>0</v>
      </c>
      <c r="D29" s="283">
        <f>15000000*70%</f>
        <v>10500000</v>
      </c>
      <c r="E29" s="283">
        <f>15000000*70%</f>
        <v>10500000</v>
      </c>
      <c r="F29" s="283">
        <f>15000000*70%</f>
        <v>10500000</v>
      </c>
      <c r="G29" s="283">
        <f t="shared" si="0"/>
        <v>0</v>
      </c>
    </row>
    <row r="30" spans="1:7" ht="24.95" customHeight="1">
      <c r="A30" s="284" t="s">
        <v>283</v>
      </c>
      <c r="B30" s="284" t="s">
        <v>156</v>
      </c>
      <c r="C30" s="371"/>
      <c r="D30" s="283">
        <v>3000000</v>
      </c>
      <c r="E30" s="283">
        <v>3000000</v>
      </c>
      <c r="F30" s="283">
        <v>3000000</v>
      </c>
      <c r="G30" s="283">
        <f t="shared" si="0"/>
        <v>0</v>
      </c>
    </row>
    <row r="31" spans="1:7" ht="24.95" customHeight="1">
      <c r="A31" s="284" t="s">
        <v>316</v>
      </c>
      <c r="B31" s="284" t="s">
        <v>425</v>
      </c>
      <c r="C31" s="283">
        <v>0</v>
      </c>
      <c r="D31" s="283">
        <v>0</v>
      </c>
      <c r="E31" s="283">
        <v>0</v>
      </c>
      <c r="F31" s="283">
        <v>0</v>
      </c>
      <c r="G31" s="283">
        <f t="shared" si="0"/>
        <v>0</v>
      </c>
    </row>
    <row r="32" spans="1:7" ht="24.95" customHeight="1">
      <c r="A32" s="284" t="s">
        <v>298</v>
      </c>
      <c r="B32" s="284" t="s">
        <v>219</v>
      </c>
      <c r="C32" s="283">
        <v>0</v>
      </c>
      <c r="D32" s="283">
        <f>18000000*70%</f>
        <v>12600000</v>
      </c>
      <c r="E32" s="283">
        <v>0</v>
      </c>
      <c r="F32" s="283">
        <v>0</v>
      </c>
      <c r="G32" s="283">
        <f t="shared" si="0"/>
        <v>0</v>
      </c>
    </row>
    <row r="33" spans="1:7" ht="24.95" customHeight="1">
      <c r="A33" s="284"/>
      <c r="B33" s="292" t="s">
        <v>119</v>
      </c>
      <c r="C33" s="283">
        <v>0</v>
      </c>
      <c r="D33" s="371">
        <f>SUM(D27:D32)</f>
        <v>111220000</v>
      </c>
      <c r="E33" s="371">
        <f>SUM(E27:E32)</f>
        <v>138620000</v>
      </c>
      <c r="F33" s="371">
        <f>SUM(F27:F32)</f>
        <v>138620000</v>
      </c>
      <c r="G33" s="371">
        <f t="shared" si="0"/>
        <v>0</v>
      </c>
    </row>
    <row r="34" spans="1:7" ht="24.95" customHeight="1">
      <c r="A34" s="292" t="s">
        <v>285</v>
      </c>
      <c r="B34" s="292" t="s">
        <v>158</v>
      </c>
      <c r="C34" s="371"/>
      <c r="D34" s="371"/>
      <c r="E34" s="371"/>
      <c r="F34" s="371"/>
      <c r="G34" s="371">
        <f t="shared" si="0"/>
        <v>0</v>
      </c>
    </row>
    <row r="35" spans="1:7" ht="24.95" customHeight="1">
      <c r="A35" s="284" t="s">
        <v>286</v>
      </c>
      <c r="B35" s="284" t="s">
        <v>55</v>
      </c>
      <c r="C35" s="423">
        <v>0</v>
      </c>
      <c r="D35" s="423">
        <f>32400000*70%</f>
        <v>22680000</v>
      </c>
      <c r="E35" s="423">
        <f>32400000*70%</f>
        <v>22680000</v>
      </c>
      <c r="F35" s="423">
        <f>32400000*70%</f>
        <v>22680000</v>
      </c>
      <c r="G35" s="423">
        <f t="shared" si="0"/>
        <v>0</v>
      </c>
    </row>
    <row r="36" spans="1:7" ht="24.95" customHeight="1">
      <c r="A36" s="284" t="s">
        <v>288</v>
      </c>
      <c r="B36" s="284" t="s">
        <v>287</v>
      </c>
      <c r="C36" s="423">
        <v>0</v>
      </c>
      <c r="D36" s="423">
        <v>0</v>
      </c>
      <c r="E36" s="423">
        <v>0</v>
      </c>
      <c r="F36" s="423">
        <v>0</v>
      </c>
      <c r="G36" s="423">
        <f t="shared" si="0"/>
        <v>0</v>
      </c>
    </row>
    <row r="37" spans="1:7" ht="24.95" customHeight="1">
      <c r="A37" s="284" t="s">
        <v>431</v>
      </c>
      <c r="B37" s="284" t="s">
        <v>441</v>
      </c>
      <c r="C37" s="423">
        <v>0</v>
      </c>
      <c r="D37" s="477">
        <f>600000000*70%</f>
        <v>420000000</v>
      </c>
      <c r="E37" s="362">
        <v>0</v>
      </c>
      <c r="F37" s="362">
        <v>0</v>
      </c>
      <c r="G37" s="362">
        <f t="shared" si="0"/>
        <v>0</v>
      </c>
    </row>
    <row r="38" spans="1:7" ht="24.95" customHeight="1">
      <c r="A38" s="284"/>
      <c r="B38" s="292" t="s">
        <v>119</v>
      </c>
      <c r="C38" s="283">
        <v>0</v>
      </c>
      <c r="D38" s="709">
        <f>SUM(D35:D37)</f>
        <v>442680000</v>
      </c>
      <c r="E38" s="382">
        <f>SUM(E35:E37)</f>
        <v>22680000</v>
      </c>
      <c r="F38" s="382">
        <f>SUM(F35:F37)</f>
        <v>22680000</v>
      </c>
      <c r="G38" s="382">
        <f t="shared" si="0"/>
        <v>0</v>
      </c>
    </row>
    <row r="39" spans="1:7" ht="24.95" customHeight="1">
      <c r="A39" s="292" t="s">
        <v>293</v>
      </c>
      <c r="B39" s="292" t="s">
        <v>292</v>
      </c>
      <c r="C39" s="283"/>
      <c r="D39" s="710"/>
      <c r="E39" s="283"/>
      <c r="F39" s="283"/>
      <c r="G39" s="283">
        <f t="shared" si="0"/>
        <v>0</v>
      </c>
    </row>
    <row r="40" spans="1:7" ht="24.95" customHeight="1">
      <c r="A40" s="292" t="s">
        <v>294</v>
      </c>
      <c r="B40" s="292" t="s">
        <v>291</v>
      </c>
      <c r="C40" s="283"/>
      <c r="D40" s="710"/>
      <c r="E40" s="283"/>
      <c r="F40" s="283"/>
      <c r="G40" s="283">
        <f t="shared" si="0"/>
        <v>0</v>
      </c>
    </row>
    <row r="41" spans="1:7" ht="24.95" customHeight="1">
      <c r="A41" s="284" t="s">
        <v>389</v>
      </c>
      <c r="B41" s="284" t="s">
        <v>307</v>
      </c>
      <c r="C41" s="335">
        <v>0</v>
      </c>
      <c r="D41" s="381">
        <f>54000000*70%</f>
        <v>37800000</v>
      </c>
      <c r="E41" s="362">
        <v>24000000</v>
      </c>
      <c r="F41" s="362">
        <v>0</v>
      </c>
      <c r="G41" s="362">
        <f t="shared" si="0"/>
        <v>-24000000</v>
      </c>
    </row>
    <row r="42" spans="1:7" ht="24.95" customHeight="1">
      <c r="A42" s="284" t="s">
        <v>388</v>
      </c>
      <c r="B42" s="284" t="s">
        <v>309</v>
      </c>
      <c r="C42" s="335">
        <v>0</v>
      </c>
      <c r="D42" s="381">
        <f>216000000*70%</f>
        <v>151200000</v>
      </c>
      <c r="E42" s="362"/>
      <c r="F42" s="362"/>
      <c r="G42" s="362">
        <f t="shared" si="0"/>
        <v>0</v>
      </c>
    </row>
    <row r="43" spans="1:7" ht="24.95" customHeight="1">
      <c r="A43" s="389" t="s">
        <v>295</v>
      </c>
      <c r="B43" s="389" t="s">
        <v>176</v>
      </c>
      <c r="C43" s="283">
        <v>0</v>
      </c>
      <c r="D43" s="607">
        <f>10000000*70%</f>
        <v>7000000</v>
      </c>
      <c r="E43" s="362">
        <v>0</v>
      </c>
      <c r="F43" s="362">
        <v>0</v>
      </c>
      <c r="G43" s="362">
        <f t="shared" si="0"/>
        <v>0</v>
      </c>
    </row>
    <row r="44" spans="1:7" ht="24.95" customHeight="1">
      <c r="A44" s="284" t="s">
        <v>296</v>
      </c>
      <c r="B44" s="284" t="s">
        <v>177</v>
      </c>
      <c r="C44" s="283">
        <v>0</v>
      </c>
      <c r="D44" s="607">
        <f>5000000*70%</f>
        <v>3500000</v>
      </c>
      <c r="E44" s="362">
        <v>0</v>
      </c>
      <c r="F44" s="362">
        <v>0</v>
      </c>
      <c r="G44" s="362">
        <f t="shared" si="0"/>
        <v>0</v>
      </c>
    </row>
    <row r="45" spans="1:7" ht="24.95" customHeight="1">
      <c r="A45" s="284"/>
      <c r="B45" s="292" t="s">
        <v>119</v>
      </c>
      <c r="C45" s="335">
        <f>SUM(C41:C44)</f>
        <v>0</v>
      </c>
      <c r="D45" s="383">
        <f>SUM(D41:D44)</f>
        <v>199500000</v>
      </c>
      <c r="E45" s="292">
        <f>SUM(E41:E44)</f>
        <v>24000000</v>
      </c>
      <c r="F45" s="292">
        <f>SUM(F41:F44)</f>
        <v>0</v>
      </c>
      <c r="G45" s="292">
        <f t="shared" si="0"/>
        <v>-24000000</v>
      </c>
    </row>
    <row r="46" spans="1:7" ht="24.95" customHeight="1">
      <c r="A46" s="284"/>
      <c r="B46" s="292" t="s">
        <v>42</v>
      </c>
      <c r="C46" s="373">
        <v>0</v>
      </c>
      <c r="D46" s="361">
        <f>D45+D38+D33+D25+D9</f>
        <v>1523912000</v>
      </c>
      <c r="E46" s="292">
        <f>E45+E38+E33+E25+E9</f>
        <v>1014668000</v>
      </c>
      <c r="F46" s="292">
        <f>F45+F38+F33+F25+F9</f>
        <v>1075903200</v>
      </c>
      <c r="G46" s="292">
        <f t="shared" si="0"/>
        <v>61235200</v>
      </c>
    </row>
    <row r="47" spans="1:7" ht="24.95" customHeight="1">
      <c r="B47" s="429"/>
    </row>
    <row r="48" spans="1:7" ht="24.95" customHeight="1">
      <c r="B48" s="429"/>
    </row>
    <row r="49" spans="2:2" ht="24.95" customHeight="1">
      <c r="B49" s="429"/>
    </row>
    <row r="50" spans="2:2" ht="24.95" customHeight="1">
      <c r="B50" s="429"/>
    </row>
  </sheetData>
  <pageMargins left="0.7" right="0.25" top="0.81" bottom="0.48" header="0.31" footer="0.17"/>
  <pageSetup scale="60" orientation="portrait" r:id="rId1"/>
  <headerFooter>
    <oddHeader>&amp;C&amp;"Arial Black,Bold"&amp;20Quality Contol Commission.</oddHeader>
    <oddFooter>&amp;R&amp;"Times New Roman,Bold"&amp;14 &amp;16 50</oddFooter>
  </headerFooter>
  <ignoredErrors>
    <ignoredError sqref="C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P55"/>
  <sheetViews>
    <sheetView view="pageBreakPreview" zoomScale="60" zoomScaleNormal="75" workbookViewId="0">
      <selection activeCell="B60" sqref="B60"/>
    </sheetView>
  </sheetViews>
  <sheetFormatPr defaultRowHeight="24.95" customHeight="1"/>
  <cols>
    <col min="1" max="1" width="15.5" style="396" customWidth="1"/>
    <col min="2" max="2" width="79" style="396" bestFit="1" customWidth="1"/>
    <col min="3" max="3" width="16.1640625" style="396" hidden="1" customWidth="1"/>
    <col min="4" max="4" width="17" style="396" hidden="1" customWidth="1"/>
    <col min="5" max="5" width="18" style="396" hidden="1" customWidth="1"/>
    <col min="6" max="6" width="16.83203125" style="396" hidden="1" customWidth="1"/>
    <col min="7" max="7" width="26" style="396" hidden="1" customWidth="1"/>
    <col min="8" max="8" width="25.5" style="396" hidden="1" customWidth="1"/>
    <col min="9" max="9" width="24.1640625" style="396" hidden="1" customWidth="1"/>
    <col min="10" max="10" width="28.6640625" style="396" hidden="1" customWidth="1"/>
    <col min="11" max="11" width="0.5" style="396" hidden="1" customWidth="1"/>
    <col min="12" max="13" width="28" style="396" hidden="1" customWidth="1"/>
    <col min="14" max="15" width="29.83203125" style="396" bestFit="1" customWidth="1"/>
    <col min="16" max="16" width="27.6640625" style="398" bestFit="1" customWidth="1"/>
    <col min="17" max="17" width="9.33203125" style="386"/>
    <col min="18" max="18" width="20.6640625" style="386" bestFit="1" customWidth="1"/>
    <col min="19" max="16384" width="9.33203125" style="386"/>
  </cols>
  <sheetData>
    <row r="1" spans="1:16" ht="24.95" customHeight="1">
      <c r="A1" s="371" t="s">
        <v>44</v>
      </c>
      <c r="B1" s="385" t="s">
        <v>1151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335"/>
    </row>
    <row r="2" spans="1:16" ht="24.95" customHeight="1">
      <c r="A2" s="371" t="s">
        <v>28</v>
      </c>
      <c r="B2" s="371" t="s">
        <v>29</v>
      </c>
      <c r="C2" s="271" t="s">
        <v>43</v>
      </c>
      <c r="D2" s="271" t="s">
        <v>2</v>
      </c>
      <c r="E2" s="271" t="s">
        <v>48</v>
      </c>
      <c r="F2" s="271" t="s">
        <v>52</v>
      </c>
      <c r="G2" s="271" t="s">
        <v>62</v>
      </c>
      <c r="H2" s="271" t="s">
        <v>70</v>
      </c>
      <c r="I2" s="271" t="s">
        <v>130</v>
      </c>
      <c r="J2" s="271" t="s">
        <v>135</v>
      </c>
      <c r="K2" s="271" t="s">
        <v>143</v>
      </c>
      <c r="L2" s="271" t="s">
        <v>180</v>
      </c>
      <c r="M2" s="271" t="s">
        <v>297</v>
      </c>
      <c r="N2" s="271" t="s">
        <v>641</v>
      </c>
      <c r="O2" s="271" t="s">
        <v>1103</v>
      </c>
      <c r="P2" s="271" t="s">
        <v>63</v>
      </c>
    </row>
    <row r="3" spans="1:16" ht="24.95" customHeight="1">
      <c r="A3" s="292" t="s">
        <v>248</v>
      </c>
      <c r="B3" s="292" t="s">
        <v>165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373"/>
    </row>
    <row r="4" spans="1:16" ht="24.95" customHeight="1">
      <c r="A4" s="292" t="s">
        <v>249</v>
      </c>
      <c r="B4" s="292" t="s">
        <v>250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373"/>
    </row>
    <row r="5" spans="1:16" ht="24.95" customHeight="1">
      <c r="A5" s="284" t="s">
        <v>247</v>
      </c>
      <c r="B5" s="284" t="s">
        <v>32</v>
      </c>
      <c r="C5" s="284">
        <v>63105000</v>
      </c>
      <c r="D5" s="284">
        <v>74712000</v>
      </c>
      <c r="E5" s="284">
        <v>74712000</v>
      </c>
      <c r="F5" s="284">
        <v>74712000</v>
      </c>
      <c r="G5" s="336">
        <v>79812000</v>
      </c>
      <c r="H5" s="336">
        <v>79812000</v>
      </c>
      <c r="I5" s="336">
        <v>127296000</v>
      </c>
      <c r="J5" s="336">
        <v>150836400</v>
      </c>
      <c r="K5" s="336">
        <v>150836400</v>
      </c>
      <c r="L5" s="336">
        <v>150836400</v>
      </c>
      <c r="M5" s="336">
        <f>'shaq,3'!H5</f>
        <v>216902400</v>
      </c>
      <c r="N5" s="336">
        <v>260988000</v>
      </c>
      <c r="O5" s="336">
        <v>256464000</v>
      </c>
      <c r="P5" s="336">
        <f>O5-N5</f>
        <v>-4524000</v>
      </c>
    </row>
    <row r="6" spans="1:16" ht="24.95" customHeight="1">
      <c r="A6" s="284" t="s">
        <v>251</v>
      </c>
      <c r="B6" s="284" t="s">
        <v>569</v>
      </c>
      <c r="C6" s="284">
        <v>1180900</v>
      </c>
      <c r="D6" s="284">
        <v>0</v>
      </c>
      <c r="E6" s="284">
        <v>0</v>
      </c>
      <c r="F6" s="284">
        <v>0</v>
      </c>
      <c r="G6" s="336">
        <v>0</v>
      </c>
      <c r="H6" s="381">
        <v>0</v>
      </c>
      <c r="I6" s="381">
        <v>0</v>
      </c>
      <c r="J6" s="381">
        <v>0</v>
      </c>
      <c r="K6" s="381">
        <v>0</v>
      </c>
      <c r="L6" s="381">
        <v>0</v>
      </c>
      <c r="M6" s="381">
        <v>7332000000</v>
      </c>
      <c r="N6" s="381">
        <v>7332000000</v>
      </c>
      <c r="O6" s="381">
        <v>7176000000</v>
      </c>
      <c r="P6" s="336">
        <f t="shared" ref="P6:P52" si="0">O6-N6</f>
        <v>-156000000</v>
      </c>
    </row>
    <row r="7" spans="1:16" ht="24.95" customHeight="1">
      <c r="A7" s="284" t="s">
        <v>252</v>
      </c>
      <c r="B7" s="284" t="s">
        <v>1105</v>
      </c>
      <c r="C7" s="284">
        <v>1150222000</v>
      </c>
      <c r="D7" s="284">
        <v>1283252000</v>
      </c>
      <c r="E7" s="284">
        <v>1283252000</v>
      </c>
      <c r="F7" s="284">
        <f>2043452000+1200000</f>
        <v>2044652000</v>
      </c>
      <c r="G7" s="336">
        <f>2044652000+400000000</f>
        <v>2444652000</v>
      </c>
      <c r="H7" s="336">
        <v>2650428000</v>
      </c>
      <c r="I7" s="336">
        <v>2939364000</v>
      </c>
      <c r="J7" s="336">
        <v>2940564000</v>
      </c>
      <c r="K7" s="336">
        <f>2940564000+30288000+30288000</f>
        <v>3001140000</v>
      </c>
      <c r="L7" s="336">
        <v>3031428000</v>
      </c>
      <c r="M7" s="336">
        <v>1946100000</v>
      </c>
      <c r="N7" s="336">
        <v>2015700000</v>
      </c>
      <c r="O7" s="336">
        <v>1999500000</v>
      </c>
      <c r="P7" s="336">
        <f t="shared" si="0"/>
        <v>-16200000</v>
      </c>
    </row>
    <row r="8" spans="1:16" ht="24.95" customHeight="1">
      <c r="A8" s="284" t="s">
        <v>253</v>
      </c>
      <c r="B8" s="284" t="s">
        <v>168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v>0</v>
      </c>
      <c r="O8" s="284">
        <v>0</v>
      </c>
      <c r="P8" s="336">
        <f t="shared" si="0"/>
        <v>0</v>
      </c>
    </row>
    <row r="9" spans="1:16" ht="24.95" customHeight="1">
      <c r="A9" s="284" t="s">
        <v>254</v>
      </c>
      <c r="B9" s="284" t="s">
        <v>704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362">
        <v>0</v>
      </c>
      <c r="I9" s="362">
        <v>0</v>
      </c>
      <c r="J9" s="362">
        <v>0</v>
      </c>
      <c r="K9" s="362">
        <v>0</v>
      </c>
      <c r="L9" s="362">
        <v>0</v>
      </c>
      <c r="M9" s="284">
        <v>90864000</v>
      </c>
      <c r="N9" s="284">
        <v>121152000</v>
      </c>
      <c r="O9" s="284">
        <v>121152000</v>
      </c>
      <c r="P9" s="336">
        <f t="shared" si="0"/>
        <v>0</v>
      </c>
    </row>
    <row r="10" spans="1:16" ht="24.95" customHeight="1">
      <c r="A10" s="292" t="s">
        <v>255</v>
      </c>
      <c r="B10" s="292" t="s">
        <v>256</v>
      </c>
      <c r="C10" s="284"/>
      <c r="D10" s="284"/>
      <c r="E10" s="284"/>
      <c r="F10" s="284"/>
      <c r="G10" s="284"/>
      <c r="H10" s="362"/>
      <c r="I10" s="362"/>
      <c r="J10" s="362"/>
      <c r="K10" s="362">
        <v>0</v>
      </c>
      <c r="L10" s="362">
        <v>0</v>
      </c>
      <c r="M10" s="284">
        <v>0</v>
      </c>
      <c r="N10" s="284">
        <v>0</v>
      </c>
      <c r="O10" s="284">
        <v>0</v>
      </c>
      <c r="P10" s="336">
        <f t="shared" si="0"/>
        <v>0</v>
      </c>
    </row>
    <row r="11" spans="1:16" ht="24.95" customHeight="1">
      <c r="A11" s="284" t="s">
        <v>258</v>
      </c>
      <c r="B11" s="284" t="s">
        <v>261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362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362">
        <v>0</v>
      </c>
      <c r="O11" s="362">
        <v>0</v>
      </c>
      <c r="P11" s="336">
        <f t="shared" si="0"/>
        <v>0</v>
      </c>
    </row>
    <row r="12" spans="1:16" ht="24.95" customHeight="1">
      <c r="A12" s="284"/>
      <c r="B12" s="292" t="s">
        <v>119</v>
      </c>
      <c r="C12" s="292"/>
      <c r="D12" s="292"/>
      <c r="E12" s="292"/>
      <c r="F12" s="292"/>
      <c r="G12" s="292">
        <f t="shared" ref="G12:L12" si="1">SUM(G5:G11)</f>
        <v>2524464000</v>
      </c>
      <c r="H12" s="382">
        <f t="shared" si="1"/>
        <v>2730240000</v>
      </c>
      <c r="I12" s="382">
        <f t="shared" si="1"/>
        <v>3066660000</v>
      </c>
      <c r="J12" s="382">
        <f t="shared" si="1"/>
        <v>3091400400</v>
      </c>
      <c r="K12" s="382">
        <f t="shared" si="1"/>
        <v>3151976400</v>
      </c>
      <c r="L12" s="382">
        <f t="shared" si="1"/>
        <v>3182264400</v>
      </c>
      <c r="M12" s="382">
        <f>SUM(M5:M11)</f>
        <v>9585866400</v>
      </c>
      <c r="N12" s="382">
        <f>SUM(N5:N11)</f>
        <v>9729840000</v>
      </c>
      <c r="O12" s="382">
        <f>SUM(O5:O11)</f>
        <v>9553116000</v>
      </c>
      <c r="P12" s="336">
        <f t="shared" si="0"/>
        <v>-176724000</v>
      </c>
    </row>
    <row r="13" spans="1:16" ht="24.95" customHeight="1">
      <c r="A13" s="292" t="s">
        <v>262</v>
      </c>
      <c r="B13" s="292" t="s">
        <v>263</v>
      </c>
      <c r="C13" s="292"/>
      <c r="D13" s="292"/>
      <c r="E13" s="292"/>
      <c r="F13" s="292"/>
      <c r="G13" s="292"/>
      <c r="H13" s="382"/>
      <c r="I13" s="382"/>
      <c r="J13" s="382"/>
      <c r="K13" s="382"/>
      <c r="L13" s="382"/>
      <c r="M13" s="382"/>
      <c r="N13" s="382"/>
      <c r="O13" s="382"/>
      <c r="P13" s="336">
        <f t="shared" si="0"/>
        <v>0</v>
      </c>
    </row>
    <row r="14" spans="1:16" s="387" customFormat="1" ht="24.95" customHeight="1">
      <c r="A14" s="292" t="s">
        <v>265</v>
      </c>
      <c r="B14" s="292" t="s">
        <v>264</v>
      </c>
      <c r="C14" s="284"/>
      <c r="D14" s="284"/>
      <c r="E14" s="284"/>
      <c r="F14" s="284"/>
      <c r="G14" s="284"/>
      <c r="H14" s="362"/>
      <c r="I14" s="362"/>
      <c r="J14" s="362"/>
      <c r="K14" s="362"/>
      <c r="L14" s="362"/>
      <c r="M14" s="362"/>
      <c r="N14" s="362"/>
      <c r="O14" s="362"/>
      <c r="P14" s="336">
        <f t="shared" si="0"/>
        <v>0</v>
      </c>
    </row>
    <row r="15" spans="1:16" s="388" customFormat="1" ht="24.95" customHeight="1">
      <c r="A15" s="284" t="s">
        <v>266</v>
      </c>
      <c r="B15" s="284" t="s">
        <v>38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362">
        <v>0</v>
      </c>
      <c r="I15" s="362">
        <v>0</v>
      </c>
      <c r="J15" s="362">
        <v>0</v>
      </c>
      <c r="K15" s="362">
        <v>55000000</v>
      </c>
      <c r="L15" s="362">
        <v>55000000</v>
      </c>
      <c r="M15" s="362">
        <f>100000000</f>
        <v>100000000</v>
      </c>
      <c r="N15" s="362">
        <f>100000000</f>
        <v>100000000</v>
      </c>
      <c r="O15" s="362">
        <f>100000000</f>
        <v>100000000</v>
      </c>
      <c r="P15" s="336">
        <f t="shared" si="0"/>
        <v>0</v>
      </c>
    </row>
    <row r="16" spans="1:16" ht="24.95" customHeight="1">
      <c r="A16" s="284" t="s">
        <v>267</v>
      </c>
      <c r="B16" s="284" t="s">
        <v>152</v>
      </c>
      <c r="C16" s="284">
        <v>54000000</v>
      </c>
      <c r="D16" s="284">
        <v>64000000</v>
      </c>
      <c r="E16" s="284">
        <v>64000000</v>
      </c>
      <c r="F16" s="284">
        <v>81577000</v>
      </c>
      <c r="G16" s="284">
        <v>82800000</v>
      </c>
      <c r="H16" s="362">
        <v>141500000</v>
      </c>
      <c r="I16" s="362">
        <v>200000000</v>
      </c>
      <c r="J16" s="362">
        <v>275000000</v>
      </c>
      <c r="K16" s="362">
        <v>50000000</v>
      </c>
      <c r="L16" s="362">
        <v>50000000</v>
      </c>
      <c r="M16" s="362">
        <f>150000000</f>
        <v>150000000</v>
      </c>
      <c r="N16" s="362">
        <v>110000000</v>
      </c>
      <c r="O16" s="362">
        <v>110000000</v>
      </c>
      <c r="P16" s="336">
        <f t="shared" si="0"/>
        <v>0</v>
      </c>
    </row>
    <row r="17" spans="1:16" ht="24.95" customHeight="1">
      <c r="A17" s="284" t="s">
        <v>268</v>
      </c>
      <c r="B17" s="284" t="s">
        <v>153</v>
      </c>
      <c r="C17" s="284">
        <v>16743000</v>
      </c>
      <c r="D17" s="284">
        <v>16743600</v>
      </c>
      <c r="E17" s="284">
        <v>16743600</v>
      </c>
      <c r="F17" s="284">
        <v>16743600</v>
      </c>
      <c r="G17" s="284">
        <v>13394400</v>
      </c>
      <c r="H17" s="362">
        <v>36743000</v>
      </c>
      <c r="I17" s="362">
        <v>56000000</v>
      </c>
      <c r="J17" s="362">
        <v>70000000</v>
      </c>
      <c r="K17" s="362">
        <v>0</v>
      </c>
      <c r="L17" s="362">
        <v>0</v>
      </c>
      <c r="M17" s="362">
        <f>120000000</f>
        <v>120000000</v>
      </c>
      <c r="N17" s="362">
        <f>M17*70%</f>
        <v>84000000</v>
      </c>
      <c r="O17" s="362">
        <v>84000000</v>
      </c>
      <c r="P17" s="336">
        <f t="shared" si="0"/>
        <v>0</v>
      </c>
    </row>
    <row r="18" spans="1:16" ht="24.95" customHeight="1">
      <c r="A18" s="284" t="s">
        <v>269</v>
      </c>
      <c r="B18" s="284" t="s">
        <v>186</v>
      </c>
      <c r="C18" s="284">
        <v>5500000</v>
      </c>
      <c r="D18" s="284">
        <v>5500000</v>
      </c>
      <c r="E18" s="284">
        <v>5500000</v>
      </c>
      <c r="F18" s="284">
        <v>5500000</v>
      </c>
      <c r="G18" s="284">
        <v>6400000</v>
      </c>
      <c r="H18" s="362">
        <v>16000000</v>
      </c>
      <c r="I18" s="362">
        <v>30000000</v>
      </c>
      <c r="J18" s="362">
        <v>35000000</v>
      </c>
      <c r="K18" s="362">
        <v>63000000</v>
      </c>
      <c r="L18" s="362">
        <v>113000000</v>
      </c>
      <c r="M18" s="362">
        <f>200000000</f>
        <v>200000000</v>
      </c>
      <c r="N18" s="362">
        <f>200000000</f>
        <v>200000000</v>
      </c>
      <c r="O18" s="362">
        <f>200000000</f>
        <v>200000000</v>
      </c>
      <c r="P18" s="336">
        <f t="shared" si="0"/>
        <v>0</v>
      </c>
    </row>
    <row r="19" spans="1:16" ht="24.95" customHeight="1">
      <c r="A19" s="284" t="s">
        <v>270</v>
      </c>
      <c r="B19" s="284" t="s">
        <v>163</v>
      </c>
      <c r="C19" s="284"/>
      <c r="D19" s="284"/>
      <c r="E19" s="284"/>
      <c r="F19" s="284"/>
      <c r="G19" s="284"/>
      <c r="H19" s="362"/>
      <c r="I19" s="362"/>
      <c r="J19" s="362"/>
      <c r="K19" s="362">
        <v>46800000</v>
      </c>
      <c r="L19" s="362">
        <v>46800000</v>
      </c>
      <c r="M19" s="362">
        <f>62400000</f>
        <v>62400000</v>
      </c>
      <c r="N19" s="362">
        <f>62400000</f>
        <v>62400000</v>
      </c>
      <c r="O19" s="362">
        <f>62400000</f>
        <v>62400000</v>
      </c>
      <c r="P19" s="336">
        <f t="shared" si="0"/>
        <v>0</v>
      </c>
    </row>
    <row r="20" spans="1:16" ht="24.95" customHeight="1">
      <c r="A20" s="284" t="s">
        <v>271</v>
      </c>
      <c r="B20" s="284" t="s">
        <v>154</v>
      </c>
      <c r="C20" s="284"/>
      <c r="D20" s="284"/>
      <c r="E20" s="284"/>
      <c r="F20" s="284"/>
      <c r="G20" s="284"/>
      <c r="H20" s="362"/>
      <c r="I20" s="362"/>
      <c r="J20" s="362"/>
      <c r="K20" s="362">
        <v>0</v>
      </c>
      <c r="L20" s="362">
        <v>0</v>
      </c>
      <c r="M20" s="362">
        <v>0</v>
      </c>
      <c r="N20" s="362">
        <v>0</v>
      </c>
      <c r="O20" s="362">
        <v>0</v>
      </c>
      <c r="P20" s="336">
        <f t="shared" si="0"/>
        <v>0</v>
      </c>
    </row>
    <row r="21" spans="1:16" ht="24.95" customHeight="1">
      <c r="A21" s="284" t="s">
        <v>272</v>
      </c>
      <c r="B21" s="284" t="s">
        <v>54</v>
      </c>
      <c r="C21" s="284"/>
      <c r="D21" s="284"/>
      <c r="E21" s="284"/>
      <c r="F21" s="284"/>
      <c r="G21" s="284"/>
      <c r="H21" s="362"/>
      <c r="I21" s="362"/>
      <c r="J21" s="362"/>
      <c r="K21" s="362">
        <v>45000000</v>
      </c>
      <c r="L21" s="362">
        <v>45000000</v>
      </c>
      <c r="M21" s="362">
        <f>100000000</f>
        <v>100000000</v>
      </c>
      <c r="N21" s="362">
        <f>M21*70%</f>
        <v>70000000</v>
      </c>
      <c r="O21" s="362">
        <v>70000000</v>
      </c>
      <c r="P21" s="336">
        <f t="shared" si="0"/>
        <v>0</v>
      </c>
    </row>
    <row r="22" spans="1:16" ht="24.95" customHeight="1">
      <c r="A22" s="284" t="s">
        <v>273</v>
      </c>
      <c r="B22" s="284" t="s">
        <v>120</v>
      </c>
      <c r="C22" s="284"/>
      <c r="D22" s="284"/>
      <c r="E22" s="284"/>
      <c r="F22" s="284"/>
      <c r="G22" s="284"/>
      <c r="H22" s="362"/>
      <c r="I22" s="362"/>
      <c r="J22" s="362"/>
      <c r="K22" s="362">
        <v>400000000</v>
      </c>
      <c r="L22" s="362">
        <v>700000000</v>
      </c>
      <c r="M22" s="362">
        <f>1200000000</f>
        <v>1200000000</v>
      </c>
      <c r="N22" s="362">
        <v>992452800</v>
      </c>
      <c r="O22" s="362">
        <v>1492452800</v>
      </c>
      <c r="P22" s="336">
        <f t="shared" si="0"/>
        <v>500000000</v>
      </c>
    </row>
    <row r="23" spans="1:16" ht="24.95" customHeight="1">
      <c r="A23" s="284" t="s">
        <v>274</v>
      </c>
      <c r="B23" s="284" t="s">
        <v>164</v>
      </c>
      <c r="C23" s="284"/>
      <c r="D23" s="284"/>
      <c r="E23" s="284"/>
      <c r="F23" s="284"/>
      <c r="G23" s="284"/>
      <c r="H23" s="362"/>
      <c r="I23" s="362"/>
      <c r="J23" s="362"/>
      <c r="K23" s="362">
        <v>10000000</v>
      </c>
      <c r="L23" s="362">
        <v>10000000</v>
      </c>
      <c r="M23" s="362">
        <f>40000000</f>
        <v>40000000</v>
      </c>
      <c r="N23" s="362">
        <f>40000000</f>
        <v>40000000</v>
      </c>
      <c r="O23" s="362">
        <f>40000000</f>
        <v>40000000</v>
      </c>
      <c r="P23" s="336">
        <f t="shared" si="0"/>
        <v>0</v>
      </c>
    </row>
    <row r="24" spans="1:16" ht="24.95" customHeight="1">
      <c r="A24" s="284" t="s">
        <v>275</v>
      </c>
      <c r="B24" s="284" t="s">
        <v>40</v>
      </c>
      <c r="C24" s="284">
        <v>0</v>
      </c>
      <c r="D24" s="284">
        <v>0</v>
      </c>
      <c r="E24" s="284">
        <v>35000000</v>
      </c>
      <c r="F24" s="284">
        <v>10000000</v>
      </c>
      <c r="G24" s="284">
        <v>0</v>
      </c>
      <c r="H24" s="362">
        <v>0</v>
      </c>
      <c r="I24" s="362">
        <v>300000000</v>
      </c>
      <c r="J24" s="362">
        <v>305000000</v>
      </c>
      <c r="K24" s="362">
        <v>25000000</v>
      </c>
      <c r="L24" s="362">
        <v>75000000</v>
      </c>
      <c r="M24" s="362">
        <f>125000000</f>
        <v>125000000</v>
      </c>
      <c r="N24" s="362">
        <f>125000000</f>
        <v>125000000</v>
      </c>
      <c r="O24" s="362">
        <f>125000000</f>
        <v>125000000</v>
      </c>
      <c r="P24" s="336">
        <f t="shared" si="0"/>
        <v>0</v>
      </c>
    </row>
    <row r="25" spans="1:16" ht="24.95" customHeight="1">
      <c r="A25" s="284" t="s">
        <v>350</v>
      </c>
      <c r="B25" s="284" t="s">
        <v>171</v>
      </c>
      <c r="C25" s="284"/>
      <c r="D25" s="284"/>
      <c r="E25" s="284"/>
      <c r="F25" s="284"/>
      <c r="G25" s="284"/>
      <c r="H25" s="362"/>
      <c r="I25" s="362"/>
      <c r="J25" s="362"/>
      <c r="K25" s="362"/>
      <c r="L25" s="362">
        <v>0</v>
      </c>
      <c r="M25" s="362">
        <f>200000000</f>
        <v>200000000</v>
      </c>
      <c r="N25" s="362">
        <v>0</v>
      </c>
      <c r="O25" s="362">
        <v>0</v>
      </c>
      <c r="P25" s="336">
        <f t="shared" si="0"/>
        <v>0</v>
      </c>
    </row>
    <row r="26" spans="1:16" ht="24.95" customHeight="1">
      <c r="A26" s="284" t="s">
        <v>277</v>
      </c>
      <c r="B26" s="284" t="s">
        <v>218</v>
      </c>
      <c r="C26" s="284"/>
      <c r="D26" s="284"/>
      <c r="E26" s="284"/>
      <c r="F26" s="284"/>
      <c r="G26" s="284"/>
      <c r="H26" s="362"/>
      <c r="I26" s="362"/>
      <c r="J26" s="362"/>
      <c r="K26" s="362">
        <v>700000000</v>
      </c>
      <c r="L26" s="362">
        <v>1000000000</v>
      </c>
      <c r="M26" s="362">
        <f>1000000000</f>
        <v>1000000000</v>
      </c>
      <c r="N26" s="362">
        <v>0</v>
      </c>
      <c r="O26" s="362">
        <v>1000000000</v>
      </c>
      <c r="P26" s="336">
        <f t="shared" si="0"/>
        <v>1000000000</v>
      </c>
    </row>
    <row r="27" spans="1:16" ht="24.95" customHeight="1">
      <c r="A27" s="284" t="s">
        <v>276</v>
      </c>
      <c r="B27" s="284" t="s">
        <v>170</v>
      </c>
      <c r="C27" s="284"/>
      <c r="D27" s="284"/>
      <c r="E27" s="284"/>
      <c r="F27" s="284"/>
      <c r="G27" s="284"/>
      <c r="H27" s="362"/>
      <c r="I27" s="362"/>
      <c r="J27" s="362"/>
      <c r="K27" s="362">
        <v>600000000</v>
      </c>
      <c r="L27" s="362">
        <v>0</v>
      </c>
      <c r="M27" s="362">
        <f>1000000000</f>
        <v>1000000000</v>
      </c>
      <c r="N27" s="362">
        <v>1368800000</v>
      </c>
      <c r="O27" s="362">
        <v>1176724000</v>
      </c>
      <c r="P27" s="336">
        <f t="shared" si="0"/>
        <v>-192076000</v>
      </c>
    </row>
    <row r="28" spans="1:16" ht="24.95" customHeight="1">
      <c r="A28" s="284" t="s">
        <v>321</v>
      </c>
      <c r="B28" s="284" t="s">
        <v>802</v>
      </c>
      <c r="C28" s="284"/>
      <c r="D28" s="284"/>
      <c r="E28" s="284"/>
      <c r="F28" s="284"/>
      <c r="G28" s="284"/>
      <c r="H28" s="362"/>
      <c r="I28" s="362"/>
      <c r="J28" s="362"/>
      <c r="K28" s="362"/>
      <c r="L28" s="362"/>
      <c r="M28" s="362"/>
      <c r="N28" s="362">
        <v>331200000</v>
      </c>
      <c r="O28" s="362">
        <v>331200000</v>
      </c>
      <c r="P28" s="336">
        <f t="shared" si="0"/>
        <v>0</v>
      </c>
    </row>
    <row r="29" spans="1:16" ht="24.95" customHeight="1">
      <c r="A29" s="284" t="s">
        <v>733</v>
      </c>
      <c r="B29" s="284" t="s">
        <v>751</v>
      </c>
      <c r="C29" s="284"/>
      <c r="D29" s="284"/>
      <c r="E29" s="284"/>
      <c r="F29" s="284"/>
      <c r="G29" s="284"/>
      <c r="H29" s="362"/>
      <c r="I29" s="362"/>
      <c r="J29" s="362"/>
      <c r="K29" s="362"/>
      <c r="L29" s="362"/>
      <c r="M29" s="362"/>
      <c r="N29" s="362">
        <v>600000000</v>
      </c>
      <c r="O29" s="362">
        <v>140000000</v>
      </c>
      <c r="P29" s="336">
        <f t="shared" si="0"/>
        <v>-460000000</v>
      </c>
    </row>
    <row r="30" spans="1:16" ht="24.95" customHeight="1">
      <c r="A30" s="284"/>
      <c r="B30" s="292" t="s">
        <v>119</v>
      </c>
      <c r="C30" s="292"/>
      <c r="D30" s="292"/>
      <c r="E30" s="292"/>
      <c r="F30" s="292"/>
      <c r="G30" s="292">
        <f>SUM(G15:G24)</f>
        <v>102594400</v>
      </c>
      <c r="H30" s="382">
        <f>SUM(H15:H24)</f>
        <v>194243000</v>
      </c>
      <c r="I30" s="382">
        <f>SUM(I15:I24)</f>
        <v>586000000</v>
      </c>
      <c r="J30" s="382">
        <f>SUM(J15:J24)</f>
        <v>685000000</v>
      </c>
      <c r="K30" s="382">
        <f>SUM(K15:K27)</f>
        <v>1994800000</v>
      </c>
      <c r="L30" s="382">
        <f>SUM(L15:L27)</f>
        <v>2094800000</v>
      </c>
      <c r="M30" s="382">
        <f>SUM(M15:M27)</f>
        <v>4297400000</v>
      </c>
      <c r="N30" s="382">
        <f>SUM(N15:N29)</f>
        <v>4083852800</v>
      </c>
      <c r="O30" s="382">
        <f>SUM(O15:O29)</f>
        <v>4931776800</v>
      </c>
      <c r="P30" s="361">
        <f t="shared" si="0"/>
        <v>847924000</v>
      </c>
    </row>
    <row r="31" spans="1:16" ht="24.95" customHeight="1">
      <c r="A31" s="292" t="s">
        <v>279</v>
      </c>
      <c r="B31" s="292" t="s">
        <v>278</v>
      </c>
      <c r="C31" s="284"/>
      <c r="D31" s="284"/>
      <c r="E31" s="284"/>
      <c r="F31" s="284"/>
      <c r="G31" s="284"/>
      <c r="H31" s="362"/>
      <c r="I31" s="362"/>
      <c r="J31" s="362"/>
      <c r="K31" s="362"/>
      <c r="L31" s="362"/>
      <c r="M31" s="362"/>
      <c r="N31" s="362"/>
      <c r="O31" s="362"/>
      <c r="P31" s="336">
        <f t="shared" si="0"/>
        <v>0</v>
      </c>
    </row>
    <row r="32" spans="1:16" ht="24.95" customHeight="1">
      <c r="A32" s="284" t="s">
        <v>280</v>
      </c>
      <c r="B32" s="284" t="s">
        <v>160</v>
      </c>
      <c r="C32" s="284"/>
      <c r="D32" s="284"/>
      <c r="E32" s="284"/>
      <c r="F32" s="284"/>
      <c r="G32" s="284"/>
      <c r="H32" s="362"/>
      <c r="I32" s="362"/>
      <c r="J32" s="362"/>
      <c r="K32" s="362">
        <v>0</v>
      </c>
      <c r="L32" s="362">
        <v>0</v>
      </c>
      <c r="M32" s="362">
        <v>0</v>
      </c>
      <c r="N32" s="362">
        <v>0</v>
      </c>
      <c r="O32" s="362">
        <v>0</v>
      </c>
      <c r="P32" s="336">
        <f t="shared" si="0"/>
        <v>0</v>
      </c>
    </row>
    <row r="33" spans="1:16" s="387" customFormat="1" ht="24.95" customHeight="1">
      <c r="A33" s="284" t="s">
        <v>281</v>
      </c>
      <c r="B33" s="284" t="s">
        <v>161</v>
      </c>
      <c r="C33" s="284">
        <v>18000000</v>
      </c>
      <c r="D33" s="284">
        <v>40000000</v>
      </c>
      <c r="E33" s="284">
        <v>40000000</v>
      </c>
      <c r="F33" s="284">
        <v>0</v>
      </c>
      <c r="G33" s="284">
        <v>0</v>
      </c>
      <c r="H33" s="362">
        <v>0</v>
      </c>
      <c r="I33" s="362">
        <v>0</v>
      </c>
      <c r="J33" s="362">
        <v>50000000</v>
      </c>
      <c r="K33" s="362">
        <v>200000000</v>
      </c>
      <c r="L33" s="362">
        <v>300000000</v>
      </c>
      <c r="M33" s="362">
        <f>500000000</f>
        <v>500000000</v>
      </c>
      <c r="N33" s="362">
        <f>M33*80%</f>
        <v>400000000</v>
      </c>
      <c r="O33" s="362">
        <v>400000000</v>
      </c>
      <c r="P33" s="336">
        <f t="shared" si="0"/>
        <v>0</v>
      </c>
    </row>
    <row r="34" spans="1:16" s="388" customFormat="1" ht="24.95" customHeight="1">
      <c r="A34" s="284" t="s">
        <v>282</v>
      </c>
      <c r="B34" s="284" t="s">
        <v>155</v>
      </c>
      <c r="C34" s="284"/>
      <c r="D34" s="284"/>
      <c r="E34" s="284"/>
      <c r="F34" s="284"/>
      <c r="G34" s="284">
        <v>0</v>
      </c>
      <c r="H34" s="362">
        <v>130000000</v>
      </c>
      <c r="I34" s="362">
        <v>210000000</v>
      </c>
      <c r="J34" s="362">
        <v>0</v>
      </c>
      <c r="K34" s="362">
        <v>56000000</v>
      </c>
      <c r="L34" s="362">
        <v>56000000</v>
      </c>
      <c r="M34" s="362">
        <f>100000000</f>
        <v>100000000</v>
      </c>
      <c r="N34" s="362">
        <f>100000000</f>
        <v>100000000</v>
      </c>
      <c r="O34" s="362">
        <f>100000000</f>
        <v>100000000</v>
      </c>
      <c r="P34" s="336">
        <f t="shared" si="0"/>
        <v>0</v>
      </c>
    </row>
    <row r="35" spans="1:16" ht="24.95" customHeight="1">
      <c r="A35" s="284" t="s">
        <v>283</v>
      </c>
      <c r="B35" s="284" t="s">
        <v>156</v>
      </c>
      <c r="C35" s="284"/>
      <c r="D35" s="284"/>
      <c r="E35" s="284"/>
      <c r="F35" s="284">
        <v>0</v>
      </c>
      <c r="G35" s="284">
        <v>4000000</v>
      </c>
      <c r="H35" s="362">
        <v>5000000</v>
      </c>
      <c r="I35" s="362">
        <v>20000000</v>
      </c>
      <c r="J35" s="362">
        <v>20000000</v>
      </c>
      <c r="K35" s="362">
        <v>30000000</v>
      </c>
      <c r="L35" s="362">
        <v>30000000</v>
      </c>
      <c r="M35" s="362">
        <f>60000000</f>
        <v>60000000</v>
      </c>
      <c r="N35" s="362">
        <v>50000000</v>
      </c>
      <c r="O35" s="362">
        <v>50000000</v>
      </c>
      <c r="P35" s="336">
        <f t="shared" si="0"/>
        <v>0</v>
      </c>
    </row>
    <row r="36" spans="1:16" ht="24.95" customHeight="1">
      <c r="A36" s="284" t="s">
        <v>298</v>
      </c>
      <c r="B36" s="284" t="s">
        <v>219</v>
      </c>
      <c r="C36" s="284"/>
      <c r="D36" s="284"/>
      <c r="E36" s="284"/>
      <c r="F36" s="284"/>
      <c r="G36" s="284"/>
      <c r="H36" s="362"/>
      <c r="I36" s="362"/>
      <c r="J36" s="362"/>
      <c r="K36" s="362">
        <v>300000000</v>
      </c>
      <c r="L36" s="362">
        <v>300000000</v>
      </c>
      <c r="M36" s="362">
        <f>300000000</f>
        <v>300000000</v>
      </c>
      <c r="N36" s="362">
        <v>0</v>
      </c>
      <c r="O36" s="362">
        <v>0</v>
      </c>
      <c r="P36" s="336">
        <f t="shared" si="0"/>
        <v>0</v>
      </c>
    </row>
    <row r="37" spans="1:16" ht="24.95" customHeight="1">
      <c r="A37" s="284"/>
      <c r="B37" s="292" t="s">
        <v>119</v>
      </c>
      <c r="C37" s="292"/>
      <c r="D37" s="292"/>
      <c r="E37" s="292"/>
      <c r="F37" s="292"/>
      <c r="G37" s="292">
        <f>SUM(G33:G35)</f>
        <v>4000000</v>
      </c>
      <c r="H37" s="382">
        <f>SUM(H33:H35)</f>
        <v>135000000</v>
      </c>
      <c r="I37" s="382">
        <f>SUM(I33:I35)</f>
        <v>230000000</v>
      </c>
      <c r="J37" s="382">
        <f>SUM(J33:J35)</f>
        <v>70000000</v>
      </c>
      <c r="K37" s="382">
        <f>SUM(K33:K35)</f>
        <v>286000000</v>
      </c>
      <c r="L37" s="382">
        <f>SUM(L32:L36)</f>
        <v>686000000</v>
      </c>
      <c r="M37" s="382">
        <f>SUM(M32:M36)</f>
        <v>960000000</v>
      </c>
      <c r="N37" s="382">
        <f>SUM(N32:N36)</f>
        <v>550000000</v>
      </c>
      <c r="O37" s="382">
        <f>SUM(O32:O36)</f>
        <v>550000000</v>
      </c>
      <c r="P37" s="336">
        <f t="shared" si="0"/>
        <v>0</v>
      </c>
    </row>
    <row r="38" spans="1:16" ht="24.95" customHeight="1">
      <c r="A38" s="292" t="s">
        <v>285</v>
      </c>
      <c r="B38" s="292" t="s">
        <v>158</v>
      </c>
      <c r="C38" s="284"/>
      <c r="D38" s="284"/>
      <c r="E38" s="284">
        <v>0</v>
      </c>
      <c r="F38" s="284">
        <v>0</v>
      </c>
      <c r="G38" s="284"/>
      <c r="H38" s="362"/>
      <c r="I38" s="362"/>
      <c r="J38" s="362"/>
      <c r="K38" s="362"/>
      <c r="L38" s="362"/>
      <c r="M38" s="362"/>
      <c r="N38" s="362"/>
      <c r="O38" s="362"/>
      <c r="P38" s="336">
        <f t="shared" si="0"/>
        <v>0</v>
      </c>
    </row>
    <row r="39" spans="1:16" ht="24.95" customHeight="1">
      <c r="A39" s="284" t="s">
        <v>286</v>
      </c>
      <c r="B39" s="284" t="s">
        <v>55</v>
      </c>
      <c r="C39" s="284">
        <v>18000000</v>
      </c>
      <c r="D39" s="284">
        <v>30000000</v>
      </c>
      <c r="E39" s="284">
        <v>30000000</v>
      </c>
      <c r="F39" s="284">
        <v>30000000</v>
      </c>
      <c r="G39" s="284">
        <v>24000000</v>
      </c>
      <c r="H39" s="362">
        <v>30000000</v>
      </c>
      <c r="I39" s="362">
        <v>30000000</v>
      </c>
      <c r="J39" s="362">
        <v>50000000</v>
      </c>
      <c r="K39" s="362">
        <v>30000000</v>
      </c>
      <c r="L39" s="362">
        <v>85556000</v>
      </c>
      <c r="M39" s="362">
        <f>120000000</f>
        <v>120000000</v>
      </c>
      <c r="N39" s="362">
        <v>50000000</v>
      </c>
      <c r="O39" s="362">
        <v>50000000</v>
      </c>
      <c r="P39" s="336">
        <f t="shared" si="0"/>
        <v>0</v>
      </c>
    </row>
    <row r="40" spans="1:16" ht="24.95" customHeight="1">
      <c r="A40" s="284" t="s">
        <v>288</v>
      </c>
      <c r="B40" s="284" t="s">
        <v>287</v>
      </c>
      <c r="C40" s="284"/>
      <c r="D40" s="284"/>
      <c r="E40" s="284"/>
      <c r="F40" s="284"/>
      <c r="G40" s="284">
        <v>0</v>
      </c>
      <c r="H40" s="362">
        <v>0</v>
      </c>
      <c r="I40" s="362">
        <v>0</v>
      </c>
      <c r="J40" s="362">
        <v>0</v>
      </c>
      <c r="K40" s="362">
        <v>0</v>
      </c>
      <c r="L40" s="362">
        <v>0</v>
      </c>
      <c r="M40" s="362">
        <f>100000000+300000000</f>
        <v>400000000</v>
      </c>
      <c r="N40" s="362">
        <v>0</v>
      </c>
      <c r="O40" s="362">
        <v>60000000</v>
      </c>
      <c r="P40" s="336">
        <f t="shared" si="0"/>
        <v>60000000</v>
      </c>
    </row>
    <row r="41" spans="1:16" ht="24.95" customHeight="1">
      <c r="A41" s="284" t="s">
        <v>289</v>
      </c>
      <c r="B41" s="284" t="s">
        <v>290</v>
      </c>
      <c r="C41" s="284"/>
      <c r="D41" s="284"/>
      <c r="E41" s="284"/>
      <c r="F41" s="284">
        <v>0</v>
      </c>
      <c r="G41" s="284">
        <v>4000000</v>
      </c>
      <c r="H41" s="362">
        <v>5000000</v>
      </c>
      <c r="I41" s="362">
        <v>5000000</v>
      </c>
      <c r="J41" s="362">
        <v>15000000</v>
      </c>
      <c r="K41" s="362">
        <v>5000000</v>
      </c>
      <c r="L41" s="362">
        <v>5000000</v>
      </c>
      <c r="M41" s="362">
        <f>60000000</f>
        <v>60000000</v>
      </c>
      <c r="N41" s="362">
        <v>0</v>
      </c>
      <c r="O41" s="362">
        <v>0</v>
      </c>
      <c r="P41" s="336">
        <f t="shared" si="0"/>
        <v>0</v>
      </c>
    </row>
    <row r="42" spans="1:16" ht="24.95" customHeight="1">
      <c r="A42" s="284"/>
      <c r="B42" s="292" t="s">
        <v>119</v>
      </c>
      <c r="C42" s="292"/>
      <c r="D42" s="292"/>
      <c r="E42" s="292"/>
      <c r="F42" s="292"/>
      <c r="G42" s="292">
        <f t="shared" ref="G42:L42" si="2">SUM(G39:G41)</f>
        <v>28000000</v>
      </c>
      <c r="H42" s="382">
        <f t="shared" si="2"/>
        <v>35000000</v>
      </c>
      <c r="I42" s="382">
        <f t="shared" si="2"/>
        <v>35000000</v>
      </c>
      <c r="J42" s="382">
        <f t="shared" si="2"/>
        <v>65000000</v>
      </c>
      <c r="K42" s="382">
        <f t="shared" si="2"/>
        <v>35000000</v>
      </c>
      <c r="L42" s="382">
        <f t="shared" si="2"/>
        <v>90556000</v>
      </c>
      <c r="M42" s="382">
        <f>SUM(M39:M41)</f>
        <v>580000000</v>
      </c>
      <c r="N42" s="382">
        <f>SUM(N39:N41)</f>
        <v>50000000</v>
      </c>
      <c r="O42" s="382">
        <f>SUM(O39:O41)</f>
        <v>110000000</v>
      </c>
      <c r="P42" s="336">
        <f t="shared" si="0"/>
        <v>60000000</v>
      </c>
    </row>
    <row r="43" spans="1:16" ht="24.95" customHeight="1">
      <c r="A43" s="292" t="s">
        <v>293</v>
      </c>
      <c r="B43" s="292" t="s">
        <v>292</v>
      </c>
      <c r="C43" s="284">
        <v>0</v>
      </c>
      <c r="D43" s="284">
        <v>0</v>
      </c>
      <c r="E43" s="284">
        <v>0</v>
      </c>
      <c r="F43" s="284">
        <v>0</v>
      </c>
      <c r="G43" s="284">
        <v>16000000</v>
      </c>
      <c r="H43" s="284">
        <v>360113000</v>
      </c>
      <c r="I43" s="284">
        <v>208212162</v>
      </c>
      <c r="J43" s="284">
        <v>330000000</v>
      </c>
      <c r="K43" s="284"/>
      <c r="L43" s="284"/>
      <c r="M43" s="284"/>
      <c r="N43" s="284"/>
      <c r="O43" s="284"/>
      <c r="P43" s="336">
        <f t="shared" si="0"/>
        <v>0</v>
      </c>
    </row>
    <row r="44" spans="1:16" ht="24.95" customHeight="1">
      <c r="A44" s="292" t="s">
        <v>294</v>
      </c>
      <c r="B44" s="292" t="s">
        <v>291</v>
      </c>
      <c r="C44" s="284"/>
      <c r="D44" s="284"/>
      <c r="E44" s="284"/>
      <c r="F44" s="284"/>
      <c r="G44" s="284"/>
      <c r="H44" s="284"/>
      <c r="I44" s="284">
        <v>0</v>
      </c>
      <c r="J44" s="284">
        <v>35000000</v>
      </c>
      <c r="K44" s="284"/>
      <c r="L44" s="284"/>
      <c r="M44" s="284"/>
      <c r="N44" s="284"/>
      <c r="O44" s="284"/>
      <c r="P44" s="336">
        <f t="shared" si="0"/>
        <v>0</v>
      </c>
    </row>
    <row r="45" spans="1:16" ht="24.95" customHeight="1">
      <c r="A45" s="284" t="s">
        <v>567</v>
      </c>
      <c r="B45" s="284" t="s">
        <v>604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>
        <v>0</v>
      </c>
      <c r="M45" s="284">
        <f>156000000</f>
        <v>156000000</v>
      </c>
      <c r="N45" s="284">
        <v>0</v>
      </c>
      <c r="O45" s="284">
        <v>220000000</v>
      </c>
      <c r="P45" s="336">
        <f t="shared" si="0"/>
        <v>220000000</v>
      </c>
    </row>
    <row r="46" spans="1:16" ht="24.95" customHeight="1">
      <c r="A46" s="284" t="s">
        <v>295</v>
      </c>
      <c r="B46" s="284" t="s">
        <v>176</v>
      </c>
      <c r="C46" s="292" t="e">
        <f>#REF!+#REF!+#REF!+#REF!+#REF!</f>
        <v>#REF!</v>
      </c>
      <c r="D46" s="292" t="e">
        <f>#REF!+#REF!+#REF!+#REF!+#REF!</f>
        <v>#REF!</v>
      </c>
      <c r="E46" s="292" t="e">
        <f>#REF!+#REF!+#REF!+#REF!+#REF!</f>
        <v>#REF!</v>
      </c>
      <c r="F46" s="292" t="e">
        <f>#REF!+#REF!+#REF!+#REF!+#REF!</f>
        <v>#REF!</v>
      </c>
      <c r="G46" s="292" t="e">
        <f>#REF!+#REF!+#REF!+#REF!+#REF!</f>
        <v>#REF!</v>
      </c>
      <c r="H46" s="292" t="e">
        <f>#REF!+#REF!+#REF!+#REF!+#REF!</f>
        <v>#REF!</v>
      </c>
      <c r="I46" s="292" t="e">
        <f>#REF!+#REF!+#REF!+#REF!+#REF!</f>
        <v>#REF!</v>
      </c>
      <c r="J46" s="292" t="e">
        <f>#REF!+#REF!+#REF!+#REF!+#REF!</f>
        <v>#REF!</v>
      </c>
      <c r="K46" s="284">
        <v>20000000</v>
      </c>
      <c r="L46" s="284">
        <v>20000000</v>
      </c>
      <c r="M46" s="284">
        <f>20000000</f>
        <v>20000000</v>
      </c>
      <c r="N46" s="284">
        <v>0</v>
      </c>
      <c r="O46" s="284">
        <v>0</v>
      </c>
      <c r="P46" s="336">
        <f t="shared" si="0"/>
        <v>0</v>
      </c>
    </row>
    <row r="47" spans="1:16" ht="24.95" customHeight="1">
      <c r="A47" s="284" t="s">
        <v>296</v>
      </c>
      <c r="B47" s="284" t="s">
        <v>177</v>
      </c>
      <c r="C47" s="335"/>
      <c r="D47" s="335"/>
      <c r="E47" s="335"/>
      <c r="F47" s="336">
        <v>0</v>
      </c>
      <c r="G47" s="336" t="s">
        <v>4</v>
      </c>
      <c r="H47" s="336"/>
      <c r="I47" s="336"/>
      <c r="J47" s="336"/>
      <c r="K47" s="336">
        <v>15000000</v>
      </c>
      <c r="L47" s="336">
        <v>15000000</v>
      </c>
      <c r="M47" s="336">
        <f>15000000</f>
        <v>15000000</v>
      </c>
      <c r="N47" s="336">
        <v>0</v>
      </c>
      <c r="O47" s="336">
        <v>0</v>
      </c>
      <c r="P47" s="336">
        <f t="shared" si="0"/>
        <v>0</v>
      </c>
    </row>
    <row r="48" spans="1:16" ht="24.95" customHeight="1">
      <c r="A48" s="389"/>
      <c r="B48" s="389" t="s">
        <v>119</v>
      </c>
      <c r="C48" s="390"/>
      <c r="D48" s="390"/>
      <c r="E48" s="390"/>
      <c r="F48" s="391"/>
      <c r="G48" s="391"/>
      <c r="H48" s="391"/>
      <c r="I48" s="391"/>
      <c r="J48" s="391"/>
      <c r="K48" s="392"/>
      <c r="L48" s="393">
        <f>SUM(L46:L47)</f>
        <v>35000000</v>
      </c>
      <c r="M48" s="393">
        <f>SUM(M45:M47)</f>
        <v>191000000</v>
      </c>
      <c r="N48" s="393">
        <f>SUM(N45:N47)</f>
        <v>0</v>
      </c>
      <c r="O48" s="393">
        <f>SUM(O45:O47)</f>
        <v>220000000</v>
      </c>
      <c r="P48" s="361">
        <f t="shared" si="0"/>
        <v>220000000</v>
      </c>
    </row>
    <row r="49" spans="1:16" ht="24.95" customHeight="1">
      <c r="A49" s="394" t="s">
        <v>381</v>
      </c>
      <c r="B49" s="394" t="s">
        <v>157</v>
      </c>
      <c r="C49" s="395"/>
      <c r="D49" s="395"/>
      <c r="E49" s="395"/>
      <c r="F49" s="395"/>
      <c r="G49" s="395"/>
      <c r="H49" s="395"/>
      <c r="I49" s="395"/>
      <c r="J49" s="395"/>
      <c r="K49" s="394"/>
      <c r="L49" s="394"/>
      <c r="M49" s="284"/>
      <c r="N49" s="284"/>
      <c r="O49" s="284"/>
      <c r="P49" s="336">
        <f t="shared" si="0"/>
        <v>0</v>
      </c>
    </row>
    <row r="50" spans="1:16" ht="24.95" customHeight="1">
      <c r="A50" s="389" t="s">
        <v>382</v>
      </c>
      <c r="B50" s="389" t="s">
        <v>383</v>
      </c>
      <c r="C50" s="395"/>
      <c r="D50" s="395"/>
      <c r="E50" s="395"/>
      <c r="F50" s="395"/>
      <c r="G50" s="395"/>
      <c r="H50" s="395"/>
      <c r="I50" s="395"/>
      <c r="J50" s="395"/>
      <c r="K50" s="389">
        <v>210000000</v>
      </c>
      <c r="L50" s="389">
        <v>0</v>
      </c>
      <c r="M50" s="284">
        <v>0</v>
      </c>
      <c r="N50" s="284">
        <v>0</v>
      </c>
      <c r="O50" s="284">
        <v>0</v>
      </c>
      <c r="P50" s="336">
        <f t="shared" si="0"/>
        <v>0</v>
      </c>
    </row>
    <row r="51" spans="1:16" ht="24.95" customHeight="1">
      <c r="A51" s="389"/>
      <c r="B51" s="394" t="s">
        <v>119</v>
      </c>
      <c r="C51" s="395"/>
      <c r="D51" s="395"/>
      <c r="E51" s="395"/>
      <c r="F51" s="395"/>
      <c r="G51" s="395"/>
      <c r="H51" s="395"/>
      <c r="I51" s="395"/>
      <c r="J51" s="395"/>
      <c r="K51" s="394">
        <f>SUM(K50)</f>
        <v>210000000</v>
      </c>
      <c r="L51" s="394">
        <f>SUM(L50)</f>
        <v>0</v>
      </c>
      <c r="M51" s="394">
        <f>SUM(M50)</f>
        <v>0</v>
      </c>
      <c r="N51" s="394">
        <f>SUM(N50)</f>
        <v>0</v>
      </c>
      <c r="O51" s="394">
        <f>SUM(O50)</f>
        <v>0</v>
      </c>
      <c r="P51" s="336">
        <f t="shared" si="0"/>
        <v>0</v>
      </c>
    </row>
    <row r="52" spans="1:16" s="387" customFormat="1" ht="24.95" customHeight="1">
      <c r="A52" s="284"/>
      <c r="B52" s="292" t="s">
        <v>42</v>
      </c>
      <c r="C52" s="292" t="e">
        <f>#REF!+#REF!+#REF!+C33+C14</f>
        <v>#REF!</v>
      </c>
      <c r="D52" s="292" t="e">
        <f>#REF!+#REF!+#REF!+D33+D14</f>
        <v>#REF!</v>
      </c>
      <c r="E52" s="292" t="e">
        <f>#REF!+#REF!+#REF!+E33+E14</f>
        <v>#REF!</v>
      </c>
      <c r="F52" s="292" t="e">
        <f>#REF!+#REF!+#REF!+F33+F14</f>
        <v>#REF!</v>
      </c>
      <c r="G52" s="292" t="e">
        <f>#REF!+#REF!+G37+G30+G12</f>
        <v>#REF!</v>
      </c>
      <c r="H52" s="292" t="e">
        <f>+#REF!+#REF!+H37+H30+H12</f>
        <v>#REF!</v>
      </c>
      <c r="I52" s="292" t="e">
        <f>#REF!+#REF!+I37+I30+I12</f>
        <v>#REF!</v>
      </c>
      <c r="J52" s="292" t="e">
        <f>#REF!+#REF!+J37+J30+J12</f>
        <v>#REF!</v>
      </c>
      <c r="K52" s="292" t="e">
        <f>#REF!+K42+K37+K30+K12</f>
        <v>#REF!</v>
      </c>
      <c r="L52" s="292">
        <f>L51+L48+L42+L37+L30+L12</f>
        <v>6088620400</v>
      </c>
      <c r="M52" s="292">
        <f>M51+M48+M42+M37+M30+M12</f>
        <v>15614266400</v>
      </c>
      <c r="N52" s="292">
        <f>N51+N48+N42+N37+N30+N12</f>
        <v>14413692800</v>
      </c>
      <c r="O52" s="292">
        <f>O51+O48+O42+O37+O30+O12</f>
        <v>15364892800</v>
      </c>
      <c r="P52" s="361">
        <f t="shared" si="0"/>
        <v>951200000</v>
      </c>
    </row>
    <row r="53" spans="1:16" ht="24.95" customHeight="1">
      <c r="E53" s="396">
        <v>0</v>
      </c>
      <c r="M53" s="397"/>
      <c r="N53" s="397"/>
      <c r="O53" s="397"/>
    </row>
    <row r="54" spans="1:16" ht="24.95" customHeight="1">
      <c r="F54" s="396">
        <v>2492914659</v>
      </c>
    </row>
    <row r="55" spans="1:16" ht="24.95" customHeight="1">
      <c r="F55" s="396" t="e">
        <f>F52-F54</f>
        <v>#REF!</v>
      </c>
    </row>
  </sheetData>
  <phoneticPr fontId="0" type="noConversion"/>
  <printOptions gridLines="1"/>
  <pageMargins left="0.6" right="0.45" top="0.57999999999999996" bottom="0.18" header="0.17" footer="0.28999999999999998"/>
  <pageSetup scale="55" orientation="portrait" r:id="rId1"/>
  <headerFooter alignWithMargins="0">
    <oddHeader xml:space="preserve">&amp;C&amp;"Algerian,Bold"&amp;36Golaha Guurtidda JSL.
  </oddHeader>
    <oddFooter>&amp;C&amp;"Algerian,Regular"&amp;14 &amp;R&amp;"Times New Roman,Bold"&amp;20 3</oddFooter>
  </headerFooter>
  <ignoredErrors>
    <ignoredError sqref="K37" formulaRange="1"/>
  </ignoredErrors>
</worksheet>
</file>

<file path=xl/worksheets/sheet6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51" zoomScaleSheetLayoutView="51" workbookViewId="0">
      <selection sqref="A1:XFD1048576"/>
    </sheetView>
  </sheetViews>
  <sheetFormatPr defaultRowHeight="35.1" customHeight="1"/>
  <cols>
    <col min="1" max="1" width="18.1640625" style="386" bestFit="1" customWidth="1"/>
    <col min="2" max="2" width="115.33203125" style="386" customWidth="1"/>
    <col min="3" max="9" width="9.33203125" style="386" hidden="1" customWidth="1"/>
    <col min="10" max="10" width="0.1640625" style="386" hidden="1" customWidth="1"/>
    <col min="11" max="11" width="20.5" style="386" hidden="1" customWidth="1"/>
    <col min="12" max="13" width="31.5" style="462" bestFit="1" customWidth="1"/>
    <col min="14" max="14" width="25.83203125" style="462" bestFit="1" customWidth="1"/>
    <col min="15" max="16384" width="9.33203125" style="386"/>
  </cols>
  <sheetData>
    <row r="1" spans="1:14" ht="35.1" customHeight="1">
      <c r="A1" s="711" t="s">
        <v>44</v>
      </c>
      <c r="B1" s="712" t="s">
        <v>617</v>
      </c>
      <c r="C1" s="711"/>
      <c r="D1" s="711"/>
      <c r="E1" s="711"/>
      <c r="F1" s="711"/>
      <c r="G1" s="711"/>
      <c r="H1" s="711"/>
      <c r="I1" s="711"/>
      <c r="J1" s="711"/>
      <c r="K1" s="711"/>
      <c r="L1" s="570"/>
      <c r="M1" s="570"/>
      <c r="N1" s="570"/>
    </row>
    <row r="2" spans="1:14" ht="35.1" customHeight="1">
      <c r="A2" s="713" t="s">
        <v>28</v>
      </c>
      <c r="B2" s="713" t="s">
        <v>29</v>
      </c>
      <c r="C2" s="714" t="s">
        <v>48</v>
      </c>
      <c r="D2" s="714" t="s">
        <v>52</v>
      </c>
      <c r="E2" s="714" t="s">
        <v>62</v>
      </c>
      <c r="F2" s="714" t="s">
        <v>69</v>
      </c>
      <c r="G2" s="714" t="s">
        <v>128</v>
      </c>
      <c r="H2" s="714" t="s">
        <v>135</v>
      </c>
      <c r="I2" s="714" t="s">
        <v>146</v>
      </c>
      <c r="J2" s="714" t="s">
        <v>180</v>
      </c>
      <c r="K2" s="714" t="s">
        <v>297</v>
      </c>
      <c r="L2" s="715" t="s">
        <v>643</v>
      </c>
      <c r="M2" s="715" t="s">
        <v>1111</v>
      </c>
      <c r="N2" s="715" t="s">
        <v>63</v>
      </c>
    </row>
    <row r="3" spans="1:14" ht="35.1" customHeight="1">
      <c r="A3" s="570" t="s">
        <v>248</v>
      </c>
      <c r="B3" s="570" t="s">
        <v>165</v>
      </c>
      <c r="C3" s="711"/>
      <c r="D3" s="711"/>
      <c r="E3" s="711"/>
      <c r="F3" s="711"/>
      <c r="G3" s="711"/>
      <c r="H3" s="711"/>
      <c r="I3" s="711"/>
      <c r="J3" s="711"/>
      <c r="K3" s="711"/>
      <c r="L3" s="570"/>
      <c r="M3" s="570"/>
      <c r="N3" s="570"/>
    </row>
    <row r="4" spans="1:14" ht="35.1" customHeight="1">
      <c r="A4" s="570" t="s">
        <v>249</v>
      </c>
      <c r="B4" s="570" t="s">
        <v>250</v>
      </c>
      <c r="C4" s="564">
        <v>0</v>
      </c>
      <c r="D4" s="564">
        <v>45168000</v>
      </c>
      <c r="E4" s="564">
        <v>82272000</v>
      </c>
      <c r="F4" s="564">
        <v>82272000</v>
      </c>
      <c r="G4" s="564">
        <v>167590800</v>
      </c>
      <c r="H4" s="564">
        <f>135236400+4149600+27000000+3000000</f>
        <v>169386000</v>
      </c>
      <c r="I4" s="564">
        <f>169386000+6000000+4149600</f>
        <v>179535600</v>
      </c>
      <c r="J4" s="564"/>
      <c r="K4" s="564"/>
      <c r="L4" s="569"/>
      <c r="M4" s="569"/>
      <c r="N4" s="569"/>
    </row>
    <row r="5" spans="1:14" ht="35.1" customHeight="1">
      <c r="A5" s="569" t="s">
        <v>247</v>
      </c>
      <c r="B5" s="569" t="s">
        <v>32</v>
      </c>
      <c r="C5" s="564">
        <v>0</v>
      </c>
      <c r="D5" s="564">
        <v>24500000</v>
      </c>
      <c r="E5" s="564">
        <v>0</v>
      </c>
      <c r="F5" s="564">
        <v>0</v>
      </c>
      <c r="G5" s="564">
        <v>0</v>
      </c>
      <c r="H5" s="564">
        <v>0</v>
      </c>
      <c r="I5" s="564">
        <v>0</v>
      </c>
      <c r="J5" s="564">
        <v>0</v>
      </c>
      <c r="K5" s="564">
        <v>248570400</v>
      </c>
      <c r="L5" s="569">
        <v>248570400</v>
      </c>
      <c r="M5" s="569">
        <v>156218400</v>
      </c>
      <c r="N5" s="569">
        <f>M5-L5</f>
        <v>-92352000</v>
      </c>
    </row>
    <row r="6" spans="1:14" ht="35.1" customHeight="1">
      <c r="A6" s="569" t="s">
        <v>251</v>
      </c>
      <c r="B6" s="569" t="s">
        <v>1100</v>
      </c>
      <c r="C6" s="569">
        <v>0</v>
      </c>
      <c r="D6" s="569">
        <v>10800000</v>
      </c>
      <c r="E6" s="569">
        <v>14400000</v>
      </c>
      <c r="F6" s="569">
        <v>14400000</v>
      </c>
      <c r="G6" s="569">
        <v>14400000</v>
      </c>
      <c r="H6" s="569">
        <f>14400000+16200000+720000</f>
        <v>31320000</v>
      </c>
      <c r="I6" s="569">
        <f>31320000+720000+3960000</f>
        <v>36000000</v>
      </c>
      <c r="J6" s="564">
        <v>0</v>
      </c>
      <c r="K6" s="564">
        <v>0</v>
      </c>
      <c r="L6" s="569">
        <v>54000000</v>
      </c>
      <c r="M6" s="569">
        <v>126000000</v>
      </c>
      <c r="N6" s="569">
        <f t="shared" ref="N6:N43" si="0">M6-L6</f>
        <v>72000000</v>
      </c>
    </row>
    <row r="7" spans="1:14" ht="35.1" customHeight="1">
      <c r="A7" s="569" t="s">
        <v>252</v>
      </c>
      <c r="B7" s="569" t="s">
        <v>34</v>
      </c>
      <c r="C7" s="570">
        <v>0</v>
      </c>
      <c r="D7" s="570">
        <f>SUM(D4:D6)</f>
        <v>80468000</v>
      </c>
      <c r="E7" s="570">
        <f>SUM(E4:E6)</f>
        <v>96672000</v>
      </c>
      <c r="F7" s="570">
        <f>SUM(F4:F6)</f>
        <v>96672000</v>
      </c>
      <c r="G7" s="570">
        <f>SUM(G4:G6)</f>
        <v>181990800</v>
      </c>
      <c r="H7" s="570">
        <f>SUM(H4:H6)</f>
        <v>200706000</v>
      </c>
      <c r="I7" s="569">
        <v>0</v>
      </c>
      <c r="J7" s="569">
        <v>0</v>
      </c>
      <c r="K7" s="569">
        <v>172800000</v>
      </c>
      <c r="L7" s="569">
        <v>223200000</v>
      </c>
      <c r="M7" s="569">
        <v>140400000</v>
      </c>
      <c r="N7" s="569">
        <f t="shared" si="0"/>
        <v>-82800000</v>
      </c>
    </row>
    <row r="8" spans="1:14" ht="35.1" customHeight="1">
      <c r="A8" s="569" t="s">
        <v>254</v>
      </c>
      <c r="B8" s="569" t="s">
        <v>1197</v>
      </c>
      <c r="C8" s="569">
        <v>0</v>
      </c>
      <c r="D8" s="569"/>
      <c r="E8" s="569"/>
      <c r="F8" s="569"/>
      <c r="G8" s="569"/>
      <c r="H8" s="569"/>
      <c r="I8" s="569">
        <v>0</v>
      </c>
      <c r="J8" s="569">
        <v>0</v>
      </c>
      <c r="K8" s="569">
        <v>148800000</v>
      </c>
      <c r="L8" s="569">
        <f>K8</f>
        <v>148800000</v>
      </c>
      <c r="M8" s="569">
        <v>202800000</v>
      </c>
      <c r="N8" s="569">
        <f t="shared" si="0"/>
        <v>54000000</v>
      </c>
    </row>
    <row r="9" spans="1:14" ht="35.1" customHeight="1">
      <c r="A9" s="569"/>
      <c r="B9" s="570" t="s">
        <v>119</v>
      </c>
      <c r="C9" s="570">
        <v>0</v>
      </c>
      <c r="D9" s="570" t="e">
        <f>SUM(#REF!)</f>
        <v>#REF!</v>
      </c>
      <c r="E9" s="570" t="e">
        <f>SUM(#REF!)</f>
        <v>#REF!</v>
      </c>
      <c r="F9" s="570" t="e">
        <f>SUM(#REF!)</f>
        <v>#REF!</v>
      </c>
      <c r="G9" s="570" t="e">
        <f>SUM(#REF!)</f>
        <v>#REF!</v>
      </c>
      <c r="H9" s="570" t="e">
        <f>SUM(#REF!)</f>
        <v>#REF!</v>
      </c>
      <c r="I9" s="569">
        <v>0</v>
      </c>
      <c r="J9" s="570">
        <f>SUM(J5:J8)</f>
        <v>0</v>
      </c>
      <c r="K9" s="570">
        <f>SUM(K5:K8)</f>
        <v>570170400</v>
      </c>
      <c r="L9" s="570">
        <f>SUM(L5:L8)</f>
        <v>674570400</v>
      </c>
      <c r="M9" s="570">
        <f>SUM(M5:M8)</f>
        <v>625418400</v>
      </c>
      <c r="N9" s="570">
        <f t="shared" si="0"/>
        <v>-49152000</v>
      </c>
    </row>
    <row r="10" spans="1:14" ht="35.1" customHeight="1">
      <c r="A10" s="570" t="s">
        <v>262</v>
      </c>
      <c r="B10" s="570" t="s">
        <v>263</v>
      </c>
      <c r="C10" s="569" t="s">
        <v>4</v>
      </c>
      <c r="D10" s="569"/>
      <c r="E10" s="569"/>
      <c r="F10" s="569"/>
      <c r="G10" s="569"/>
      <c r="H10" s="569"/>
      <c r="I10" s="569">
        <v>0</v>
      </c>
      <c r="J10" s="569"/>
      <c r="K10" s="569"/>
      <c r="L10" s="569"/>
      <c r="M10" s="569"/>
      <c r="N10" s="569">
        <f t="shared" si="0"/>
        <v>0</v>
      </c>
    </row>
    <row r="11" spans="1:14" ht="35.1" customHeight="1">
      <c r="A11" s="570" t="s">
        <v>265</v>
      </c>
      <c r="B11" s="570" t="s">
        <v>264</v>
      </c>
      <c r="C11" s="569">
        <v>0</v>
      </c>
      <c r="D11" s="569">
        <v>22600000</v>
      </c>
      <c r="E11" s="569">
        <v>0</v>
      </c>
      <c r="F11" s="569">
        <v>0</v>
      </c>
      <c r="G11" s="569">
        <v>0</v>
      </c>
      <c r="H11" s="569">
        <v>0</v>
      </c>
      <c r="I11" s="569">
        <v>7448000</v>
      </c>
      <c r="J11" s="569"/>
      <c r="K11" s="569"/>
      <c r="L11" s="569"/>
      <c r="M11" s="569"/>
      <c r="N11" s="569">
        <f t="shared" si="0"/>
        <v>0</v>
      </c>
    </row>
    <row r="12" spans="1:14" ht="35.1" customHeight="1">
      <c r="A12" s="569" t="s">
        <v>266</v>
      </c>
      <c r="B12" s="569" t="s">
        <v>38</v>
      </c>
      <c r="C12" s="569">
        <v>0</v>
      </c>
      <c r="D12" s="569">
        <v>0</v>
      </c>
      <c r="E12" s="569">
        <v>0</v>
      </c>
      <c r="F12" s="569">
        <v>0</v>
      </c>
      <c r="G12" s="569">
        <v>0</v>
      </c>
      <c r="H12" s="569">
        <v>0</v>
      </c>
      <c r="I12" s="569">
        <v>7448000</v>
      </c>
      <c r="J12" s="569">
        <v>0</v>
      </c>
      <c r="K12" s="569">
        <f>40000000*70%</f>
        <v>28000000</v>
      </c>
      <c r="L12" s="569">
        <f>40000000*70%</f>
        <v>28000000</v>
      </c>
      <c r="M12" s="569">
        <f>40000000*70%</f>
        <v>28000000</v>
      </c>
      <c r="N12" s="569">
        <f t="shared" si="0"/>
        <v>0</v>
      </c>
    </row>
    <row r="13" spans="1:14" ht="35.1" customHeight="1">
      <c r="A13" s="569" t="s">
        <v>308</v>
      </c>
      <c r="B13" s="569" t="s">
        <v>459</v>
      </c>
      <c r="C13" s="569"/>
      <c r="D13" s="569"/>
      <c r="E13" s="569"/>
      <c r="F13" s="569"/>
      <c r="G13" s="569"/>
      <c r="H13" s="569"/>
      <c r="I13" s="569"/>
      <c r="J13" s="569">
        <v>0</v>
      </c>
      <c r="K13" s="569">
        <v>26200000</v>
      </c>
      <c r="L13" s="569">
        <v>26200000</v>
      </c>
      <c r="M13" s="569">
        <v>26200000</v>
      </c>
      <c r="N13" s="569">
        <f t="shared" si="0"/>
        <v>0</v>
      </c>
    </row>
    <row r="14" spans="1:14" ht="35.1" customHeight="1">
      <c r="A14" s="569" t="s">
        <v>268</v>
      </c>
      <c r="B14" s="569" t="s">
        <v>153</v>
      </c>
      <c r="C14" s="569"/>
      <c r="D14" s="569"/>
      <c r="E14" s="569"/>
      <c r="F14" s="569"/>
      <c r="G14" s="569"/>
      <c r="H14" s="569"/>
      <c r="I14" s="569"/>
      <c r="J14" s="569">
        <v>0</v>
      </c>
      <c r="K14" s="569">
        <v>64000000</v>
      </c>
      <c r="L14" s="569"/>
      <c r="M14" s="569"/>
      <c r="N14" s="716">
        <f t="shared" si="0"/>
        <v>0</v>
      </c>
    </row>
    <row r="15" spans="1:14" ht="35.1" customHeight="1">
      <c r="A15" s="569" t="s">
        <v>269</v>
      </c>
      <c r="B15" s="569" t="s">
        <v>186</v>
      </c>
      <c r="C15" s="569"/>
      <c r="D15" s="569"/>
      <c r="E15" s="569"/>
      <c r="F15" s="569"/>
      <c r="G15" s="569"/>
      <c r="H15" s="569"/>
      <c r="I15" s="569">
        <v>37240000</v>
      </c>
      <c r="J15" s="569">
        <v>0</v>
      </c>
      <c r="K15" s="569">
        <f>38400000*70%</f>
        <v>26880000</v>
      </c>
      <c r="L15" s="569">
        <f>38400000*70%</f>
        <v>26880000</v>
      </c>
      <c r="M15" s="569">
        <f>38400000*70%</f>
        <v>26880000</v>
      </c>
      <c r="N15" s="569">
        <f t="shared" si="0"/>
        <v>0</v>
      </c>
    </row>
    <row r="16" spans="1:14" ht="35.1" customHeight="1">
      <c r="A16" s="569" t="s">
        <v>272</v>
      </c>
      <c r="B16" s="569" t="s">
        <v>442</v>
      </c>
      <c r="C16" s="569">
        <v>0</v>
      </c>
      <c r="D16" s="569">
        <v>4000000</v>
      </c>
      <c r="E16" s="569">
        <v>8000000</v>
      </c>
      <c r="F16" s="569">
        <v>17000000</v>
      </c>
      <c r="G16" s="569">
        <v>12661600</v>
      </c>
      <c r="H16" s="569">
        <v>25000000</v>
      </c>
      <c r="I16" s="570">
        <f>SUM(I9:I15)</f>
        <v>52136000</v>
      </c>
      <c r="J16" s="569">
        <v>0</v>
      </c>
      <c r="K16" s="569">
        <f>57000000*70%</f>
        <v>39900000</v>
      </c>
      <c r="L16" s="569">
        <v>42036000</v>
      </c>
      <c r="M16" s="569">
        <v>42036000</v>
      </c>
      <c r="N16" s="569">
        <f t="shared" si="0"/>
        <v>0</v>
      </c>
    </row>
    <row r="17" spans="1:14" ht="35.1" customHeight="1">
      <c r="A17" s="569" t="s">
        <v>274</v>
      </c>
      <c r="B17" s="569" t="s">
        <v>164</v>
      </c>
      <c r="C17" s="569">
        <v>0</v>
      </c>
      <c r="D17" s="569">
        <v>0</v>
      </c>
      <c r="E17" s="569">
        <v>0</v>
      </c>
      <c r="F17" s="569">
        <v>0</v>
      </c>
      <c r="G17" s="569">
        <v>0</v>
      </c>
      <c r="H17" s="569">
        <v>0</v>
      </c>
      <c r="I17" s="569"/>
      <c r="J17" s="569">
        <v>0</v>
      </c>
      <c r="K17" s="569">
        <f>3000000+3500000</f>
        <v>6500000</v>
      </c>
      <c r="L17" s="569">
        <f>3000000+3500000</f>
        <v>6500000</v>
      </c>
      <c r="M17" s="569">
        <f>3000000+3500000</f>
        <v>6500000</v>
      </c>
      <c r="N17" s="569">
        <f t="shared" si="0"/>
        <v>0</v>
      </c>
    </row>
    <row r="18" spans="1:14" ht="35.1" customHeight="1">
      <c r="A18" s="569" t="s">
        <v>275</v>
      </c>
      <c r="B18" s="569" t="s">
        <v>40</v>
      </c>
      <c r="C18" s="569" t="s">
        <v>4</v>
      </c>
      <c r="D18" s="569">
        <v>0</v>
      </c>
      <c r="E18" s="569">
        <v>0</v>
      </c>
      <c r="F18" s="569">
        <v>3000000</v>
      </c>
      <c r="G18" s="569">
        <v>2234400</v>
      </c>
      <c r="H18" s="569">
        <v>2234400</v>
      </c>
      <c r="I18" s="569">
        <v>0</v>
      </c>
      <c r="J18" s="569">
        <v>0</v>
      </c>
      <c r="K18" s="569">
        <f>24000000*70%</f>
        <v>16800000</v>
      </c>
      <c r="L18" s="569">
        <f>24000000*70%</f>
        <v>16800000</v>
      </c>
      <c r="M18" s="569">
        <f>24000000*70%</f>
        <v>16800000</v>
      </c>
      <c r="N18" s="569">
        <f t="shared" si="0"/>
        <v>0</v>
      </c>
    </row>
    <row r="19" spans="1:14" ht="35.1" customHeight="1">
      <c r="A19" s="569" t="s">
        <v>321</v>
      </c>
      <c r="B19" s="569" t="s">
        <v>860</v>
      </c>
      <c r="C19" s="570"/>
      <c r="D19" s="570"/>
      <c r="E19" s="570"/>
      <c r="F19" s="570"/>
      <c r="G19" s="570"/>
      <c r="H19" s="570"/>
      <c r="I19" s="569"/>
      <c r="J19" s="569"/>
      <c r="K19" s="569">
        <v>0</v>
      </c>
      <c r="L19" s="569">
        <v>40000000</v>
      </c>
      <c r="M19" s="569">
        <v>40000000</v>
      </c>
      <c r="N19" s="569">
        <f t="shared" si="0"/>
        <v>0</v>
      </c>
    </row>
    <row r="20" spans="1:14" ht="35.1" customHeight="1">
      <c r="A20" s="569" t="s">
        <v>384</v>
      </c>
      <c r="B20" s="569" t="s">
        <v>861</v>
      </c>
      <c r="C20" s="570"/>
      <c r="D20" s="570"/>
      <c r="E20" s="570"/>
      <c r="F20" s="570"/>
      <c r="G20" s="570"/>
      <c r="H20" s="570"/>
      <c r="I20" s="569"/>
      <c r="J20" s="569"/>
      <c r="K20" s="569">
        <v>0</v>
      </c>
      <c r="L20" s="569">
        <v>150000000</v>
      </c>
      <c r="M20" s="569">
        <v>180000000</v>
      </c>
      <c r="N20" s="569">
        <f t="shared" si="0"/>
        <v>30000000</v>
      </c>
    </row>
    <row r="21" spans="1:14" ht="35.1" customHeight="1">
      <c r="A21" s="569" t="s">
        <v>680</v>
      </c>
      <c r="B21" s="569" t="s">
        <v>862</v>
      </c>
      <c r="C21" s="570"/>
      <c r="D21" s="570"/>
      <c r="E21" s="570"/>
      <c r="F21" s="570"/>
      <c r="G21" s="570"/>
      <c r="H21" s="570"/>
      <c r="I21" s="569"/>
      <c r="J21" s="569"/>
      <c r="K21" s="569">
        <v>0</v>
      </c>
      <c r="L21" s="569">
        <v>54000000</v>
      </c>
      <c r="M21" s="569">
        <v>0</v>
      </c>
      <c r="N21" s="569">
        <f t="shared" si="0"/>
        <v>-54000000</v>
      </c>
    </row>
    <row r="22" spans="1:14" ht="35.1" customHeight="1">
      <c r="A22" s="569" t="s">
        <v>733</v>
      </c>
      <c r="B22" s="569" t="s">
        <v>818</v>
      </c>
      <c r="C22" s="570"/>
      <c r="D22" s="570"/>
      <c r="E22" s="570"/>
      <c r="F22" s="570"/>
      <c r="G22" s="570"/>
      <c r="H22" s="570"/>
      <c r="I22" s="569"/>
      <c r="J22" s="569"/>
      <c r="K22" s="569">
        <v>0</v>
      </c>
      <c r="L22" s="569">
        <v>26000000</v>
      </c>
      <c r="M22" s="569">
        <v>26000000</v>
      </c>
      <c r="N22" s="569">
        <f t="shared" si="0"/>
        <v>0</v>
      </c>
    </row>
    <row r="23" spans="1:14" ht="35.1" customHeight="1">
      <c r="A23" s="569"/>
      <c r="B23" s="570" t="s">
        <v>119</v>
      </c>
      <c r="C23" s="569" t="s">
        <v>4</v>
      </c>
      <c r="D23" s="569"/>
      <c r="E23" s="569"/>
      <c r="F23" s="569"/>
      <c r="G23" s="569"/>
      <c r="H23" s="569"/>
      <c r="I23" s="569">
        <v>3724000</v>
      </c>
      <c r="J23" s="570">
        <f>SUM(J10:J18)</f>
        <v>0</v>
      </c>
      <c r="K23" s="570">
        <f>SUM(K12:K18)</f>
        <v>208280000</v>
      </c>
      <c r="L23" s="570">
        <f>SUM(L12:L22)</f>
        <v>416416000</v>
      </c>
      <c r="M23" s="570">
        <f>SUM(M12:M22)</f>
        <v>392416000</v>
      </c>
      <c r="N23" s="570">
        <f t="shared" si="0"/>
        <v>-24000000</v>
      </c>
    </row>
    <row r="24" spans="1:14" ht="35.1" customHeight="1">
      <c r="A24" s="570" t="s">
        <v>279</v>
      </c>
      <c r="B24" s="570" t="s">
        <v>278</v>
      </c>
      <c r="C24" s="569">
        <v>0</v>
      </c>
      <c r="D24" s="569">
        <v>6000000</v>
      </c>
      <c r="E24" s="569">
        <v>7200000</v>
      </c>
      <c r="F24" s="569">
        <v>10000000</v>
      </c>
      <c r="G24" s="569">
        <v>11172000</v>
      </c>
      <c r="H24" s="569">
        <v>11172000</v>
      </c>
      <c r="I24" s="570">
        <f>SUM(I18:I23)</f>
        <v>3724000</v>
      </c>
      <c r="J24" s="570"/>
      <c r="K24" s="570"/>
      <c r="L24" s="570"/>
      <c r="M24" s="570"/>
      <c r="N24" s="570">
        <f t="shared" si="0"/>
        <v>0</v>
      </c>
    </row>
    <row r="25" spans="1:14" ht="35.1" customHeight="1">
      <c r="A25" s="569" t="s">
        <v>281</v>
      </c>
      <c r="B25" s="569" t="s">
        <v>161</v>
      </c>
      <c r="C25" s="569">
        <v>0</v>
      </c>
      <c r="D25" s="569">
        <v>17000000</v>
      </c>
      <c r="E25" s="569">
        <v>9734400</v>
      </c>
      <c r="F25" s="569">
        <v>20000000</v>
      </c>
      <c r="G25" s="569">
        <v>18620000</v>
      </c>
      <c r="H25" s="569">
        <v>30000000</v>
      </c>
      <c r="I25" s="569"/>
      <c r="J25" s="569">
        <v>0</v>
      </c>
      <c r="K25" s="569">
        <v>62000000</v>
      </c>
      <c r="L25" s="569">
        <v>159000000</v>
      </c>
      <c r="M25" s="569">
        <v>209000000</v>
      </c>
      <c r="N25" s="569">
        <f t="shared" si="0"/>
        <v>50000000</v>
      </c>
    </row>
    <row r="26" spans="1:14" ht="35.1" customHeight="1">
      <c r="A26" s="569" t="s">
        <v>282</v>
      </c>
      <c r="B26" s="569" t="s">
        <v>155</v>
      </c>
      <c r="C26" s="569">
        <v>0</v>
      </c>
      <c r="D26" s="569">
        <v>0</v>
      </c>
      <c r="E26" s="569">
        <v>14592000</v>
      </c>
      <c r="F26" s="569">
        <v>0</v>
      </c>
      <c r="G26" s="569">
        <v>0</v>
      </c>
      <c r="H26" s="569">
        <v>10000000</v>
      </c>
      <c r="I26" s="569">
        <v>0</v>
      </c>
      <c r="J26" s="569">
        <v>0</v>
      </c>
      <c r="K26" s="569">
        <f>20000000*70%</f>
        <v>14000000</v>
      </c>
      <c r="L26" s="569">
        <f>20000000*70%</f>
        <v>14000000</v>
      </c>
      <c r="M26" s="569">
        <f>20000000*70%</f>
        <v>14000000</v>
      </c>
      <c r="N26" s="569">
        <f t="shared" si="0"/>
        <v>0</v>
      </c>
    </row>
    <row r="27" spans="1:14" ht="35.1" customHeight="1">
      <c r="A27" s="569" t="s">
        <v>283</v>
      </c>
      <c r="B27" s="569" t="s">
        <v>156</v>
      </c>
      <c r="C27" s="569">
        <v>0</v>
      </c>
      <c r="D27" s="569">
        <v>0</v>
      </c>
      <c r="E27" s="569">
        <v>0</v>
      </c>
      <c r="F27" s="569">
        <v>0</v>
      </c>
      <c r="G27" s="569">
        <v>0</v>
      </c>
      <c r="H27" s="569">
        <v>0</v>
      </c>
      <c r="I27" s="569">
        <v>0</v>
      </c>
      <c r="J27" s="569">
        <v>0</v>
      </c>
      <c r="K27" s="569">
        <v>7500000</v>
      </c>
      <c r="L27" s="569">
        <v>7500000</v>
      </c>
      <c r="M27" s="569">
        <v>7500000</v>
      </c>
      <c r="N27" s="569">
        <f t="shared" si="0"/>
        <v>0</v>
      </c>
    </row>
    <row r="28" spans="1:14" ht="35.1" customHeight="1">
      <c r="A28" s="569" t="s">
        <v>316</v>
      </c>
      <c r="B28" s="569" t="s">
        <v>425</v>
      </c>
      <c r="C28" s="569"/>
      <c r="D28" s="569"/>
      <c r="E28" s="569"/>
      <c r="F28" s="569"/>
      <c r="G28" s="569"/>
      <c r="H28" s="569"/>
      <c r="I28" s="569"/>
      <c r="J28" s="569">
        <v>0</v>
      </c>
      <c r="K28" s="569">
        <v>0</v>
      </c>
      <c r="L28" s="569">
        <v>0</v>
      </c>
      <c r="M28" s="569">
        <v>0</v>
      </c>
      <c r="N28" s="569">
        <f t="shared" si="0"/>
        <v>0</v>
      </c>
    </row>
    <row r="29" spans="1:14" ht="35.1" customHeight="1">
      <c r="A29" s="569" t="s">
        <v>298</v>
      </c>
      <c r="B29" s="569" t="s">
        <v>219</v>
      </c>
      <c r="C29" s="569">
        <v>0</v>
      </c>
      <c r="D29" s="569">
        <v>3000000</v>
      </c>
      <c r="E29" s="569">
        <v>8000000</v>
      </c>
      <c r="F29" s="569">
        <v>10000000</v>
      </c>
      <c r="G29" s="569">
        <v>7448000</v>
      </c>
      <c r="H29" s="569">
        <v>7448000</v>
      </c>
      <c r="I29" s="569">
        <v>2979200</v>
      </c>
      <c r="J29" s="569">
        <v>0</v>
      </c>
      <c r="K29" s="569">
        <v>0</v>
      </c>
      <c r="L29" s="569">
        <v>0</v>
      </c>
      <c r="M29" s="569">
        <v>0</v>
      </c>
      <c r="N29" s="569">
        <f t="shared" si="0"/>
        <v>0</v>
      </c>
    </row>
    <row r="30" spans="1:14" ht="35.1" customHeight="1">
      <c r="A30" s="569"/>
      <c r="B30" s="570" t="s">
        <v>119</v>
      </c>
      <c r="C30" s="569">
        <v>0</v>
      </c>
      <c r="D30" s="569">
        <v>0</v>
      </c>
      <c r="E30" s="569"/>
      <c r="F30" s="569">
        <v>0</v>
      </c>
      <c r="G30" s="569">
        <v>0</v>
      </c>
      <c r="H30" s="569">
        <v>0</v>
      </c>
      <c r="I30" s="569">
        <v>4468800</v>
      </c>
      <c r="J30" s="570">
        <v>0</v>
      </c>
      <c r="K30" s="570">
        <f>SUM(K25:K29)</f>
        <v>83500000</v>
      </c>
      <c r="L30" s="570">
        <f>SUM(L25:L29)</f>
        <v>180500000</v>
      </c>
      <c r="M30" s="570">
        <f>SUM(M25:M29)</f>
        <v>230500000</v>
      </c>
      <c r="N30" s="570">
        <f t="shared" si="0"/>
        <v>50000000</v>
      </c>
    </row>
    <row r="31" spans="1:14" ht="35.1" customHeight="1">
      <c r="A31" s="570" t="s">
        <v>285</v>
      </c>
      <c r="B31" s="570" t="s">
        <v>158</v>
      </c>
      <c r="C31" s="569">
        <v>0</v>
      </c>
      <c r="D31" s="569">
        <v>0</v>
      </c>
      <c r="E31" s="569"/>
      <c r="F31" s="569">
        <v>0</v>
      </c>
      <c r="G31" s="569">
        <v>0</v>
      </c>
      <c r="H31" s="569">
        <v>0</v>
      </c>
      <c r="I31" s="570">
        <f>SUM(I26:I30)</f>
        <v>7448000</v>
      </c>
      <c r="J31" s="570"/>
      <c r="K31" s="570"/>
      <c r="L31" s="570"/>
      <c r="M31" s="570"/>
      <c r="N31" s="570">
        <f t="shared" si="0"/>
        <v>0</v>
      </c>
    </row>
    <row r="32" spans="1:14" ht="35.1" customHeight="1">
      <c r="A32" s="569" t="s">
        <v>286</v>
      </c>
      <c r="B32" s="569" t="s">
        <v>55</v>
      </c>
      <c r="C32" s="569">
        <v>0</v>
      </c>
      <c r="D32" s="569">
        <v>0</v>
      </c>
      <c r="E32" s="569"/>
      <c r="F32" s="569">
        <v>0</v>
      </c>
      <c r="G32" s="569">
        <v>0</v>
      </c>
      <c r="H32" s="569">
        <v>0</v>
      </c>
      <c r="I32" s="569">
        <v>0</v>
      </c>
      <c r="J32" s="569">
        <v>0</v>
      </c>
      <c r="K32" s="569">
        <f>8000000*70%</f>
        <v>5600000</v>
      </c>
      <c r="L32" s="569">
        <v>18600000</v>
      </c>
      <c r="M32" s="569">
        <v>25000000</v>
      </c>
      <c r="N32" s="569">
        <f t="shared" si="0"/>
        <v>6400000</v>
      </c>
    </row>
    <row r="33" spans="1:14" ht="35.1" customHeight="1">
      <c r="A33" s="569" t="s">
        <v>288</v>
      </c>
      <c r="B33" s="569" t="s">
        <v>287</v>
      </c>
      <c r="C33" s="569">
        <v>0</v>
      </c>
      <c r="D33" s="569">
        <v>5000000</v>
      </c>
      <c r="E33" s="569">
        <v>6400000</v>
      </c>
      <c r="F33" s="569">
        <v>10000000</v>
      </c>
      <c r="G33" s="569">
        <v>7448000</v>
      </c>
      <c r="H33" s="569">
        <v>7448000</v>
      </c>
      <c r="I33" s="569">
        <v>12661600</v>
      </c>
      <c r="J33" s="569">
        <v>0</v>
      </c>
      <c r="K33" s="569">
        <v>0</v>
      </c>
      <c r="L33" s="569">
        <v>0</v>
      </c>
      <c r="M33" s="569">
        <v>0</v>
      </c>
      <c r="N33" s="569">
        <f t="shared" si="0"/>
        <v>0</v>
      </c>
    </row>
    <row r="34" spans="1:14" ht="35.1" customHeight="1">
      <c r="A34" s="569" t="s">
        <v>289</v>
      </c>
      <c r="B34" s="569" t="s">
        <v>290</v>
      </c>
      <c r="C34" s="569">
        <v>0</v>
      </c>
      <c r="D34" s="569">
        <v>0</v>
      </c>
      <c r="E34" s="569">
        <v>28000000</v>
      </c>
      <c r="F34" s="569">
        <v>40000000</v>
      </c>
      <c r="G34" s="569">
        <v>37240000</v>
      </c>
      <c r="H34" s="569">
        <v>75000000</v>
      </c>
      <c r="I34" s="569">
        <v>0</v>
      </c>
      <c r="J34" s="569">
        <v>0</v>
      </c>
      <c r="K34" s="569">
        <v>0</v>
      </c>
      <c r="L34" s="569">
        <v>0</v>
      </c>
      <c r="M34" s="569">
        <v>0</v>
      </c>
      <c r="N34" s="569">
        <f t="shared" si="0"/>
        <v>0</v>
      </c>
    </row>
    <row r="35" spans="1:14" ht="35.1" customHeight="1">
      <c r="A35" s="569"/>
      <c r="B35" s="570" t="s">
        <v>119</v>
      </c>
      <c r="C35" s="569"/>
      <c r="D35" s="569"/>
      <c r="E35" s="569"/>
      <c r="F35" s="569">
        <v>0</v>
      </c>
      <c r="G35" s="569">
        <v>0</v>
      </c>
      <c r="H35" s="569">
        <v>0</v>
      </c>
      <c r="I35" s="570">
        <f>SUM(I32:I34)</f>
        <v>12661600</v>
      </c>
      <c r="J35" s="570">
        <v>0</v>
      </c>
      <c r="K35" s="570">
        <f>SUM(K32:K34)</f>
        <v>5600000</v>
      </c>
      <c r="L35" s="570">
        <f>SUM(L32:L34)</f>
        <v>18600000</v>
      </c>
      <c r="M35" s="570">
        <f>SUM(M32:M34)</f>
        <v>25000000</v>
      </c>
      <c r="N35" s="570">
        <f t="shared" si="0"/>
        <v>6400000</v>
      </c>
    </row>
    <row r="36" spans="1:14" ht="35.1" customHeight="1">
      <c r="A36" s="570" t="s">
        <v>293</v>
      </c>
      <c r="B36" s="570" t="s">
        <v>292</v>
      </c>
      <c r="C36" s="570">
        <v>0</v>
      </c>
      <c r="D36" s="570">
        <f>SUM(D24:D34)</f>
        <v>31000000</v>
      </c>
      <c r="E36" s="570">
        <f>SUM(E24:E34)</f>
        <v>73926400</v>
      </c>
      <c r="F36" s="570">
        <f>SUM(F24:F35)</f>
        <v>90000000</v>
      </c>
      <c r="G36" s="570">
        <f>SUM(G24:G35)</f>
        <v>81928000</v>
      </c>
      <c r="H36" s="570">
        <f>SUM(H24:H35)</f>
        <v>141068000</v>
      </c>
      <c r="I36" s="570" t="e">
        <f>I35+I31+I24+I16+#REF!</f>
        <v>#REF!</v>
      </c>
      <c r="J36" s="570"/>
      <c r="K36" s="570"/>
      <c r="L36" s="570"/>
      <c r="M36" s="570"/>
      <c r="N36" s="570">
        <f t="shared" si="0"/>
        <v>0</v>
      </c>
    </row>
    <row r="37" spans="1:14" ht="35.1" customHeight="1">
      <c r="A37" s="570" t="s">
        <v>294</v>
      </c>
      <c r="B37" s="570" t="s">
        <v>291</v>
      </c>
      <c r="C37" s="569"/>
      <c r="D37" s="569">
        <v>0</v>
      </c>
      <c r="E37" s="569"/>
      <c r="F37" s="569"/>
      <c r="G37" s="569"/>
      <c r="H37" s="569"/>
      <c r="I37" s="569"/>
      <c r="J37" s="717"/>
      <c r="K37" s="717"/>
      <c r="L37" s="569"/>
      <c r="M37" s="569"/>
      <c r="N37" s="569">
        <f t="shared" si="0"/>
        <v>0</v>
      </c>
    </row>
    <row r="38" spans="1:14" ht="35.1" customHeight="1">
      <c r="A38" s="569" t="s">
        <v>499</v>
      </c>
      <c r="B38" s="569" t="s">
        <v>307</v>
      </c>
      <c r="C38" s="569"/>
      <c r="D38" s="569" t="e">
        <f>#REF!-D37</f>
        <v>#REF!</v>
      </c>
      <c r="E38" s="569"/>
      <c r="F38" s="569"/>
      <c r="G38" s="569"/>
      <c r="H38" s="569"/>
      <c r="I38" s="569"/>
      <c r="J38" s="569">
        <v>0</v>
      </c>
      <c r="K38" s="569">
        <v>49678000</v>
      </c>
      <c r="L38" s="569">
        <v>0</v>
      </c>
      <c r="M38" s="569">
        <v>0</v>
      </c>
      <c r="N38" s="569">
        <f t="shared" si="0"/>
        <v>0</v>
      </c>
    </row>
    <row r="39" spans="1:14" ht="35.1" customHeight="1">
      <c r="A39" s="569" t="s">
        <v>567</v>
      </c>
      <c r="B39" s="569" t="s">
        <v>869</v>
      </c>
      <c r="C39" s="718"/>
      <c r="D39" s="718"/>
      <c r="E39" s="718"/>
      <c r="F39" s="718"/>
      <c r="G39" s="718"/>
      <c r="H39" s="718"/>
      <c r="I39" s="718"/>
      <c r="J39" s="569">
        <v>0</v>
      </c>
      <c r="K39" s="569">
        <f>156000000*70%</f>
        <v>109200000</v>
      </c>
      <c r="L39" s="569">
        <v>60000000</v>
      </c>
      <c r="M39" s="569">
        <v>42000000</v>
      </c>
      <c r="N39" s="569">
        <f t="shared" si="0"/>
        <v>-18000000</v>
      </c>
    </row>
    <row r="40" spans="1:14" ht="35.1" customHeight="1">
      <c r="A40" s="569" t="s">
        <v>295</v>
      </c>
      <c r="B40" s="569" t="s">
        <v>176</v>
      </c>
      <c r="C40" s="718"/>
      <c r="D40" s="718"/>
      <c r="E40" s="718"/>
      <c r="F40" s="718"/>
      <c r="G40" s="718"/>
      <c r="H40" s="718"/>
      <c r="I40" s="718"/>
      <c r="J40" s="569">
        <v>0</v>
      </c>
      <c r="K40" s="569">
        <v>0</v>
      </c>
      <c r="L40" s="569">
        <v>0</v>
      </c>
      <c r="M40" s="569">
        <v>0</v>
      </c>
      <c r="N40" s="569">
        <f t="shared" si="0"/>
        <v>0</v>
      </c>
    </row>
    <row r="41" spans="1:14" ht="35.1" customHeight="1">
      <c r="A41" s="569" t="s">
        <v>296</v>
      </c>
      <c r="B41" s="569" t="s">
        <v>177</v>
      </c>
      <c r="C41" s="718"/>
      <c r="D41" s="718"/>
      <c r="E41" s="718"/>
      <c r="F41" s="718"/>
      <c r="G41" s="718"/>
      <c r="H41" s="718"/>
      <c r="I41" s="718"/>
      <c r="J41" s="569">
        <v>0</v>
      </c>
      <c r="K41" s="569">
        <v>0</v>
      </c>
      <c r="L41" s="569">
        <v>0</v>
      </c>
      <c r="M41" s="569">
        <v>0</v>
      </c>
      <c r="N41" s="569">
        <f t="shared" si="0"/>
        <v>0</v>
      </c>
    </row>
    <row r="42" spans="1:14" ht="35.1" customHeight="1">
      <c r="A42" s="569"/>
      <c r="B42" s="570" t="s">
        <v>119</v>
      </c>
      <c r="C42" s="718"/>
      <c r="D42" s="718"/>
      <c r="E42" s="718"/>
      <c r="F42" s="718"/>
      <c r="G42" s="718"/>
      <c r="H42" s="718"/>
      <c r="I42" s="718"/>
      <c r="J42" s="570">
        <v>0</v>
      </c>
      <c r="K42" s="719">
        <f>SUM(K38:K41)</f>
        <v>158878000</v>
      </c>
      <c r="L42" s="570">
        <f>SUM(L38:L41)</f>
        <v>60000000</v>
      </c>
      <c r="M42" s="570">
        <f>SUM(M38:M41)</f>
        <v>42000000</v>
      </c>
      <c r="N42" s="570">
        <f t="shared" si="0"/>
        <v>-18000000</v>
      </c>
    </row>
    <row r="43" spans="1:14" ht="35.1" customHeight="1">
      <c r="A43" s="720"/>
      <c r="B43" s="721" t="s">
        <v>42</v>
      </c>
      <c r="C43" s="722"/>
      <c r="D43" s="722"/>
      <c r="E43" s="722"/>
      <c r="F43" s="722"/>
      <c r="G43" s="722"/>
      <c r="H43" s="722"/>
      <c r="I43" s="722"/>
      <c r="J43" s="721">
        <v>0</v>
      </c>
      <c r="K43" s="723">
        <f>K42+K35+K30+K23+K9</f>
        <v>1026428400</v>
      </c>
      <c r="L43" s="721">
        <f>L42+L35+L30+L23+L9</f>
        <v>1350086400</v>
      </c>
      <c r="M43" s="721">
        <f>M42+M35+M30+M23+M9</f>
        <v>1315334400</v>
      </c>
      <c r="N43" s="721">
        <f t="shared" si="0"/>
        <v>-34752000</v>
      </c>
    </row>
    <row r="45" spans="1:14" ht="35.1" customHeight="1">
      <c r="B45" s="437"/>
    </row>
  </sheetData>
  <pageMargins left="0.7" right="0.47" top="0.9" bottom="0.5" header="0.31" footer="0.17"/>
  <pageSetup scale="45" orientation="portrait" r:id="rId1"/>
  <headerFooter>
    <oddHeader>&amp;C&amp;"Arial Black,Bold"&amp;20Guddiga Dawlad Wanaaga &amp; Ladagaalanka Musuq Maasuqah</oddHeader>
    <oddFooter>&amp;R&amp;"Times New Roman,Bold"&amp;16 51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60" workbookViewId="0">
      <selection sqref="A1:XFD1048576"/>
    </sheetView>
  </sheetViews>
  <sheetFormatPr defaultRowHeight="24" customHeight="1"/>
  <cols>
    <col min="1" max="1" width="19.33203125" style="386" bestFit="1" customWidth="1"/>
    <col min="2" max="2" width="80.5" style="386" customWidth="1"/>
    <col min="3" max="3" width="0.1640625" style="386" hidden="1" customWidth="1"/>
    <col min="4" max="12" width="9.33203125" style="386" hidden="1" customWidth="1"/>
    <col min="13" max="13" width="24.5" style="386" hidden="1" customWidth="1"/>
    <col min="14" max="14" width="28" style="462" bestFit="1" customWidth="1"/>
    <col min="15" max="15" width="27.6640625" style="462" bestFit="1" customWidth="1"/>
    <col min="16" max="16" width="23.5" style="462" customWidth="1"/>
    <col min="17" max="16384" width="9.33203125" style="386"/>
  </cols>
  <sheetData>
    <row r="1" spans="1:16" ht="24" customHeight="1">
      <c r="A1" s="373" t="s">
        <v>45</v>
      </c>
      <c r="B1" s="443" t="s">
        <v>710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284"/>
      <c r="O1" s="284"/>
      <c r="P1" s="284"/>
    </row>
    <row r="2" spans="1:16" ht="24" customHeight="1">
      <c r="A2" s="373" t="s">
        <v>28</v>
      </c>
      <c r="B2" s="373" t="s">
        <v>29</v>
      </c>
      <c r="C2" s="373" t="s">
        <v>43</v>
      </c>
      <c r="D2" s="378" t="s">
        <v>2</v>
      </c>
      <c r="E2" s="378" t="s">
        <v>48</v>
      </c>
      <c r="F2" s="378" t="s">
        <v>52</v>
      </c>
      <c r="G2" s="378" t="s">
        <v>64</v>
      </c>
      <c r="H2" s="378" t="s">
        <v>71</v>
      </c>
      <c r="I2" s="378" t="s">
        <v>130</v>
      </c>
      <c r="J2" s="378" t="s">
        <v>135</v>
      </c>
      <c r="K2" s="378" t="s">
        <v>143</v>
      </c>
      <c r="L2" s="378" t="s">
        <v>180</v>
      </c>
      <c r="M2" s="378" t="s">
        <v>297</v>
      </c>
      <c r="N2" s="271" t="s">
        <v>641</v>
      </c>
      <c r="O2" s="271" t="s">
        <v>1111</v>
      </c>
      <c r="P2" s="271" t="s">
        <v>63</v>
      </c>
    </row>
    <row r="3" spans="1:16" ht="24" customHeight="1">
      <c r="A3" s="292" t="s">
        <v>248</v>
      </c>
      <c r="B3" s="292" t="s">
        <v>165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284"/>
      <c r="O3" s="284"/>
      <c r="P3" s="284"/>
    </row>
    <row r="4" spans="1:16" ht="24" customHeight="1">
      <c r="A4" s="292" t="s">
        <v>249</v>
      </c>
      <c r="B4" s="292" t="s">
        <v>250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ht="24" customHeight="1">
      <c r="A5" s="284" t="s">
        <v>247</v>
      </c>
      <c r="B5" s="284" t="s">
        <v>32</v>
      </c>
      <c r="C5" s="284"/>
      <c r="D5" s="284"/>
      <c r="E5" s="284"/>
      <c r="F5" s="284"/>
      <c r="G5" s="284"/>
      <c r="H5" s="284"/>
      <c r="I5" s="284"/>
      <c r="J5" s="284"/>
      <c r="K5" s="284"/>
      <c r="L5" s="284">
        <f>5452606800+308184000</f>
        <v>5760790800</v>
      </c>
      <c r="M5" s="284">
        <v>344791200</v>
      </c>
      <c r="N5" s="284">
        <v>417892800</v>
      </c>
      <c r="O5" s="284">
        <v>412214400</v>
      </c>
      <c r="P5" s="284">
        <f>O5-N5</f>
        <v>-5678400</v>
      </c>
    </row>
    <row r="6" spans="1:16" ht="24" customHeight="1">
      <c r="A6" s="284" t="s">
        <v>251</v>
      </c>
      <c r="B6" s="284" t="s">
        <v>1183</v>
      </c>
      <c r="C6" s="284"/>
      <c r="D6" s="284"/>
      <c r="E6" s="284"/>
      <c r="F6" s="284"/>
      <c r="G6" s="284"/>
      <c r="H6" s="284"/>
      <c r="I6" s="284"/>
      <c r="J6" s="284"/>
      <c r="K6" s="284"/>
      <c r="L6" s="284">
        <v>0</v>
      </c>
      <c r="M6" s="284"/>
      <c r="N6" s="284">
        <v>97200000</v>
      </c>
      <c r="O6" s="284">
        <v>133200000</v>
      </c>
      <c r="P6" s="284">
        <f t="shared" ref="P6:P51" si="0">O6-N6</f>
        <v>36000000</v>
      </c>
    </row>
    <row r="7" spans="1:16" ht="24" customHeight="1">
      <c r="A7" s="284" t="s">
        <v>252</v>
      </c>
      <c r="B7" s="284" t="s">
        <v>34</v>
      </c>
      <c r="C7" s="284"/>
      <c r="D7" s="284"/>
      <c r="E7" s="284"/>
      <c r="F7" s="284"/>
      <c r="G7" s="284"/>
      <c r="H7" s="284"/>
      <c r="I7" s="284"/>
      <c r="J7" s="284"/>
      <c r="K7" s="284"/>
      <c r="L7" s="284">
        <f>110800000+61200000</f>
        <v>172000000</v>
      </c>
      <c r="M7" s="284">
        <v>18000000</v>
      </c>
      <c r="N7" s="284">
        <v>68400000</v>
      </c>
      <c r="O7" s="284">
        <v>162000000</v>
      </c>
      <c r="P7" s="284">
        <f t="shared" si="0"/>
        <v>93600000</v>
      </c>
    </row>
    <row r="8" spans="1:16" ht="24" customHeight="1">
      <c r="A8" s="292" t="s">
        <v>255</v>
      </c>
      <c r="B8" s="292" t="s">
        <v>256</v>
      </c>
      <c r="C8" s="292"/>
      <c r="D8" s="292"/>
      <c r="E8" s="292"/>
      <c r="F8" s="292"/>
      <c r="G8" s="292"/>
      <c r="H8" s="292"/>
      <c r="I8" s="292"/>
      <c r="J8" s="292"/>
      <c r="K8" s="284"/>
      <c r="L8" s="284">
        <v>0</v>
      </c>
      <c r="M8" s="284">
        <v>0</v>
      </c>
      <c r="N8" s="284">
        <v>0</v>
      </c>
      <c r="O8" s="284">
        <v>0</v>
      </c>
      <c r="P8" s="284">
        <f t="shared" si="0"/>
        <v>0</v>
      </c>
    </row>
    <row r="9" spans="1:16" ht="24" customHeight="1">
      <c r="A9" s="284" t="s">
        <v>259</v>
      </c>
      <c r="B9" s="284" t="s">
        <v>592</v>
      </c>
      <c r="C9" s="284"/>
      <c r="D9" s="284"/>
      <c r="E9" s="284"/>
      <c r="F9" s="284"/>
      <c r="G9" s="284"/>
      <c r="H9" s="284"/>
      <c r="I9" s="284"/>
      <c r="J9" s="284"/>
      <c r="K9" s="284"/>
      <c r="L9" s="284">
        <v>10218000</v>
      </c>
      <c r="M9" s="284">
        <v>8052200</v>
      </c>
      <c r="N9" s="284">
        <v>0</v>
      </c>
      <c r="O9" s="284">
        <v>0</v>
      </c>
      <c r="P9" s="284">
        <f t="shared" si="0"/>
        <v>0</v>
      </c>
    </row>
    <row r="10" spans="1:16" ht="24" customHeight="1">
      <c r="A10" s="284"/>
      <c r="B10" s="292" t="s">
        <v>119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92">
        <f>SUM(L5:L9)</f>
        <v>5943008800</v>
      </c>
      <c r="M10" s="292">
        <f>SUM(M5:M9)</f>
        <v>370843400</v>
      </c>
      <c r="N10" s="292">
        <f>SUM(N5:N9)</f>
        <v>583492800</v>
      </c>
      <c r="O10" s="292">
        <f>SUM(O5:O9)</f>
        <v>707414400</v>
      </c>
      <c r="P10" s="292">
        <f t="shared" si="0"/>
        <v>123921600</v>
      </c>
    </row>
    <row r="11" spans="1:16" ht="24" customHeight="1">
      <c r="A11" s="292" t="s">
        <v>262</v>
      </c>
      <c r="B11" s="292" t="s">
        <v>263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>
        <f t="shared" si="0"/>
        <v>0</v>
      </c>
    </row>
    <row r="12" spans="1:16" ht="24" customHeight="1">
      <c r="A12" s="292" t="s">
        <v>265</v>
      </c>
      <c r="B12" s="292" t="s">
        <v>264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>
        <f t="shared" si="0"/>
        <v>0</v>
      </c>
    </row>
    <row r="13" spans="1:16" ht="24" customHeight="1">
      <c r="A13" s="284" t="s">
        <v>266</v>
      </c>
      <c r="B13" s="284" t="s">
        <v>38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>
        <f>22344000+30462320</f>
        <v>52806320</v>
      </c>
      <c r="M13" s="284">
        <v>15525058</v>
      </c>
      <c r="N13" s="284">
        <f>M13</f>
        <v>15525058</v>
      </c>
      <c r="O13" s="284">
        <v>65525058</v>
      </c>
      <c r="P13" s="284">
        <f t="shared" si="0"/>
        <v>50000000</v>
      </c>
    </row>
    <row r="14" spans="1:16" ht="24" customHeight="1">
      <c r="A14" s="284" t="s">
        <v>267</v>
      </c>
      <c r="B14" s="284" t="s">
        <v>152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>
        <f>8937600</f>
        <v>8937600</v>
      </c>
      <c r="M14" s="284">
        <v>5880000</v>
      </c>
      <c r="N14" s="284">
        <v>25880000</v>
      </c>
      <c r="O14" s="284">
        <v>25880000</v>
      </c>
      <c r="P14" s="284">
        <f t="shared" si="0"/>
        <v>0</v>
      </c>
    </row>
    <row r="15" spans="1:16" ht="24" customHeight="1">
      <c r="A15" s="284" t="s">
        <v>269</v>
      </c>
      <c r="B15" s="284" t="s">
        <v>186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>
        <f>67136000+77000000</f>
        <v>144136000</v>
      </c>
      <c r="M15" s="284">
        <v>62955984</v>
      </c>
      <c r="N15" s="284">
        <f t="shared" ref="N15:O21" si="1">M15</f>
        <v>62955984</v>
      </c>
      <c r="O15" s="284">
        <f t="shared" si="1"/>
        <v>62955984</v>
      </c>
      <c r="P15" s="284">
        <f t="shared" si="0"/>
        <v>0</v>
      </c>
    </row>
    <row r="16" spans="1:16" ht="24" customHeight="1">
      <c r="A16" s="284" t="s">
        <v>270</v>
      </c>
      <c r="B16" s="284" t="s">
        <v>163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>
        <f>3724000</f>
        <v>3724000</v>
      </c>
      <c r="M16" s="284">
        <v>2940000</v>
      </c>
      <c r="N16" s="284">
        <f t="shared" si="1"/>
        <v>2940000</v>
      </c>
      <c r="O16" s="284">
        <f t="shared" si="1"/>
        <v>2940000</v>
      </c>
      <c r="P16" s="284">
        <f t="shared" si="0"/>
        <v>0</v>
      </c>
    </row>
    <row r="17" spans="1:16" ht="24" customHeight="1">
      <c r="A17" s="284" t="s">
        <v>272</v>
      </c>
      <c r="B17" s="284" t="s">
        <v>54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>
        <f>39792000+5213600</f>
        <v>45005600</v>
      </c>
      <c r="M17" s="284">
        <v>11381303</v>
      </c>
      <c r="N17" s="284">
        <f>M17*70%</f>
        <v>7966912.0999999996</v>
      </c>
      <c r="O17" s="284">
        <v>57966912</v>
      </c>
      <c r="P17" s="284">
        <f t="shared" si="0"/>
        <v>49999999.899999999</v>
      </c>
    </row>
    <row r="18" spans="1:16" ht="24" customHeight="1">
      <c r="A18" s="284" t="s">
        <v>273</v>
      </c>
      <c r="B18" s="284" t="s">
        <v>120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>
        <v>1226626880</v>
      </c>
      <c r="M18" s="284"/>
      <c r="N18" s="284">
        <f>M18*70%</f>
        <v>0</v>
      </c>
      <c r="O18" s="284">
        <f>N18*70%</f>
        <v>0</v>
      </c>
      <c r="P18" s="284">
        <f t="shared" si="0"/>
        <v>0</v>
      </c>
    </row>
    <row r="19" spans="1:16" ht="24" customHeight="1">
      <c r="A19" s="284" t="s">
        <v>274</v>
      </c>
      <c r="B19" s="284" t="s">
        <v>164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84">
        <f>17448000+5213600</f>
        <v>22661600</v>
      </c>
      <c r="M19" s="284">
        <v>10793798</v>
      </c>
      <c r="N19" s="284">
        <f t="shared" si="1"/>
        <v>10793798</v>
      </c>
      <c r="O19" s="284">
        <f t="shared" si="1"/>
        <v>10793798</v>
      </c>
      <c r="P19" s="284">
        <f t="shared" si="0"/>
        <v>0</v>
      </c>
    </row>
    <row r="20" spans="1:16" ht="24" customHeight="1">
      <c r="A20" s="284" t="s">
        <v>275</v>
      </c>
      <c r="B20" s="284" t="s">
        <v>40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>
        <f>17448000+49000000</f>
        <v>66448000</v>
      </c>
      <c r="M20" s="284">
        <v>32182886</v>
      </c>
      <c r="N20" s="284">
        <f t="shared" si="1"/>
        <v>32182886</v>
      </c>
      <c r="O20" s="284">
        <f t="shared" si="1"/>
        <v>32182886</v>
      </c>
      <c r="P20" s="284">
        <f t="shared" si="0"/>
        <v>0</v>
      </c>
    </row>
    <row r="21" spans="1:16" ht="24" customHeight="1">
      <c r="A21" s="284" t="s">
        <v>366</v>
      </c>
      <c r="B21" s="284" t="s">
        <v>367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>
        <v>3865000000</v>
      </c>
      <c r="M21" s="284">
        <v>0</v>
      </c>
      <c r="N21" s="284">
        <f t="shared" si="1"/>
        <v>0</v>
      </c>
      <c r="O21" s="284">
        <f t="shared" si="1"/>
        <v>0</v>
      </c>
      <c r="P21" s="284">
        <f t="shared" si="0"/>
        <v>0</v>
      </c>
    </row>
    <row r="22" spans="1:16" ht="24" customHeight="1">
      <c r="A22" s="284" t="s">
        <v>805</v>
      </c>
      <c r="B22" s="284" t="s">
        <v>806</v>
      </c>
      <c r="C22" s="292"/>
      <c r="D22" s="292"/>
      <c r="E22" s="292"/>
      <c r="F22" s="292"/>
      <c r="G22" s="292"/>
      <c r="H22" s="292"/>
      <c r="I22" s="292"/>
      <c r="J22" s="292"/>
      <c r="K22" s="284"/>
      <c r="L22" s="284">
        <v>9594000</v>
      </c>
      <c r="M22" s="284">
        <v>2820636</v>
      </c>
      <c r="N22" s="284">
        <v>0</v>
      </c>
      <c r="O22" s="284">
        <v>302700000</v>
      </c>
      <c r="P22" s="284">
        <f t="shared" si="0"/>
        <v>302700000</v>
      </c>
    </row>
    <row r="23" spans="1:16" ht="24" customHeight="1">
      <c r="A23" s="284"/>
      <c r="B23" s="292" t="s">
        <v>119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92">
        <f>SUM(L13:L22)</f>
        <v>5444940000</v>
      </c>
      <c r="M23" s="292">
        <f>SUM(M13:M22)</f>
        <v>144479665</v>
      </c>
      <c r="N23" s="292">
        <f>SUM(N13:N22)</f>
        <v>158244638.09999999</v>
      </c>
      <c r="O23" s="292">
        <f>SUM(O13:O22)</f>
        <v>560944638</v>
      </c>
      <c r="P23" s="292">
        <f t="shared" si="0"/>
        <v>402699999.89999998</v>
      </c>
    </row>
    <row r="24" spans="1:16" ht="24" customHeight="1">
      <c r="A24" s="292" t="s">
        <v>279</v>
      </c>
      <c r="B24" s="292" t="s">
        <v>278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>
        <f t="shared" si="0"/>
        <v>0</v>
      </c>
    </row>
    <row r="25" spans="1:16" ht="24" customHeight="1">
      <c r="A25" s="284" t="s">
        <v>281</v>
      </c>
      <c r="B25" s="284" t="s">
        <v>161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>
        <f>412503000+230000000</f>
        <v>642503000</v>
      </c>
      <c r="M25" s="284">
        <v>230000000</v>
      </c>
      <c r="N25" s="284">
        <v>248000000</v>
      </c>
      <c r="O25" s="284">
        <v>248000000</v>
      </c>
      <c r="P25" s="284">
        <f t="shared" si="0"/>
        <v>0</v>
      </c>
    </row>
    <row r="26" spans="1:16" ht="24" customHeight="1">
      <c r="A26" s="284" t="s">
        <v>282</v>
      </c>
      <c r="B26" s="284" t="s">
        <v>155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84">
        <f>37240000+32000000</f>
        <v>69240000</v>
      </c>
      <c r="M26" s="284">
        <v>24108000</v>
      </c>
      <c r="N26" s="284">
        <f t="shared" ref="N26:O30" si="2">M26</f>
        <v>24108000</v>
      </c>
      <c r="O26" s="284">
        <f t="shared" si="2"/>
        <v>24108000</v>
      </c>
      <c r="P26" s="284">
        <f t="shared" si="0"/>
        <v>0</v>
      </c>
    </row>
    <row r="27" spans="1:16" ht="24" customHeight="1">
      <c r="A27" s="284" t="s">
        <v>283</v>
      </c>
      <c r="B27" s="284" t="s">
        <v>156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84">
        <f>18620000+5958400</f>
        <v>24578400</v>
      </c>
      <c r="M27" s="284">
        <v>7350000</v>
      </c>
      <c r="N27" s="284">
        <f t="shared" si="2"/>
        <v>7350000</v>
      </c>
      <c r="O27" s="284">
        <f t="shared" si="2"/>
        <v>7350000</v>
      </c>
      <c r="P27" s="284">
        <f t="shared" si="0"/>
        <v>0</v>
      </c>
    </row>
    <row r="28" spans="1:16" ht="24" customHeight="1">
      <c r="A28" s="284" t="s">
        <v>603</v>
      </c>
      <c r="B28" s="284" t="s">
        <v>631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60">
        <f>601648350</f>
        <v>601648350</v>
      </c>
      <c r="M28" s="360">
        <v>0</v>
      </c>
      <c r="N28" s="284">
        <f t="shared" si="2"/>
        <v>0</v>
      </c>
      <c r="O28" s="284">
        <f t="shared" si="2"/>
        <v>0</v>
      </c>
      <c r="P28" s="284">
        <f t="shared" si="0"/>
        <v>0</v>
      </c>
    </row>
    <row r="29" spans="1:16" ht="24" customHeight="1">
      <c r="A29" s="284" t="s">
        <v>298</v>
      </c>
      <c r="B29" s="284" t="s">
        <v>219</v>
      </c>
      <c r="C29" s="284"/>
      <c r="D29" s="284"/>
      <c r="E29" s="284"/>
      <c r="F29" s="284"/>
      <c r="G29" s="284"/>
      <c r="H29" s="284"/>
      <c r="I29" s="284"/>
      <c r="J29" s="284"/>
      <c r="K29" s="284">
        <v>90</v>
      </c>
      <c r="L29" s="284">
        <v>15400000</v>
      </c>
      <c r="M29" s="284">
        <v>19992000</v>
      </c>
      <c r="N29" s="284">
        <v>0</v>
      </c>
      <c r="O29" s="284">
        <v>0</v>
      </c>
      <c r="P29" s="284">
        <f t="shared" si="0"/>
        <v>0</v>
      </c>
    </row>
    <row r="30" spans="1:16" ht="24" customHeight="1">
      <c r="A30" s="284" t="s">
        <v>430</v>
      </c>
      <c r="B30" s="284" t="s">
        <v>314</v>
      </c>
      <c r="C30" s="335"/>
      <c r="D30" s="336" t="s">
        <v>4</v>
      </c>
      <c r="E30" s="336"/>
      <c r="F30" s="336"/>
      <c r="G30" s="336">
        <v>240000000</v>
      </c>
      <c r="H30" s="336">
        <v>120000000</v>
      </c>
      <c r="I30" s="336"/>
      <c r="J30" s="336"/>
      <c r="K30" s="336"/>
      <c r="L30" s="360">
        <f>22344000+3724000</f>
        <v>26068000</v>
      </c>
      <c r="M30" s="360">
        <v>0</v>
      </c>
      <c r="N30" s="284">
        <f t="shared" si="2"/>
        <v>0</v>
      </c>
      <c r="O30" s="284">
        <f t="shared" si="2"/>
        <v>0</v>
      </c>
      <c r="P30" s="284">
        <f t="shared" si="0"/>
        <v>0</v>
      </c>
    </row>
    <row r="31" spans="1:16" ht="24" customHeight="1">
      <c r="A31" s="284"/>
      <c r="B31" s="292" t="s">
        <v>119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61">
        <f>SUM(L25:L29)</f>
        <v>1353369750</v>
      </c>
      <c r="M31" s="361">
        <f>SUM(M25:M30)</f>
        <v>281450000</v>
      </c>
      <c r="N31" s="292">
        <f>SUM(N25:N30)</f>
        <v>279458000</v>
      </c>
      <c r="O31" s="292">
        <f>SUM(O25:O30)</f>
        <v>279458000</v>
      </c>
      <c r="P31" s="292">
        <f t="shared" si="0"/>
        <v>0</v>
      </c>
    </row>
    <row r="32" spans="1:16" ht="24" customHeight="1">
      <c r="A32" s="292" t="s">
        <v>285</v>
      </c>
      <c r="B32" s="292" t="s">
        <v>158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284"/>
      <c r="O32" s="284"/>
      <c r="P32" s="284">
        <f t="shared" si="0"/>
        <v>0</v>
      </c>
    </row>
    <row r="33" spans="1:16" ht="24" customHeight="1">
      <c r="A33" s="284" t="s">
        <v>286</v>
      </c>
      <c r="B33" s="284" t="s">
        <v>55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60">
        <f>44792401+72850034</f>
        <v>117642435</v>
      </c>
      <c r="M33" s="360">
        <v>34586876</v>
      </c>
      <c r="N33" s="284">
        <f>M33</f>
        <v>34586876</v>
      </c>
      <c r="O33" s="284">
        <f>N33</f>
        <v>34586876</v>
      </c>
      <c r="P33" s="284">
        <f t="shared" si="0"/>
        <v>0</v>
      </c>
    </row>
    <row r="34" spans="1:16" ht="24" customHeight="1">
      <c r="A34" s="284" t="s">
        <v>288</v>
      </c>
      <c r="B34" s="284" t="s">
        <v>287</v>
      </c>
      <c r="C34" s="335"/>
      <c r="D34" s="335"/>
      <c r="E34" s="336" t="e">
        <f>#REF!+#REF!</f>
        <v>#REF!</v>
      </c>
      <c r="F34" s="336" t="e">
        <f>#REF!+#REF!</f>
        <v>#REF!</v>
      </c>
      <c r="G34" s="336"/>
      <c r="H34" s="336"/>
      <c r="I34" s="336"/>
      <c r="J34" s="336"/>
      <c r="K34" s="336"/>
      <c r="L34" s="360">
        <v>5586000</v>
      </c>
      <c r="M34" s="360">
        <v>1642284</v>
      </c>
      <c r="N34" s="284">
        <f>M34</f>
        <v>1642284</v>
      </c>
      <c r="O34" s="284">
        <v>42000000</v>
      </c>
      <c r="P34" s="284">
        <f t="shared" si="0"/>
        <v>40357716</v>
      </c>
    </row>
    <row r="35" spans="1:16" ht="24" customHeight="1">
      <c r="A35" s="284" t="s">
        <v>289</v>
      </c>
      <c r="B35" s="284" t="s">
        <v>290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6">
        <f>K35-J35</f>
        <v>0</v>
      </c>
      <c r="M35" s="336">
        <f>L35-K35</f>
        <v>0</v>
      </c>
      <c r="N35" s="284">
        <f>M35-L35</f>
        <v>0</v>
      </c>
      <c r="O35" s="284">
        <f>N35-M35</f>
        <v>0</v>
      </c>
      <c r="P35" s="284">
        <f t="shared" si="0"/>
        <v>0</v>
      </c>
    </row>
    <row r="36" spans="1:16" ht="24" customHeight="1">
      <c r="A36" s="284"/>
      <c r="B36" s="292" t="s">
        <v>119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83">
        <f>SUM(L33:L35)</f>
        <v>123228435</v>
      </c>
      <c r="M36" s="383">
        <f>SUM(M33:M35)</f>
        <v>36229160</v>
      </c>
      <c r="N36" s="292">
        <f>SUM(N33:N35)</f>
        <v>36229160</v>
      </c>
      <c r="O36" s="292">
        <f>SUM(O33:O35)</f>
        <v>76586876</v>
      </c>
      <c r="P36" s="292">
        <f t="shared" si="0"/>
        <v>40357716</v>
      </c>
    </row>
    <row r="37" spans="1:16" ht="24" customHeight="1">
      <c r="A37" s="292" t="s">
        <v>293</v>
      </c>
      <c r="B37" s="292" t="s">
        <v>292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284"/>
      <c r="O37" s="284"/>
      <c r="P37" s="284">
        <f t="shared" si="0"/>
        <v>0</v>
      </c>
    </row>
    <row r="38" spans="1:16" ht="24" customHeight="1">
      <c r="A38" s="292" t="s">
        <v>294</v>
      </c>
      <c r="B38" s="292" t="s">
        <v>291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284"/>
      <c r="O38" s="284"/>
      <c r="P38" s="284">
        <f t="shared" si="0"/>
        <v>0</v>
      </c>
    </row>
    <row r="39" spans="1:16" ht="24" customHeight="1">
      <c r="A39" s="284" t="s">
        <v>499</v>
      </c>
      <c r="B39" s="284" t="s">
        <v>174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6">
        <f>K39-J39</f>
        <v>0</v>
      </c>
      <c r="M39" s="468">
        <v>29400000</v>
      </c>
      <c r="N39" s="420">
        <v>0</v>
      </c>
      <c r="O39" s="420">
        <v>50000000</v>
      </c>
      <c r="P39" s="420">
        <f t="shared" si="0"/>
        <v>50000000</v>
      </c>
    </row>
    <row r="40" spans="1:16" ht="24" customHeight="1">
      <c r="A40" s="284" t="s">
        <v>388</v>
      </c>
      <c r="B40" s="284" t="s">
        <v>309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6"/>
      <c r="M40" s="468"/>
      <c r="N40" s="420">
        <v>0</v>
      </c>
      <c r="O40" s="420">
        <v>108000000</v>
      </c>
      <c r="P40" s="420">
        <f t="shared" si="0"/>
        <v>108000000</v>
      </c>
    </row>
    <row r="41" spans="1:16" ht="24" customHeight="1">
      <c r="A41" s="284" t="s">
        <v>1128</v>
      </c>
      <c r="B41" s="284" t="s">
        <v>1127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6">
        <f>K41-J41</f>
        <v>0</v>
      </c>
      <c r="M41" s="470">
        <v>61250000</v>
      </c>
      <c r="N41" s="420">
        <v>0</v>
      </c>
      <c r="O41" s="420">
        <v>108000000</v>
      </c>
      <c r="P41" s="420">
        <f t="shared" si="0"/>
        <v>108000000</v>
      </c>
    </row>
    <row r="42" spans="1:16" ht="24" customHeight="1">
      <c r="A42" s="284" t="s">
        <v>295</v>
      </c>
      <c r="B42" s="284" t="s">
        <v>176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60">
        <f>5958400+5724000</f>
        <v>11682400</v>
      </c>
      <c r="M42" s="468">
        <v>3434635</v>
      </c>
      <c r="N42" s="420">
        <v>0</v>
      </c>
      <c r="O42" s="420">
        <v>0</v>
      </c>
      <c r="P42" s="420">
        <f t="shared" si="0"/>
        <v>0</v>
      </c>
    </row>
    <row r="43" spans="1:16" ht="24" customHeight="1">
      <c r="A43" s="284" t="s">
        <v>296</v>
      </c>
      <c r="B43" s="284" t="s">
        <v>177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6">
        <v>5234000</v>
      </c>
      <c r="M43" s="470">
        <v>1538796</v>
      </c>
      <c r="N43" s="420">
        <v>0</v>
      </c>
      <c r="O43" s="420">
        <v>0</v>
      </c>
      <c r="P43" s="420">
        <f t="shared" si="0"/>
        <v>0</v>
      </c>
    </row>
    <row r="44" spans="1:16" ht="24" customHeight="1">
      <c r="A44" s="284"/>
      <c r="B44" s="284" t="s">
        <v>119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61">
        <f>SUM(L39:L43)</f>
        <v>16916400</v>
      </c>
      <c r="M44" s="361">
        <f>SUM(M39:M43)</f>
        <v>95623431</v>
      </c>
      <c r="N44" s="292">
        <f>SUM(N39:N43)</f>
        <v>0</v>
      </c>
      <c r="O44" s="292">
        <f>SUM(O39:O43)</f>
        <v>266000000</v>
      </c>
      <c r="P44" s="292">
        <f t="shared" si="0"/>
        <v>266000000</v>
      </c>
    </row>
    <row r="45" spans="1:16" ht="24" customHeight="1">
      <c r="A45" s="292" t="s">
        <v>381</v>
      </c>
      <c r="B45" s="284">
        <v>0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6"/>
      <c r="M45" s="336"/>
      <c r="N45" s="284"/>
      <c r="O45" s="284"/>
      <c r="P45" s="284">
        <f t="shared" si="0"/>
        <v>0</v>
      </c>
    </row>
    <row r="46" spans="1:16" ht="24" customHeight="1">
      <c r="A46" s="284" t="s">
        <v>382</v>
      </c>
      <c r="B46" s="284" t="s">
        <v>529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6">
        <v>0</v>
      </c>
      <c r="M46" s="336">
        <v>0</v>
      </c>
      <c r="N46" s="284">
        <v>0</v>
      </c>
      <c r="O46" s="284">
        <v>0</v>
      </c>
      <c r="P46" s="284">
        <f t="shared" si="0"/>
        <v>0</v>
      </c>
    </row>
    <row r="47" spans="1:16" ht="24" customHeight="1">
      <c r="A47" s="284"/>
      <c r="B47" s="292" t="s">
        <v>119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61">
        <f>SUM(L46)</f>
        <v>0</v>
      </c>
      <c r="M47" s="361">
        <f>M46</f>
        <v>0</v>
      </c>
      <c r="N47" s="292">
        <f>SUM(N46)</f>
        <v>0</v>
      </c>
      <c r="O47" s="292">
        <f>SUM(O46)</f>
        <v>0</v>
      </c>
      <c r="P47" s="292">
        <f t="shared" si="0"/>
        <v>0</v>
      </c>
    </row>
    <row r="48" spans="1:16" s="466" customFormat="1" ht="24" customHeight="1">
      <c r="A48" s="421" t="s">
        <v>611</v>
      </c>
      <c r="B48" s="422" t="s">
        <v>612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>
        <f t="shared" si="0"/>
        <v>0</v>
      </c>
    </row>
    <row r="49" spans="1:16" ht="24" customHeight="1">
      <c r="A49" s="283" t="s">
        <v>433</v>
      </c>
      <c r="B49" s="284" t="s">
        <v>791</v>
      </c>
      <c r="C49" s="292"/>
      <c r="D49" s="292"/>
      <c r="E49" s="292"/>
      <c r="F49" s="292"/>
      <c r="G49" s="292"/>
      <c r="H49" s="292"/>
      <c r="I49" s="292"/>
      <c r="J49" s="292"/>
      <c r="K49" s="284"/>
      <c r="L49" s="284">
        <v>208000000</v>
      </c>
      <c r="M49" s="284">
        <v>0</v>
      </c>
      <c r="N49" s="284">
        <v>0</v>
      </c>
      <c r="O49" s="284">
        <v>0</v>
      </c>
      <c r="P49" s="284">
        <f t="shared" si="0"/>
        <v>0</v>
      </c>
    </row>
    <row r="50" spans="1:16" ht="24" customHeight="1">
      <c r="A50" s="283"/>
      <c r="B50" s="292" t="s">
        <v>119</v>
      </c>
      <c r="C50" s="284"/>
      <c r="D50" s="284"/>
      <c r="E50" s="284"/>
      <c r="F50" s="284"/>
      <c r="G50" s="284"/>
      <c r="H50" s="284"/>
      <c r="I50" s="284"/>
      <c r="J50" s="292">
        <f>SUM(J49)</f>
        <v>0</v>
      </c>
      <c r="K50" s="292">
        <f>SUM(K49)</f>
        <v>0</v>
      </c>
      <c r="L50" s="292">
        <f>SUM(L49)</f>
        <v>208000000</v>
      </c>
      <c r="M50" s="292">
        <f>M49</f>
        <v>0</v>
      </c>
      <c r="N50" s="292">
        <f>SUM(N49)</f>
        <v>0</v>
      </c>
      <c r="O50" s="292">
        <f>SUM(O49)</f>
        <v>0</v>
      </c>
      <c r="P50" s="292">
        <f t="shared" si="0"/>
        <v>0</v>
      </c>
    </row>
    <row r="51" spans="1:16" ht="24" customHeight="1">
      <c r="A51" s="284"/>
      <c r="B51" s="292" t="s">
        <v>42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61">
        <f>L50+L44+L36+L31+L23+L10</f>
        <v>13089463385</v>
      </c>
      <c r="M51" s="361">
        <f>M50+M47+M44+M36+M31+M23+M10</f>
        <v>928625656</v>
      </c>
      <c r="N51" s="292">
        <f>N50+N47+N44+N36+N31+N23+N10</f>
        <v>1057424598.1</v>
      </c>
      <c r="O51" s="292">
        <f>O50+O47+O44+O36+O31+O23+O10</f>
        <v>1890403914</v>
      </c>
      <c r="P51" s="292">
        <f t="shared" si="0"/>
        <v>832979315.89999998</v>
      </c>
    </row>
  </sheetData>
  <pageMargins left="0.7" right="0.7" top="0.75" bottom="0.75" header="0.3" footer="0.3"/>
  <pageSetup scale="55" orientation="portrait" r:id="rId1"/>
  <headerFooter>
    <oddHeader xml:space="preserve">&amp;C&amp;"Times New Roman,Bold"&amp;26Wasaaradda Dib-u-dejinta </oddHeader>
    <oddFooter>&amp;R&amp;"Times New Roman,Bold"&amp;12 52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60" zoomScaleNormal="57" workbookViewId="0">
      <selection sqref="A1:XFD1048576"/>
    </sheetView>
  </sheetViews>
  <sheetFormatPr defaultRowHeight="24.95" customHeight="1"/>
  <cols>
    <col min="1" max="1" width="16.5" style="386" bestFit="1" customWidth="1"/>
    <col min="2" max="2" width="81.33203125" style="386" bestFit="1" customWidth="1"/>
    <col min="3" max="3" width="32.6640625" style="386" hidden="1" customWidth="1"/>
    <col min="4" max="5" width="27.6640625" style="386" bestFit="1" customWidth="1"/>
    <col min="6" max="6" width="25.83203125" style="386" bestFit="1" customWidth="1"/>
    <col min="7" max="16384" width="9.33203125" style="386"/>
  </cols>
  <sheetData>
    <row r="1" spans="1:6" ht="24.95" customHeight="1">
      <c r="A1" s="373" t="s">
        <v>45</v>
      </c>
      <c r="B1" s="443" t="s">
        <v>709</v>
      </c>
      <c r="C1" s="373"/>
      <c r="D1" s="335"/>
      <c r="E1" s="335"/>
      <c r="F1" s="335"/>
    </row>
    <row r="2" spans="1:6" ht="24.95" customHeight="1">
      <c r="A2" s="292" t="s">
        <v>248</v>
      </c>
      <c r="B2" s="292" t="s">
        <v>165</v>
      </c>
      <c r="C2" s="378" t="s">
        <v>297</v>
      </c>
      <c r="D2" s="378" t="s">
        <v>641</v>
      </c>
      <c r="E2" s="378" t="s">
        <v>1111</v>
      </c>
      <c r="F2" s="378" t="s">
        <v>63</v>
      </c>
    </row>
    <row r="3" spans="1:6" ht="24.95" customHeight="1">
      <c r="A3" s="292" t="s">
        <v>249</v>
      </c>
      <c r="B3" s="292" t="s">
        <v>250</v>
      </c>
      <c r="C3" s="284"/>
      <c r="D3" s="284"/>
      <c r="E3" s="284"/>
      <c r="F3" s="284"/>
    </row>
    <row r="4" spans="1:6" ht="24.95" customHeight="1">
      <c r="A4" s="284" t="s">
        <v>247</v>
      </c>
      <c r="B4" s="284" t="s">
        <v>32</v>
      </c>
      <c r="C4" s="284">
        <v>1333394400</v>
      </c>
      <c r="D4" s="284">
        <v>1395664800</v>
      </c>
      <c r="E4" s="284">
        <v>1506304800</v>
      </c>
      <c r="F4" s="284">
        <f>E4-D4</f>
        <v>110640000</v>
      </c>
    </row>
    <row r="5" spans="1:6" ht="24.95" customHeight="1">
      <c r="A5" s="284" t="s">
        <v>251</v>
      </c>
      <c r="B5" s="284" t="s">
        <v>812</v>
      </c>
      <c r="C5" s="284">
        <v>0</v>
      </c>
      <c r="D5" s="284">
        <v>97200000</v>
      </c>
      <c r="E5" s="284">
        <v>97200000</v>
      </c>
      <c r="F5" s="284">
        <f t="shared" ref="F5:F49" si="0">E5-D5</f>
        <v>0</v>
      </c>
    </row>
    <row r="6" spans="1:6" ht="24.95" customHeight="1">
      <c r="A6" s="284" t="s">
        <v>252</v>
      </c>
      <c r="B6" s="284" t="s">
        <v>34</v>
      </c>
      <c r="C6" s="284">
        <v>61200000</v>
      </c>
      <c r="D6" s="284">
        <v>90000000</v>
      </c>
      <c r="E6" s="284">
        <v>151200000</v>
      </c>
      <c r="F6" s="284">
        <f t="shared" si="0"/>
        <v>61200000</v>
      </c>
    </row>
    <row r="7" spans="1:6" ht="24.95" customHeight="1">
      <c r="A7" s="284"/>
      <c r="B7" s="292" t="s">
        <v>119</v>
      </c>
      <c r="C7" s="292">
        <f>SUM(C4:C6)</f>
        <v>1394594400</v>
      </c>
      <c r="D7" s="292">
        <f>SUM(D4:D6)</f>
        <v>1582864800</v>
      </c>
      <c r="E7" s="292">
        <f>SUM(E4:E6)</f>
        <v>1754704800</v>
      </c>
      <c r="F7" s="284">
        <f t="shared" si="0"/>
        <v>171840000</v>
      </c>
    </row>
    <row r="8" spans="1:6" ht="24.95" customHeight="1">
      <c r="A8" s="292" t="s">
        <v>262</v>
      </c>
      <c r="B8" s="292" t="s">
        <v>263</v>
      </c>
      <c r="C8" s="284"/>
      <c r="D8" s="284"/>
      <c r="E8" s="284"/>
      <c r="F8" s="284">
        <f t="shared" si="0"/>
        <v>0</v>
      </c>
    </row>
    <row r="9" spans="1:6" ht="24.95" customHeight="1">
      <c r="A9" s="292" t="s">
        <v>265</v>
      </c>
      <c r="B9" s="292" t="s">
        <v>264</v>
      </c>
      <c r="C9" s="284"/>
      <c r="D9" s="284"/>
      <c r="E9" s="284"/>
      <c r="F9" s="284">
        <f t="shared" si="0"/>
        <v>0</v>
      </c>
    </row>
    <row r="10" spans="1:6" ht="24.95" customHeight="1">
      <c r="A10" s="284" t="s">
        <v>266</v>
      </c>
      <c r="B10" s="284" t="s">
        <v>38</v>
      </c>
      <c r="C10" s="284">
        <v>14180992</v>
      </c>
      <c r="D10" s="284">
        <f>C10</f>
        <v>14180992</v>
      </c>
      <c r="E10" s="284">
        <v>50000000</v>
      </c>
      <c r="F10" s="284">
        <f t="shared" si="0"/>
        <v>35819008</v>
      </c>
    </row>
    <row r="11" spans="1:6" ht="24.95" customHeight="1">
      <c r="A11" s="284" t="s">
        <v>267</v>
      </c>
      <c r="B11" s="284" t="s">
        <v>152</v>
      </c>
      <c r="C11" s="284" t="s">
        <v>4</v>
      </c>
      <c r="D11" s="284">
        <v>0</v>
      </c>
      <c r="E11" s="284">
        <v>0</v>
      </c>
      <c r="F11" s="284">
        <f t="shared" si="0"/>
        <v>0</v>
      </c>
    </row>
    <row r="12" spans="1:6" ht="24.95" customHeight="1">
      <c r="A12" s="284" t="s">
        <v>268</v>
      </c>
      <c r="B12" s="284" t="s">
        <v>153</v>
      </c>
      <c r="C12" s="284">
        <v>0</v>
      </c>
      <c r="D12" s="284">
        <v>0</v>
      </c>
      <c r="E12" s="284">
        <v>0</v>
      </c>
      <c r="F12" s="284">
        <f t="shared" si="0"/>
        <v>0</v>
      </c>
    </row>
    <row r="13" spans="1:6" ht="24.95" customHeight="1">
      <c r="A13" s="284" t="s">
        <v>269</v>
      </c>
      <c r="B13" s="284" t="s">
        <v>186</v>
      </c>
      <c r="C13" s="284">
        <v>54068000</v>
      </c>
      <c r="D13" s="284">
        <f>C13</f>
        <v>54068000</v>
      </c>
      <c r="E13" s="284">
        <f>D13</f>
        <v>54068000</v>
      </c>
      <c r="F13" s="284">
        <f t="shared" si="0"/>
        <v>0</v>
      </c>
    </row>
    <row r="14" spans="1:6" ht="24.95" customHeight="1">
      <c r="A14" s="284" t="s">
        <v>270</v>
      </c>
      <c r="B14" s="284" t="s">
        <v>163</v>
      </c>
      <c r="C14" s="284">
        <v>18946032</v>
      </c>
      <c r="D14" s="284">
        <v>86400000</v>
      </c>
      <c r="E14" s="284">
        <v>86400000</v>
      </c>
      <c r="F14" s="284">
        <f t="shared" si="0"/>
        <v>0</v>
      </c>
    </row>
    <row r="15" spans="1:6" ht="24.95" customHeight="1">
      <c r="A15" s="284" t="s">
        <v>271</v>
      </c>
      <c r="B15" s="284" t="s">
        <v>154</v>
      </c>
      <c r="C15" s="284">
        <v>6459947</v>
      </c>
      <c r="D15" s="284">
        <v>0</v>
      </c>
      <c r="E15" s="284">
        <v>0</v>
      </c>
      <c r="F15" s="284">
        <f t="shared" si="0"/>
        <v>0</v>
      </c>
    </row>
    <row r="16" spans="1:6" ht="24.95" customHeight="1">
      <c r="A16" s="284" t="s">
        <v>272</v>
      </c>
      <c r="B16" s="284" t="s">
        <v>54</v>
      </c>
      <c r="C16" s="284">
        <v>22713600</v>
      </c>
      <c r="D16" s="284">
        <f>C16*70%</f>
        <v>15899519.999999998</v>
      </c>
      <c r="E16" s="284">
        <v>20899520</v>
      </c>
      <c r="F16" s="284">
        <f t="shared" si="0"/>
        <v>5000000.0000000019</v>
      </c>
    </row>
    <row r="17" spans="1:6" ht="24.95" customHeight="1">
      <c r="A17" s="284" t="s">
        <v>273</v>
      </c>
      <c r="B17" s="284" t="s">
        <v>120</v>
      </c>
      <c r="C17" s="284">
        <v>0</v>
      </c>
      <c r="D17" s="284">
        <v>0</v>
      </c>
      <c r="E17" s="284">
        <v>0</v>
      </c>
      <c r="F17" s="284">
        <f t="shared" si="0"/>
        <v>0</v>
      </c>
    </row>
    <row r="18" spans="1:6" ht="24.95" customHeight="1">
      <c r="A18" s="284" t="s">
        <v>274</v>
      </c>
      <c r="B18" s="284" t="s">
        <v>164</v>
      </c>
      <c r="C18" s="284">
        <v>5509700</v>
      </c>
      <c r="D18" s="284">
        <f>C18</f>
        <v>5509700</v>
      </c>
      <c r="E18" s="284">
        <f>D18</f>
        <v>5509700</v>
      </c>
      <c r="F18" s="284">
        <f t="shared" si="0"/>
        <v>0</v>
      </c>
    </row>
    <row r="19" spans="1:6" ht="24.95" customHeight="1">
      <c r="A19" s="284" t="s">
        <v>275</v>
      </c>
      <c r="B19" s="284" t="s">
        <v>40</v>
      </c>
      <c r="C19" s="284">
        <v>18098080</v>
      </c>
      <c r="D19" s="284">
        <f>C19</f>
        <v>18098080</v>
      </c>
      <c r="E19" s="284">
        <f>D19</f>
        <v>18098080</v>
      </c>
      <c r="F19" s="284">
        <f t="shared" si="0"/>
        <v>0</v>
      </c>
    </row>
    <row r="20" spans="1:6" ht="24.95" customHeight="1">
      <c r="A20" s="284" t="s">
        <v>328</v>
      </c>
      <c r="B20" s="284" t="s">
        <v>329</v>
      </c>
      <c r="C20" s="284">
        <v>131600000</v>
      </c>
      <c r="D20" s="284">
        <f>188000000*70%</f>
        <v>131599999.99999999</v>
      </c>
      <c r="E20" s="284">
        <f>188000000*70%</f>
        <v>131599999.99999999</v>
      </c>
      <c r="F20" s="284">
        <f t="shared" si="0"/>
        <v>0</v>
      </c>
    </row>
    <row r="21" spans="1:6" ht="24.95" customHeight="1">
      <c r="A21" s="284" t="s">
        <v>277</v>
      </c>
      <c r="B21" s="284" t="s">
        <v>218</v>
      </c>
      <c r="C21" s="284">
        <v>109408096</v>
      </c>
      <c r="D21" s="284">
        <v>0</v>
      </c>
      <c r="E21" s="284">
        <v>0</v>
      </c>
      <c r="F21" s="284">
        <f t="shared" si="0"/>
        <v>0</v>
      </c>
    </row>
    <row r="22" spans="1:6" ht="24.95" customHeight="1">
      <c r="A22" s="284" t="s">
        <v>276</v>
      </c>
      <c r="B22" s="284" t="s">
        <v>170</v>
      </c>
      <c r="C22" s="284">
        <v>0</v>
      </c>
      <c r="D22" s="284">
        <v>0</v>
      </c>
      <c r="E22" s="284">
        <v>0</v>
      </c>
      <c r="F22" s="284">
        <f t="shared" si="0"/>
        <v>0</v>
      </c>
    </row>
    <row r="23" spans="1:6" ht="24.95" customHeight="1">
      <c r="A23" s="284" t="s">
        <v>729</v>
      </c>
      <c r="B23" s="284" t="s">
        <v>735</v>
      </c>
      <c r="C23" s="284">
        <v>0</v>
      </c>
      <c r="D23" s="284">
        <v>150000000</v>
      </c>
      <c r="E23" s="284">
        <v>150000000</v>
      </c>
      <c r="F23" s="284">
        <f t="shared" si="0"/>
        <v>0</v>
      </c>
    </row>
    <row r="24" spans="1:6" ht="24.95" customHeight="1">
      <c r="A24" s="284" t="s">
        <v>1252</v>
      </c>
      <c r="B24" s="284" t="s">
        <v>1253</v>
      </c>
      <c r="C24" s="284"/>
      <c r="D24" s="284">
        <v>0</v>
      </c>
      <c r="E24" s="284">
        <v>100000000</v>
      </c>
      <c r="F24" s="284">
        <f t="shared" si="0"/>
        <v>100000000</v>
      </c>
    </row>
    <row r="25" spans="1:6" ht="24.95" customHeight="1">
      <c r="A25" s="284"/>
      <c r="B25" s="292" t="s">
        <v>119</v>
      </c>
      <c r="C25" s="292">
        <f>SUM(C10:C23)</f>
        <v>380984447</v>
      </c>
      <c r="D25" s="292">
        <f>SUM(D10:D24)</f>
        <v>475756292</v>
      </c>
      <c r="E25" s="292">
        <f>SUM(E10:E24)</f>
        <v>616575300</v>
      </c>
      <c r="F25" s="284">
        <f t="shared" si="0"/>
        <v>140819008</v>
      </c>
    </row>
    <row r="26" spans="1:6" ht="24.95" customHeight="1">
      <c r="A26" s="292" t="s">
        <v>279</v>
      </c>
      <c r="B26" s="292" t="s">
        <v>278</v>
      </c>
      <c r="C26" s="284"/>
      <c r="D26" s="284"/>
      <c r="E26" s="284"/>
      <c r="F26" s="284">
        <f t="shared" si="0"/>
        <v>0</v>
      </c>
    </row>
    <row r="27" spans="1:6" ht="24.95" customHeight="1">
      <c r="A27" s="284" t="s">
        <v>280</v>
      </c>
      <c r="B27" s="284" t="s">
        <v>160</v>
      </c>
      <c r="C27" s="284">
        <v>0</v>
      </c>
      <c r="D27" s="284">
        <v>0</v>
      </c>
      <c r="E27" s="284">
        <v>0</v>
      </c>
      <c r="F27" s="284">
        <f t="shared" si="0"/>
        <v>0</v>
      </c>
    </row>
    <row r="28" spans="1:6" ht="24.95" customHeight="1">
      <c r="A28" s="284" t="s">
        <v>281</v>
      </c>
      <c r="B28" s="284" t="s">
        <v>161</v>
      </c>
      <c r="C28" s="284">
        <v>217000000</v>
      </c>
      <c r="D28" s="284">
        <v>248000000</v>
      </c>
      <c r="E28" s="284">
        <v>248000000</v>
      </c>
      <c r="F28" s="284">
        <f t="shared" si="0"/>
        <v>0</v>
      </c>
    </row>
    <row r="29" spans="1:6" ht="24.95" customHeight="1">
      <c r="A29" s="284" t="s">
        <v>282</v>
      </c>
      <c r="B29" s="284" t="s">
        <v>155</v>
      </c>
      <c r="C29" s="336">
        <v>22339840</v>
      </c>
      <c r="D29" s="336">
        <f>C29</f>
        <v>22339840</v>
      </c>
      <c r="E29" s="336">
        <v>30000000</v>
      </c>
      <c r="F29" s="284">
        <f t="shared" si="0"/>
        <v>7660160</v>
      </c>
    </row>
    <row r="30" spans="1:6" ht="24.95" customHeight="1">
      <c r="A30" s="284" t="s">
        <v>283</v>
      </c>
      <c r="B30" s="284" t="s">
        <v>156</v>
      </c>
      <c r="C30" s="336">
        <v>5213600</v>
      </c>
      <c r="D30" s="336">
        <f>C30</f>
        <v>5213600</v>
      </c>
      <c r="E30" s="336">
        <f>D30</f>
        <v>5213600</v>
      </c>
      <c r="F30" s="284">
        <f t="shared" si="0"/>
        <v>0</v>
      </c>
    </row>
    <row r="31" spans="1:6" ht="24.95" customHeight="1">
      <c r="A31" s="284" t="s">
        <v>430</v>
      </c>
      <c r="B31" s="284" t="s">
        <v>629</v>
      </c>
      <c r="C31" s="336" t="s">
        <v>4</v>
      </c>
      <c r="D31" s="336">
        <v>0</v>
      </c>
      <c r="E31" s="336">
        <v>0</v>
      </c>
      <c r="F31" s="284">
        <f t="shared" si="0"/>
        <v>0</v>
      </c>
    </row>
    <row r="32" spans="1:6" ht="24.95" customHeight="1">
      <c r="A32" s="284"/>
      <c r="B32" s="292" t="s">
        <v>119</v>
      </c>
      <c r="C32" s="292">
        <f>SUM(C27:C31)</f>
        <v>244553440</v>
      </c>
      <c r="D32" s="292">
        <f>SUM(D27:D31)</f>
        <v>275553440</v>
      </c>
      <c r="E32" s="292">
        <f>SUM(E27:E31)</f>
        <v>283213600</v>
      </c>
      <c r="F32" s="284">
        <f t="shared" si="0"/>
        <v>7660160</v>
      </c>
    </row>
    <row r="33" spans="1:6" ht="24.95" customHeight="1">
      <c r="A33" s="292" t="s">
        <v>285</v>
      </c>
      <c r="B33" s="292" t="s">
        <v>158</v>
      </c>
      <c r="C33" s="284"/>
      <c r="D33" s="284"/>
      <c r="E33" s="284"/>
      <c r="F33" s="284">
        <f t="shared" si="0"/>
        <v>0</v>
      </c>
    </row>
    <row r="34" spans="1:6" ht="24.95" customHeight="1">
      <c r="A34" s="284" t="s">
        <v>286</v>
      </c>
      <c r="B34" s="284" t="s">
        <v>55</v>
      </c>
      <c r="C34" s="300">
        <v>55708800</v>
      </c>
      <c r="D34" s="300">
        <f t="shared" ref="D34:E36" si="1">C34</f>
        <v>55708800</v>
      </c>
      <c r="E34" s="300">
        <f t="shared" si="1"/>
        <v>55708800</v>
      </c>
      <c r="F34" s="284">
        <f t="shared" si="0"/>
        <v>0</v>
      </c>
    </row>
    <row r="35" spans="1:6" ht="24.95" customHeight="1">
      <c r="A35" s="284" t="s">
        <v>288</v>
      </c>
      <c r="B35" s="284" t="s">
        <v>287</v>
      </c>
      <c r="C35" s="300">
        <v>2083440</v>
      </c>
      <c r="D35" s="300">
        <f t="shared" si="1"/>
        <v>2083440</v>
      </c>
      <c r="E35" s="300">
        <f t="shared" si="1"/>
        <v>2083440</v>
      </c>
      <c r="F35" s="284">
        <f t="shared" si="0"/>
        <v>0</v>
      </c>
    </row>
    <row r="36" spans="1:6" ht="24.95" customHeight="1">
      <c r="A36" s="284" t="s">
        <v>289</v>
      </c>
      <c r="B36" s="284" t="s">
        <v>290</v>
      </c>
      <c r="C36" s="300">
        <v>2085440</v>
      </c>
      <c r="D36" s="300">
        <f t="shared" si="1"/>
        <v>2085440</v>
      </c>
      <c r="E36" s="300">
        <f t="shared" si="1"/>
        <v>2085440</v>
      </c>
      <c r="F36" s="284">
        <f t="shared" si="0"/>
        <v>0</v>
      </c>
    </row>
    <row r="37" spans="1:6" ht="24.95" customHeight="1">
      <c r="A37" s="284"/>
      <c r="B37" s="292" t="s">
        <v>119</v>
      </c>
      <c r="C37" s="627">
        <f>SUM(C34:C36)</f>
        <v>59877680</v>
      </c>
      <c r="D37" s="627">
        <f>SUM(D34:D36)</f>
        <v>59877680</v>
      </c>
      <c r="E37" s="627">
        <f>SUM(E34:E36)</f>
        <v>59877680</v>
      </c>
      <c r="F37" s="284">
        <f t="shared" si="0"/>
        <v>0</v>
      </c>
    </row>
    <row r="38" spans="1:6" ht="24.95" customHeight="1">
      <c r="A38" s="292" t="s">
        <v>293</v>
      </c>
      <c r="B38" s="292" t="s">
        <v>292</v>
      </c>
      <c r="C38" s="300"/>
      <c r="D38" s="300"/>
      <c r="E38" s="300"/>
      <c r="F38" s="284">
        <f t="shared" si="0"/>
        <v>0</v>
      </c>
    </row>
    <row r="39" spans="1:6" ht="24.95" customHeight="1">
      <c r="A39" s="292" t="s">
        <v>294</v>
      </c>
      <c r="B39" s="292" t="s">
        <v>291</v>
      </c>
      <c r="C39" s="300"/>
      <c r="D39" s="300"/>
      <c r="E39" s="300"/>
      <c r="F39" s="284">
        <f t="shared" si="0"/>
        <v>0</v>
      </c>
    </row>
    <row r="40" spans="1:6" ht="24.95" customHeight="1">
      <c r="A40" s="284" t="s">
        <v>389</v>
      </c>
      <c r="B40" s="284" t="s">
        <v>307</v>
      </c>
      <c r="C40" s="300">
        <v>11827200</v>
      </c>
      <c r="D40" s="300">
        <v>0</v>
      </c>
      <c r="E40" s="300">
        <v>0</v>
      </c>
      <c r="F40" s="284">
        <f t="shared" si="0"/>
        <v>0</v>
      </c>
    </row>
    <row r="41" spans="1:6" ht="24.95" customHeight="1">
      <c r="A41" s="284" t="s">
        <v>647</v>
      </c>
      <c r="B41" s="284" t="s">
        <v>728</v>
      </c>
      <c r="C41" s="300">
        <v>72000000</v>
      </c>
      <c r="D41" s="300">
        <v>36000000</v>
      </c>
      <c r="E41" s="300">
        <v>96000000</v>
      </c>
      <c r="F41" s="284">
        <f t="shared" si="0"/>
        <v>60000000</v>
      </c>
    </row>
    <row r="42" spans="1:6" ht="24.95" customHeight="1">
      <c r="A42" s="284" t="s">
        <v>295</v>
      </c>
      <c r="B42" s="284" t="s">
        <v>176</v>
      </c>
      <c r="C42" s="300">
        <v>1564080</v>
      </c>
      <c r="D42" s="300">
        <v>0</v>
      </c>
      <c r="E42" s="300">
        <v>0</v>
      </c>
      <c r="F42" s="284">
        <f t="shared" si="0"/>
        <v>0</v>
      </c>
    </row>
    <row r="43" spans="1:6" ht="24.95" customHeight="1">
      <c r="A43" s="284" t="s">
        <v>296</v>
      </c>
      <c r="B43" s="284" t="s">
        <v>177</v>
      </c>
      <c r="C43" s="300">
        <f>4468800*70%</f>
        <v>3128160</v>
      </c>
      <c r="D43" s="300">
        <v>0</v>
      </c>
      <c r="E43" s="300">
        <v>0</v>
      </c>
      <c r="F43" s="284">
        <f t="shared" si="0"/>
        <v>0</v>
      </c>
    </row>
    <row r="44" spans="1:6" ht="24.95" customHeight="1">
      <c r="A44" s="284" t="s">
        <v>446</v>
      </c>
      <c r="B44" s="284" t="s">
        <v>447</v>
      </c>
      <c r="C44" s="300">
        <v>0</v>
      </c>
      <c r="D44" s="300">
        <v>0</v>
      </c>
      <c r="E44" s="300">
        <v>0</v>
      </c>
      <c r="F44" s="284">
        <f t="shared" si="0"/>
        <v>0</v>
      </c>
    </row>
    <row r="45" spans="1:6" ht="24.95" customHeight="1">
      <c r="A45" s="284"/>
      <c r="B45" s="292" t="s">
        <v>119</v>
      </c>
      <c r="C45" s="627">
        <f>SUM(C40:C43)</f>
        <v>88519440</v>
      </c>
      <c r="D45" s="627">
        <f>SUM(D40:D44)</f>
        <v>36000000</v>
      </c>
      <c r="E45" s="627">
        <f>SUM(E40:E44)</f>
        <v>96000000</v>
      </c>
      <c r="F45" s="284">
        <f t="shared" si="0"/>
        <v>60000000</v>
      </c>
    </row>
    <row r="46" spans="1:6" ht="24.95" customHeight="1">
      <c r="A46" s="284" t="s">
        <v>338</v>
      </c>
      <c r="B46" s="292" t="s">
        <v>683</v>
      </c>
      <c r="C46" s="627"/>
      <c r="D46" s="627"/>
      <c r="E46" s="627"/>
      <c r="F46" s="284">
        <f t="shared" si="0"/>
        <v>0</v>
      </c>
    </row>
    <row r="47" spans="1:6" ht="24.95" customHeight="1">
      <c r="A47" s="284" t="s">
        <v>446</v>
      </c>
      <c r="B47" s="284" t="s">
        <v>734</v>
      </c>
      <c r="C47" s="627">
        <v>0</v>
      </c>
      <c r="D47" s="300">
        <v>472010000</v>
      </c>
      <c r="E47" s="300">
        <v>0</v>
      </c>
      <c r="F47" s="284">
        <f t="shared" si="0"/>
        <v>-472010000</v>
      </c>
    </row>
    <row r="48" spans="1:6" ht="24.95" customHeight="1">
      <c r="A48" s="284"/>
      <c r="B48" s="284" t="s">
        <v>119</v>
      </c>
      <c r="C48" s="627">
        <v>0</v>
      </c>
      <c r="D48" s="627">
        <f>SUM(D47:D47)</f>
        <v>472010000</v>
      </c>
      <c r="E48" s="627">
        <f>SUM(E47:E47)</f>
        <v>0</v>
      </c>
      <c r="F48" s="292">
        <f t="shared" si="0"/>
        <v>-472010000</v>
      </c>
    </row>
    <row r="49" spans="1:6" ht="24.95" customHeight="1">
      <c r="A49" s="284"/>
      <c r="B49" s="292" t="s">
        <v>42</v>
      </c>
      <c r="C49" s="627">
        <f>C45+C37+C32+C25+C7</f>
        <v>2168529407</v>
      </c>
      <c r="D49" s="627">
        <f>D48+D37+D32+D25+D7+D45</f>
        <v>2902062212</v>
      </c>
      <c r="E49" s="627">
        <f>E48+E37+E32+E25+E7+E45</f>
        <v>2810371380</v>
      </c>
      <c r="F49" s="292">
        <f t="shared" si="0"/>
        <v>-91690832</v>
      </c>
    </row>
    <row r="53" spans="1:6" ht="24.95" customHeight="1">
      <c r="B53" s="724"/>
      <c r="C53" s="725"/>
      <c r="D53" s="726"/>
      <c r="E53" s="726"/>
      <c r="F53" s="726"/>
    </row>
    <row r="54" spans="1:6" ht="24.95" customHeight="1">
      <c r="C54" s="725"/>
      <c r="D54" s="536"/>
      <c r="E54" s="536"/>
      <c r="F54" s="536"/>
    </row>
    <row r="55" spans="1:6" ht="24.95" customHeight="1">
      <c r="C55" s="725"/>
      <c r="D55" s="727"/>
      <c r="E55" s="727"/>
      <c r="F55" s="727"/>
    </row>
    <row r="56" spans="1:6" ht="24.95" customHeight="1">
      <c r="D56" s="728" t="s">
        <v>4</v>
      </c>
      <c r="E56" s="728"/>
      <c r="F56" s="728"/>
    </row>
    <row r="58" spans="1:6" ht="24.95" customHeight="1">
      <c r="D58" s="462"/>
      <c r="E58" s="462"/>
      <c r="F58" s="462"/>
    </row>
  </sheetData>
  <pageMargins left="0.7" right="0.7" top="0.75" bottom="0.75" header="0.3" footer="0.3"/>
  <pageSetup scale="55" orientation="portrait" r:id="rId1"/>
  <headerFooter>
    <oddHeader xml:space="preserve">&amp;C&amp;"Times New Roman,Bold"&amp;20Wasaaradda Deegaanka iyo Horumarinta Reermiyiga </oddHeader>
    <oddFooter>&amp;R&amp;"Times New Roman,Bold"&amp;12 53</oddFooter>
  </headerFooter>
  <rowBreaks count="1" manualBreakCount="1">
    <brk id="49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60" workbookViewId="0">
      <selection sqref="A1:XFD1048576"/>
    </sheetView>
  </sheetViews>
  <sheetFormatPr defaultRowHeight="12.75"/>
  <cols>
    <col min="1" max="1" width="19" style="386" bestFit="1" customWidth="1"/>
    <col min="2" max="2" width="83.1640625" style="386" bestFit="1" customWidth="1"/>
    <col min="3" max="3" width="15.33203125" style="386" hidden="1" customWidth="1"/>
    <col min="4" max="5" width="27.6640625" style="386" bestFit="1" customWidth="1"/>
    <col min="6" max="6" width="28.83203125" style="386" bestFit="1" customWidth="1"/>
    <col min="7" max="16384" width="9.33203125" style="386"/>
  </cols>
  <sheetData>
    <row r="1" spans="1:6" ht="29.1" customHeight="1">
      <c r="A1" s="371" t="s">
        <v>44</v>
      </c>
      <c r="B1" s="372" t="s">
        <v>839</v>
      </c>
      <c r="C1" s="372"/>
      <c r="D1" s="292"/>
      <c r="E1" s="292"/>
      <c r="F1" s="292"/>
    </row>
    <row r="2" spans="1:6" ht="29.1" customHeight="1">
      <c r="A2" s="371" t="s">
        <v>248</v>
      </c>
      <c r="B2" s="292" t="s">
        <v>165</v>
      </c>
      <c r="C2" s="292" t="s">
        <v>755</v>
      </c>
      <c r="D2" s="292" t="s">
        <v>641</v>
      </c>
      <c r="E2" s="292" t="s">
        <v>1103</v>
      </c>
      <c r="F2" s="292" t="s">
        <v>63</v>
      </c>
    </row>
    <row r="3" spans="1:6" ht="29.1" customHeight="1">
      <c r="A3" s="371" t="s">
        <v>249</v>
      </c>
      <c r="B3" s="292" t="s">
        <v>250</v>
      </c>
      <c r="C3" s="292"/>
      <c r="D3" s="284"/>
      <c r="E3" s="284"/>
      <c r="F3" s="284"/>
    </row>
    <row r="4" spans="1:6" ht="29.1" customHeight="1">
      <c r="A4" s="283" t="s">
        <v>251</v>
      </c>
      <c r="B4" s="284" t="s">
        <v>507</v>
      </c>
      <c r="C4" s="284">
        <v>0</v>
      </c>
      <c r="D4" s="284">
        <v>587025000</v>
      </c>
      <c r="E4" s="284">
        <v>381600000</v>
      </c>
      <c r="F4" s="284">
        <f>E4-D4</f>
        <v>-205425000</v>
      </c>
    </row>
    <row r="5" spans="1:6" ht="29.1" customHeight="1">
      <c r="A5" s="283" t="s">
        <v>756</v>
      </c>
      <c r="B5" s="284" t="s">
        <v>757</v>
      </c>
      <c r="C5" s="284">
        <v>0</v>
      </c>
      <c r="D5" s="284">
        <v>614250000</v>
      </c>
      <c r="E5" s="284">
        <v>819000000</v>
      </c>
      <c r="F5" s="284">
        <f t="shared" ref="F5:F46" si="0">E5-D5</f>
        <v>204750000</v>
      </c>
    </row>
    <row r="6" spans="1:6" ht="29.1" customHeight="1">
      <c r="A6" s="283" t="s">
        <v>252</v>
      </c>
      <c r="B6" s="284" t="s">
        <v>448</v>
      </c>
      <c r="C6" s="284">
        <v>0</v>
      </c>
      <c r="D6" s="284">
        <v>96000000</v>
      </c>
      <c r="E6" s="284">
        <v>126000000</v>
      </c>
      <c r="F6" s="284">
        <f t="shared" si="0"/>
        <v>30000000</v>
      </c>
    </row>
    <row r="7" spans="1:6" ht="29.1" customHeight="1">
      <c r="A7" s="283"/>
      <c r="B7" s="292" t="s">
        <v>119</v>
      </c>
      <c r="C7" s="284">
        <v>0</v>
      </c>
      <c r="D7" s="292">
        <f>SUM(D4:D6)</f>
        <v>1297275000</v>
      </c>
      <c r="E7" s="292">
        <f>SUM(E4:E6)</f>
        <v>1326600000</v>
      </c>
      <c r="F7" s="292">
        <f t="shared" si="0"/>
        <v>29325000</v>
      </c>
    </row>
    <row r="8" spans="1:6" ht="29.1" customHeight="1">
      <c r="A8" s="371" t="s">
        <v>262</v>
      </c>
      <c r="B8" s="292" t="s">
        <v>263</v>
      </c>
      <c r="C8" s="284">
        <v>0</v>
      </c>
      <c r="D8" s="284"/>
      <c r="E8" s="284"/>
      <c r="F8" s="284">
        <f t="shared" si="0"/>
        <v>0</v>
      </c>
    </row>
    <row r="9" spans="1:6" ht="29.1" customHeight="1">
      <c r="A9" s="371" t="s">
        <v>265</v>
      </c>
      <c r="B9" s="292" t="s">
        <v>264</v>
      </c>
      <c r="C9" s="284">
        <v>0</v>
      </c>
      <c r="D9" s="284"/>
      <c r="E9" s="284"/>
      <c r="F9" s="284">
        <f t="shared" si="0"/>
        <v>0</v>
      </c>
    </row>
    <row r="10" spans="1:6" ht="29.1" customHeight="1">
      <c r="A10" s="283" t="s">
        <v>266</v>
      </c>
      <c r="B10" s="284" t="s">
        <v>38</v>
      </c>
      <c r="C10" s="284">
        <v>0</v>
      </c>
      <c r="D10" s="284">
        <v>283000000</v>
      </c>
      <c r="E10" s="284">
        <v>100000000</v>
      </c>
      <c r="F10" s="284">
        <f t="shared" si="0"/>
        <v>-183000000</v>
      </c>
    </row>
    <row r="11" spans="1:6" ht="29.1" customHeight="1">
      <c r="A11" s="283" t="s">
        <v>267</v>
      </c>
      <c r="B11" s="284" t="s">
        <v>758</v>
      </c>
      <c r="C11" s="284">
        <v>0</v>
      </c>
      <c r="D11" s="284">
        <v>30000000</v>
      </c>
      <c r="E11" s="284">
        <v>0</v>
      </c>
      <c r="F11" s="284">
        <f t="shared" si="0"/>
        <v>-30000000</v>
      </c>
    </row>
    <row r="12" spans="1:6" ht="29.1" customHeight="1">
      <c r="A12" s="283" t="s">
        <v>268</v>
      </c>
      <c r="B12" s="284" t="s">
        <v>153</v>
      </c>
      <c r="C12" s="284">
        <v>0</v>
      </c>
      <c r="D12" s="284">
        <v>20000000</v>
      </c>
      <c r="E12" s="284">
        <v>0</v>
      </c>
      <c r="F12" s="284">
        <f t="shared" si="0"/>
        <v>-20000000</v>
      </c>
    </row>
    <row r="13" spans="1:6" ht="29.1" customHeight="1">
      <c r="A13" s="283" t="s">
        <v>269</v>
      </c>
      <c r="B13" s="284" t="s">
        <v>186</v>
      </c>
      <c r="C13" s="284">
        <v>0</v>
      </c>
      <c r="D13" s="284">
        <v>58384000</v>
      </c>
      <c r="E13" s="284">
        <f>D13</f>
        <v>58384000</v>
      </c>
      <c r="F13" s="284">
        <f t="shared" si="0"/>
        <v>0</v>
      </c>
    </row>
    <row r="14" spans="1:6" ht="29.1" customHeight="1">
      <c r="A14" s="283" t="s">
        <v>270</v>
      </c>
      <c r="B14" s="284" t="s">
        <v>759</v>
      </c>
      <c r="C14" s="284">
        <v>0</v>
      </c>
      <c r="D14" s="284">
        <v>172000000</v>
      </c>
      <c r="E14" s="284">
        <v>72000000</v>
      </c>
      <c r="F14" s="284">
        <f t="shared" si="0"/>
        <v>-100000000</v>
      </c>
    </row>
    <row r="15" spans="1:6" ht="29.1" customHeight="1">
      <c r="A15" s="283" t="s">
        <v>271</v>
      </c>
      <c r="B15" s="284" t="s">
        <v>154</v>
      </c>
      <c r="C15" s="284">
        <v>0</v>
      </c>
      <c r="D15" s="284">
        <v>28000000</v>
      </c>
      <c r="E15" s="284">
        <v>0</v>
      </c>
      <c r="F15" s="284">
        <f t="shared" si="0"/>
        <v>-28000000</v>
      </c>
    </row>
    <row r="16" spans="1:6" ht="29.1" customHeight="1">
      <c r="A16" s="283" t="s">
        <v>272</v>
      </c>
      <c r="B16" s="284" t="s">
        <v>54</v>
      </c>
      <c r="C16" s="284">
        <v>0</v>
      </c>
      <c r="D16" s="284">
        <v>35500000</v>
      </c>
      <c r="E16" s="284">
        <v>0</v>
      </c>
      <c r="F16" s="284">
        <f t="shared" si="0"/>
        <v>-35500000</v>
      </c>
    </row>
    <row r="17" spans="1:6" ht="29.1" customHeight="1">
      <c r="A17" s="283" t="s">
        <v>273</v>
      </c>
      <c r="B17" s="284" t="s">
        <v>760</v>
      </c>
      <c r="C17" s="284">
        <v>0</v>
      </c>
      <c r="D17" s="284">
        <v>59000000</v>
      </c>
      <c r="E17" s="284">
        <f>D17</f>
        <v>59000000</v>
      </c>
      <c r="F17" s="284">
        <f t="shared" si="0"/>
        <v>0</v>
      </c>
    </row>
    <row r="18" spans="1:6" ht="29.1" customHeight="1">
      <c r="A18" s="283" t="s">
        <v>274</v>
      </c>
      <c r="B18" s="284" t="s">
        <v>164</v>
      </c>
      <c r="C18" s="284">
        <v>0</v>
      </c>
      <c r="D18" s="284">
        <v>30000000</v>
      </c>
      <c r="E18" s="284">
        <f>D18</f>
        <v>30000000</v>
      </c>
      <c r="F18" s="284">
        <f t="shared" si="0"/>
        <v>0</v>
      </c>
    </row>
    <row r="19" spans="1:6" ht="29.1" customHeight="1">
      <c r="A19" s="283" t="s">
        <v>275</v>
      </c>
      <c r="B19" s="284" t="s">
        <v>40</v>
      </c>
      <c r="C19" s="284">
        <v>0</v>
      </c>
      <c r="D19" s="284">
        <v>62200000</v>
      </c>
      <c r="E19" s="284">
        <f>D19</f>
        <v>62200000</v>
      </c>
      <c r="F19" s="284">
        <f t="shared" si="0"/>
        <v>0</v>
      </c>
    </row>
    <row r="20" spans="1:6" ht="29.1" customHeight="1">
      <c r="A20" s="283" t="s">
        <v>330</v>
      </c>
      <c r="B20" s="284" t="s">
        <v>761</v>
      </c>
      <c r="C20" s="284">
        <v>0</v>
      </c>
      <c r="D20" s="284">
        <v>5000000</v>
      </c>
      <c r="E20" s="284">
        <v>0</v>
      </c>
      <c r="F20" s="284">
        <f t="shared" si="0"/>
        <v>-5000000</v>
      </c>
    </row>
    <row r="21" spans="1:6" ht="29.1" customHeight="1">
      <c r="A21" s="283" t="s">
        <v>1164</v>
      </c>
      <c r="B21" s="284" t="s">
        <v>840</v>
      </c>
      <c r="C21" s="284">
        <v>0</v>
      </c>
      <c r="D21" s="284">
        <v>100000000</v>
      </c>
      <c r="E21" s="284">
        <v>0</v>
      </c>
      <c r="F21" s="284">
        <f t="shared" si="0"/>
        <v>-100000000</v>
      </c>
    </row>
    <row r="22" spans="1:6" ht="29.1" customHeight="1">
      <c r="A22" s="283" t="s">
        <v>733</v>
      </c>
      <c r="B22" s="284" t="s">
        <v>1147</v>
      </c>
      <c r="C22" s="284"/>
      <c r="D22" s="284">
        <v>0</v>
      </c>
      <c r="E22" s="284">
        <v>350000000</v>
      </c>
      <c r="F22" s="284">
        <f t="shared" si="0"/>
        <v>350000000</v>
      </c>
    </row>
    <row r="23" spans="1:6" ht="29.1" customHeight="1">
      <c r="A23" s="283"/>
      <c r="B23" s="292" t="s">
        <v>119</v>
      </c>
      <c r="C23" s="284">
        <v>0</v>
      </c>
      <c r="D23" s="292">
        <f>SUM(D10:D22)</f>
        <v>883084000</v>
      </c>
      <c r="E23" s="292">
        <f>SUM(E10:E22)</f>
        <v>731584000</v>
      </c>
      <c r="F23" s="292">
        <f>E23-D23</f>
        <v>-151500000</v>
      </c>
    </row>
    <row r="24" spans="1:6" ht="29.1" customHeight="1">
      <c r="A24" s="371" t="s">
        <v>279</v>
      </c>
      <c r="B24" s="292" t="s">
        <v>278</v>
      </c>
      <c r="C24" s="284">
        <v>0</v>
      </c>
      <c r="D24" s="284"/>
      <c r="E24" s="284"/>
      <c r="F24" s="284">
        <f t="shared" si="0"/>
        <v>0</v>
      </c>
    </row>
    <row r="25" spans="1:6" ht="29.1" customHeight="1">
      <c r="A25" s="283" t="s">
        <v>280</v>
      </c>
      <c r="B25" s="284" t="s">
        <v>160</v>
      </c>
      <c r="C25" s="284">
        <v>0</v>
      </c>
      <c r="D25" s="284">
        <v>0</v>
      </c>
      <c r="E25" s="284">
        <v>0</v>
      </c>
      <c r="F25" s="284">
        <f t="shared" si="0"/>
        <v>0</v>
      </c>
    </row>
    <row r="26" spans="1:6" ht="29.1" customHeight="1">
      <c r="A26" s="283" t="s">
        <v>281</v>
      </c>
      <c r="B26" s="284" t="s">
        <v>161</v>
      </c>
      <c r="C26" s="284">
        <v>0</v>
      </c>
      <c r="D26" s="284">
        <v>176000000</v>
      </c>
      <c r="E26" s="284">
        <f>D26</f>
        <v>176000000</v>
      </c>
      <c r="F26" s="284">
        <f t="shared" si="0"/>
        <v>0</v>
      </c>
    </row>
    <row r="27" spans="1:6" ht="29.1" customHeight="1">
      <c r="A27" s="283" t="s">
        <v>857</v>
      </c>
      <c r="B27" s="284" t="s">
        <v>858</v>
      </c>
      <c r="C27" s="284"/>
      <c r="D27" s="284">
        <v>317520000</v>
      </c>
      <c r="E27" s="284">
        <v>0</v>
      </c>
      <c r="F27" s="284">
        <f t="shared" si="0"/>
        <v>-317520000</v>
      </c>
    </row>
    <row r="28" spans="1:6" ht="29.1" customHeight="1">
      <c r="A28" s="283" t="s">
        <v>282</v>
      </c>
      <c r="B28" s="284" t="s">
        <v>155</v>
      </c>
      <c r="C28" s="284">
        <v>0</v>
      </c>
      <c r="D28" s="284">
        <v>44000000</v>
      </c>
      <c r="E28" s="284">
        <f>D28</f>
        <v>44000000</v>
      </c>
      <c r="F28" s="284">
        <f t="shared" si="0"/>
        <v>0</v>
      </c>
    </row>
    <row r="29" spans="1:6" ht="29.1" customHeight="1">
      <c r="A29" s="283" t="s">
        <v>283</v>
      </c>
      <c r="B29" s="284" t="s">
        <v>156</v>
      </c>
      <c r="C29" s="284">
        <v>0</v>
      </c>
      <c r="D29" s="284">
        <v>10800000</v>
      </c>
      <c r="E29" s="284">
        <v>0</v>
      </c>
      <c r="F29" s="284">
        <f t="shared" si="0"/>
        <v>-10800000</v>
      </c>
    </row>
    <row r="30" spans="1:6" ht="29.1" customHeight="1">
      <c r="A30" s="283" t="s">
        <v>603</v>
      </c>
      <c r="B30" s="284" t="s">
        <v>762</v>
      </c>
      <c r="C30" s="284">
        <v>0</v>
      </c>
      <c r="D30" s="284">
        <v>0</v>
      </c>
      <c r="E30" s="284">
        <v>0</v>
      </c>
      <c r="F30" s="284">
        <f t="shared" si="0"/>
        <v>0</v>
      </c>
    </row>
    <row r="31" spans="1:6" ht="29.1" customHeight="1">
      <c r="A31" s="283" t="s">
        <v>763</v>
      </c>
      <c r="B31" s="284" t="s">
        <v>764</v>
      </c>
      <c r="C31" s="284">
        <v>0</v>
      </c>
      <c r="D31" s="284">
        <v>0</v>
      </c>
      <c r="E31" s="284">
        <v>0</v>
      </c>
      <c r="F31" s="284">
        <f t="shared" si="0"/>
        <v>0</v>
      </c>
    </row>
    <row r="32" spans="1:6" ht="29.1" customHeight="1">
      <c r="A32" s="283" t="s">
        <v>765</v>
      </c>
      <c r="B32" s="284" t="s">
        <v>314</v>
      </c>
      <c r="C32" s="284">
        <v>0</v>
      </c>
      <c r="D32" s="284">
        <v>0</v>
      </c>
      <c r="E32" s="284">
        <v>0</v>
      </c>
      <c r="F32" s="284">
        <f t="shared" si="0"/>
        <v>0</v>
      </c>
    </row>
    <row r="33" spans="1:6" ht="29.1" customHeight="1">
      <c r="A33" s="283"/>
      <c r="B33" s="292" t="s">
        <v>119</v>
      </c>
      <c r="C33" s="284">
        <v>0</v>
      </c>
      <c r="D33" s="292">
        <f>SUM(D25:D32)</f>
        <v>548320000</v>
      </c>
      <c r="E33" s="292">
        <f>SUM(E25:E32)</f>
        <v>220000000</v>
      </c>
      <c r="F33" s="292">
        <f t="shared" si="0"/>
        <v>-328320000</v>
      </c>
    </row>
    <row r="34" spans="1:6" ht="29.1" customHeight="1">
      <c r="A34" s="371" t="s">
        <v>285</v>
      </c>
      <c r="B34" s="292" t="s">
        <v>158</v>
      </c>
      <c r="C34" s="284">
        <v>0</v>
      </c>
      <c r="D34" s="284"/>
      <c r="E34" s="284"/>
      <c r="F34" s="284">
        <f t="shared" si="0"/>
        <v>0</v>
      </c>
    </row>
    <row r="35" spans="1:6" ht="29.1" customHeight="1">
      <c r="A35" s="283" t="s">
        <v>286</v>
      </c>
      <c r="B35" s="284" t="s">
        <v>55</v>
      </c>
      <c r="C35" s="284">
        <v>0</v>
      </c>
      <c r="D35" s="284">
        <v>40000000</v>
      </c>
      <c r="E35" s="284">
        <v>20000000</v>
      </c>
      <c r="F35" s="284">
        <f t="shared" si="0"/>
        <v>-20000000</v>
      </c>
    </row>
    <row r="36" spans="1:6" ht="29.1" customHeight="1">
      <c r="A36" s="283" t="s">
        <v>288</v>
      </c>
      <c r="B36" s="284" t="s">
        <v>287</v>
      </c>
      <c r="C36" s="284">
        <v>0</v>
      </c>
      <c r="D36" s="284">
        <v>6000000</v>
      </c>
      <c r="E36" s="284">
        <v>0</v>
      </c>
      <c r="F36" s="284">
        <f t="shared" si="0"/>
        <v>-6000000</v>
      </c>
    </row>
    <row r="37" spans="1:6" ht="29.1" customHeight="1">
      <c r="A37" s="283" t="s">
        <v>766</v>
      </c>
      <c r="B37" s="284" t="s">
        <v>767</v>
      </c>
      <c r="C37" s="284">
        <v>0</v>
      </c>
      <c r="D37" s="284">
        <v>4000000</v>
      </c>
      <c r="E37" s="284">
        <v>0</v>
      </c>
      <c r="F37" s="284">
        <f t="shared" si="0"/>
        <v>-4000000</v>
      </c>
    </row>
    <row r="38" spans="1:6" ht="29.1" customHeight="1">
      <c r="A38" s="283"/>
      <c r="B38" s="292" t="s">
        <v>119</v>
      </c>
      <c r="C38" s="284">
        <v>0</v>
      </c>
      <c r="D38" s="292">
        <f>SUM(D35:D37)</f>
        <v>50000000</v>
      </c>
      <c r="E38" s="292">
        <f>SUM(E35:E37)</f>
        <v>20000000</v>
      </c>
      <c r="F38" s="292">
        <f t="shared" si="0"/>
        <v>-30000000</v>
      </c>
    </row>
    <row r="39" spans="1:6" ht="29.1" customHeight="1">
      <c r="A39" s="371" t="s">
        <v>293</v>
      </c>
      <c r="B39" s="292" t="s">
        <v>292</v>
      </c>
      <c r="C39" s="284">
        <v>0</v>
      </c>
      <c r="D39" s="284"/>
      <c r="E39" s="284"/>
      <c r="F39" s="284">
        <f t="shared" si="0"/>
        <v>0</v>
      </c>
    </row>
    <row r="40" spans="1:6" ht="29.1" customHeight="1">
      <c r="A40" s="371" t="s">
        <v>294</v>
      </c>
      <c r="B40" s="292" t="s">
        <v>291</v>
      </c>
      <c r="C40" s="284">
        <v>0</v>
      </c>
      <c r="D40" s="284"/>
      <c r="E40" s="284"/>
      <c r="F40" s="284">
        <f t="shared" si="0"/>
        <v>0</v>
      </c>
    </row>
    <row r="41" spans="1:6" ht="29.1" customHeight="1">
      <c r="A41" s="283" t="s">
        <v>389</v>
      </c>
      <c r="B41" s="284" t="s">
        <v>307</v>
      </c>
      <c r="C41" s="284">
        <v>0</v>
      </c>
      <c r="D41" s="284">
        <v>60000000</v>
      </c>
      <c r="E41" s="284"/>
      <c r="F41" s="284">
        <f t="shared" si="0"/>
        <v>-60000000</v>
      </c>
    </row>
    <row r="42" spans="1:6" ht="29.1" customHeight="1">
      <c r="A42" s="283" t="s">
        <v>388</v>
      </c>
      <c r="B42" s="284" t="s">
        <v>309</v>
      </c>
      <c r="C42" s="284">
        <v>0</v>
      </c>
      <c r="D42" s="284">
        <v>0</v>
      </c>
      <c r="E42" s="284">
        <v>0</v>
      </c>
      <c r="F42" s="284">
        <f t="shared" si="0"/>
        <v>0</v>
      </c>
    </row>
    <row r="43" spans="1:6" ht="29.1" customHeight="1">
      <c r="A43" s="283" t="s">
        <v>295</v>
      </c>
      <c r="B43" s="284" t="s">
        <v>176</v>
      </c>
      <c r="C43" s="284">
        <v>0</v>
      </c>
      <c r="D43" s="284">
        <v>4000000</v>
      </c>
      <c r="E43" s="284">
        <f>D43</f>
        <v>4000000</v>
      </c>
      <c r="F43" s="284">
        <f t="shared" si="0"/>
        <v>0</v>
      </c>
    </row>
    <row r="44" spans="1:6" ht="29.1" customHeight="1">
      <c r="A44" s="283" t="s">
        <v>501</v>
      </c>
      <c r="B44" s="284" t="s">
        <v>768</v>
      </c>
      <c r="C44" s="284">
        <v>0</v>
      </c>
      <c r="D44" s="284">
        <v>7941000</v>
      </c>
      <c r="E44" s="284">
        <f>D44</f>
        <v>7941000</v>
      </c>
      <c r="F44" s="284">
        <f t="shared" si="0"/>
        <v>0</v>
      </c>
    </row>
    <row r="45" spans="1:6" ht="29.1" customHeight="1">
      <c r="A45" s="283"/>
      <c r="B45" s="292" t="s">
        <v>119</v>
      </c>
      <c r="C45" s="284">
        <v>0</v>
      </c>
      <c r="D45" s="292">
        <f>SUM(D41:D44)</f>
        <v>71941000</v>
      </c>
      <c r="E45" s="292">
        <f>SUM(E41:E44)</f>
        <v>11941000</v>
      </c>
      <c r="F45" s="292">
        <f t="shared" si="0"/>
        <v>-60000000</v>
      </c>
    </row>
    <row r="46" spans="1:6" ht="29.1" customHeight="1" thickBot="1">
      <c r="A46" s="428"/>
      <c r="B46" s="405" t="s">
        <v>42</v>
      </c>
      <c r="C46" s="284">
        <v>0</v>
      </c>
      <c r="D46" s="405">
        <f>D45+D38+D33+D23+D7</f>
        <v>2850620000</v>
      </c>
      <c r="E46" s="405">
        <f>E45+E38+E33+E23+E7</f>
        <v>2310125000</v>
      </c>
      <c r="F46" s="405">
        <f t="shared" si="0"/>
        <v>-540495000</v>
      </c>
    </row>
  </sheetData>
  <pageMargins left="0.7" right="0.7" top="0.75" bottom="0.75" header="0.3" footer="0.3"/>
  <pageSetup scale="50" orientation="portrait" r:id="rId1"/>
  <headerFooter>
    <oddHeader xml:space="preserve">&amp;C&amp;36 42 Xafiiska Furashada Ururada&amp;10 </oddHeader>
    <oddFooter>&amp;R&amp;"Times New Roman,Bold"&amp;12 54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zoomScaleNormal="69" workbookViewId="0">
      <selection sqref="A1:XFD1048576"/>
    </sheetView>
  </sheetViews>
  <sheetFormatPr defaultRowHeight="20.25"/>
  <cols>
    <col min="1" max="1" width="15.5" style="647" bestFit="1" customWidth="1"/>
    <col min="2" max="2" width="77.6640625" style="647" bestFit="1" customWidth="1"/>
    <col min="3" max="4" width="18.83203125" style="647" hidden="1" customWidth="1"/>
    <col min="5" max="14" width="9.33203125" style="647" hidden="1" customWidth="1"/>
    <col min="15" max="15" width="24.5" style="647" bestFit="1" customWidth="1"/>
    <col min="16" max="16" width="29.83203125" style="647" bestFit="1" customWidth="1"/>
    <col min="17" max="17" width="21.5" style="647" hidden="1" customWidth="1"/>
    <col min="18" max="18" width="26.33203125" style="708" customWidth="1"/>
    <col min="19" max="16384" width="9.33203125" style="647"/>
  </cols>
  <sheetData>
    <row r="1" spans="1:18" ht="27" customHeight="1">
      <c r="A1" s="373" t="s">
        <v>45</v>
      </c>
      <c r="B1" s="443" t="s">
        <v>1150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292"/>
      <c r="R1" s="292"/>
    </row>
    <row r="2" spans="1:18" ht="27" customHeight="1">
      <c r="A2" s="292" t="s">
        <v>248</v>
      </c>
      <c r="B2" s="292" t="s">
        <v>165</v>
      </c>
      <c r="C2" s="373" t="s">
        <v>43</v>
      </c>
      <c r="D2" s="378" t="s">
        <v>2</v>
      </c>
      <c r="E2" s="378" t="s">
        <v>48</v>
      </c>
      <c r="F2" s="378" t="s">
        <v>52</v>
      </c>
      <c r="G2" s="378" t="s">
        <v>62</v>
      </c>
      <c r="H2" s="378" t="s">
        <v>69</v>
      </c>
      <c r="I2" s="378" t="s">
        <v>130</v>
      </c>
      <c r="J2" s="378" t="s">
        <v>135</v>
      </c>
      <c r="K2" s="378" t="s">
        <v>143</v>
      </c>
      <c r="L2" s="378" t="s">
        <v>180</v>
      </c>
      <c r="M2" s="378" t="s">
        <v>297</v>
      </c>
      <c r="N2" s="378" t="s">
        <v>641</v>
      </c>
      <c r="O2" s="378" t="s">
        <v>644</v>
      </c>
      <c r="P2" s="378" t="s">
        <v>1111</v>
      </c>
      <c r="Q2" s="271" t="s">
        <v>63</v>
      </c>
      <c r="R2" s="271" t="s">
        <v>63</v>
      </c>
    </row>
    <row r="3" spans="1:18" ht="27" customHeight="1">
      <c r="A3" s="292" t="s">
        <v>249</v>
      </c>
      <c r="B3" s="292" t="s">
        <v>250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284"/>
      <c r="R3" s="284"/>
    </row>
    <row r="4" spans="1:18" ht="27" customHeight="1">
      <c r="A4" s="284" t="s">
        <v>247</v>
      </c>
      <c r="B4" s="284" t="s">
        <v>32</v>
      </c>
      <c r="C4" s="335"/>
      <c r="D4" s="335"/>
      <c r="E4" s="335"/>
      <c r="F4" s="335"/>
      <c r="G4" s="335"/>
      <c r="H4" s="335"/>
      <c r="I4" s="360">
        <v>321389200</v>
      </c>
      <c r="J4" s="607">
        <f>348925200+54000000+6000000</f>
        <v>408925200</v>
      </c>
      <c r="K4" s="607">
        <f>408925200+12000000+4149600+936000-936000+1887600</f>
        <v>426962400</v>
      </c>
      <c r="L4" s="607">
        <v>731890800</v>
      </c>
      <c r="M4" s="607">
        <f>'shaq,3'!H30+36000000+64740000</f>
        <v>1238292000</v>
      </c>
      <c r="N4" s="607">
        <v>1285471200</v>
      </c>
      <c r="O4" s="664">
        <v>0</v>
      </c>
      <c r="P4" s="362">
        <v>265356000</v>
      </c>
      <c r="Q4" s="664">
        <f>P4-N4</f>
        <v>-1020115200</v>
      </c>
      <c r="R4" s="362">
        <f>P4-O4</f>
        <v>265356000</v>
      </c>
    </row>
    <row r="5" spans="1:18" ht="27" customHeight="1">
      <c r="A5" s="284" t="s">
        <v>251</v>
      </c>
      <c r="B5" s="284" t="s">
        <v>33</v>
      </c>
      <c r="C5" s="284">
        <v>7553000</v>
      </c>
      <c r="D5" s="284">
        <v>0</v>
      </c>
      <c r="E5" s="284">
        <v>0</v>
      </c>
      <c r="F5" s="284">
        <v>45000000</v>
      </c>
      <c r="G5" s="284">
        <f>F5</f>
        <v>45000000</v>
      </c>
      <c r="H5" s="284">
        <v>45000000</v>
      </c>
      <c r="I5" s="284">
        <v>0</v>
      </c>
      <c r="J5" s="362">
        <v>0</v>
      </c>
      <c r="K5" s="362">
        <v>0</v>
      </c>
      <c r="L5" s="362">
        <v>45000000</v>
      </c>
      <c r="M5" s="362">
        <f>L5*200%</f>
        <v>90000000</v>
      </c>
      <c r="N5" s="362">
        <v>187200000</v>
      </c>
      <c r="O5" s="362">
        <v>0</v>
      </c>
      <c r="P5" s="362">
        <v>187200000</v>
      </c>
      <c r="Q5" s="362">
        <f t="shared" ref="Q5:Q41" si="0">P5-N5</f>
        <v>0</v>
      </c>
      <c r="R5" s="362">
        <f t="shared" ref="R5:R41" si="1">P5-O5</f>
        <v>187200000</v>
      </c>
    </row>
    <row r="6" spans="1:18" ht="27" customHeight="1">
      <c r="A6" s="284" t="s">
        <v>252</v>
      </c>
      <c r="B6" s="284" t="s">
        <v>34</v>
      </c>
      <c r="C6" s="284">
        <v>8400000</v>
      </c>
      <c r="D6" s="284">
        <v>10800000</v>
      </c>
      <c r="E6" s="284">
        <v>10800000</v>
      </c>
      <c r="F6" s="284">
        <v>21600000</v>
      </c>
      <c r="G6" s="284">
        <v>33288000</v>
      </c>
      <c r="H6" s="284">
        <v>33288000</v>
      </c>
      <c r="I6" s="284">
        <v>32400000</v>
      </c>
      <c r="J6" s="362">
        <f>30888000+32400000+1440000</f>
        <v>64728000</v>
      </c>
      <c r="K6" s="362">
        <f>64728000+1440000+7920000</f>
        <v>74088000</v>
      </c>
      <c r="L6" s="362">
        <v>166968000</v>
      </c>
      <c r="M6" s="362">
        <v>166968000</v>
      </c>
      <c r="N6" s="362">
        <v>231768000</v>
      </c>
      <c r="O6" s="362">
        <v>0</v>
      </c>
      <c r="P6" s="362">
        <v>153314400</v>
      </c>
      <c r="Q6" s="362">
        <f t="shared" si="0"/>
        <v>-78453600</v>
      </c>
      <c r="R6" s="362">
        <f t="shared" si="1"/>
        <v>153314400</v>
      </c>
    </row>
    <row r="7" spans="1:18" ht="27" customHeight="1">
      <c r="A7" s="284" t="s">
        <v>676</v>
      </c>
      <c r="B7" s="284" t="s">
        <v>775</v>
      </c>
      <c r="C7" s="284"/>
      <c r="D7" s="284"/>
      <c r="E7" s="284"/>
      <c r="F7" s="284"/>
      <c r="G7" s="284"/>
      <c r="H7" s="284"/>
      <c r="I7" s="284"/>
      <c r="J7" s="362"/>
      <c r="K7" s="362"/>
      <c r="L7" s="362"/>
      <c r="M7" s="362">
        <v>834000000</v>
      </c>
      <c r="N7" s="362">
        <f>M7</f>
        <v>834000000</v>
      </c>
      <c r="O7" s="362">
        <v>0</v>
      </c>
      <c r="P7" s="362">
        <v>172800000</v>
      </c>
      <c r="Q7" s="362">
        <f t="shared" si="0"/>
        <v>-661200000</v>
      </c>
      <c r="R7" s="362">
        <f t="shared" si="1"/>
        <v>172800000</v>
      </c>
    </row>
    <row r="8" spans="1:18" ht="27" customHeight="1">
      <c r="A8" s="284"/>
      <c r="B8" s="292" t="s">
        <v>119</v>
      </c>
      <c r="C8" s="284">
        <v>32399990</v>
      </c>
      <c r="D8" s="284">
        <v>2895816</v>
      </c>
      <c r="E8" s="284">
        <v>2895816</v>
      </c>
      <c r="F8" s="284">
        <v>6655816</v>
      </c>
      <c r="G8" s="284">
        <v>59200000</v>
      </c>
      <c r="H8" s="284">
        <v>74000000</v>
      </c>
      <c r="I8" s="284">
        <v>55115200</v>
      </c>
      <c r="J8" s="362">
        <v>55000000</v>
      </c>
      <c r="K8" s="362">
        <v>39873274</v>
      </c>
      <c r="L8" s="382">
        <f>SUM(L4:L6)</f>
        <v>943858800</v>
      </c>
      <c r="M8" s="382">
        <f>SUM(M3:M7)</f>
        <v>2329260000</v>
      </c>
      <c r="N8" s="382">
        <f>SUM(N4:N7)</f>
        <v>2538439200</v>
      </c>
      <c r="O8" s="382">
        <v>0</v>
      </c>
      <c r="P8" s="382">
        <f>SUM(P4:P7)</f>
        <v>778670400</v>
      </c>
      <c r="Q8" s="362">
        <f t="shared" si="0"/>
        <v>-1759768800</v>
      </c>
      <c r="R8" s="362">
        <f t="shared" si="1"/>
        <v>778670400</v>
      </c>
    </row>
    <row r="9" spans="1:18" ht="27" customHeight="1">
      <c r="A9" s="292" t="s">
        <v>262</v>
      </c>
      <c r="B9" s="292" t="s">
        <v>263</v>
      </c>
      <c r="C9" s="284">
        <v>0</v>
      </c>
      <c r="D9" s="284">
        <v>0</v>
      </c>
      <c r="E9" s="284">
        <v>0</v>
      </c>
      <c r="F9" s="284">
        <v>0</v>
      </c>
      <c r="G9" s="284">
        <v>16000000</v>
      </c>
      <c r="H9" s="284">
        <v>20000000</v>
      </c>
      <c r="I9" s="284">
        <v>14896000</v>
      </c>
      <c r="J9" s="362">
        <v>25000000</v>
      </c>
      <c r="K9" s="362">
        <v>7448000</v>
      </c>
      <c r="L9" s="362"/>
      <c r="M9" s="362"/>
      <c r="N9" s="362"/>
      <c r="O9" s="362">
        <v>0</v>
      </c>
      <c r="P9" s="362">
        <v>0</v>
      </c>
      <c r="Q9" s="362">
        <f t="shared" si="0"/>
        <v>0</v>
      </c>
      <c r="R9" s="362">
        <f t="shared" si="1"/>
        <v>0</v>
      </c>
    </row>
    <row r="10" spans="1:18" ht="27" customHeight="1">
      <c r="A10" s="292" t="s">
        <v>265</v>
      </c>
      <c r="B10" s="292" t="s">
        <v>264</v>
      </c>
      <c r="C10" s="284"/>
      <c r="D10" s="284"/>
      <c r="E10" s="284"/>
      <c r="F10" s="284"/>
      <c r="G10" s="284"/>
      <c r="H10" s="284"/>
      <c r="I10" s="284"/>
      <c r="J10" s="362"/>
      <c r="K10" s="362">
        <v>9682400</v>
      </c>
      <c r="L10" s="362"/>
      <c r="M10" s="362"/>
      <c r="N10" s="362"/>
      <c r="O10" s="362">
        <v>0</v>
      </c>
      <c r="P10" s="362"/>
      <c r="Q10" s="362">
        <f t="shared" si="0"/>
        <v>0</v>
      </c>
      <c r="R10" s="362">
        <f t="shared" si="1"/>
        <v>0</v>
      </c>
    </row>
    <row r="11" spans="1:18" ht="27" customHeight="1">
      <c r="A11" s="284" t="s">
        <v>266</v>
      </c>
      <c r="B11" s="284" t="s">
        <v>38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362">
        <v>0</v>
      </c>
      <c r="K11" s="362">
        <v>14896000</v>
      </c>
      <c r="L11" s="362">
        <v>30906200</v>
      </c>
      <c r="M11" s="362">
        <f>30906200*70%+20000000</f>
        <v>41634340</v>
      </c>
      <c r="N11" s="362">
        <f>30906200*70%+20000000</f>
        <v>41634340</v>
      </c>
      <c r="O11" s="362">
        <v>0</v>
      </c>
      <c r="P11" s="362">
        <v>30000000</v>
      </c>
      <c r="Q11" s="362">
        <f t="shared" si="0"/>
        <v>-11634340</v>
      </c>
      <c r="R11" s="362">
        <f t="shared" si="1"/>
        <v>30000000</v>
      </c>
    </row>
    <row r="12" spans="1:18" ht="27" customHeight="1">
      <c r="A12" s="284" t="s">
        <v>269</v>
      </c>
      <c r="B12" s="284" t="s">
        <v>186</v>
      </c>
      <c r="C12" s="284"/>
      <c r="D12" s="284"/>
      <c r="E12" s="284"/>
      <c r="F12" s="284"/>
      <c r="G12" s="284"/>
      <c r="H12" s="284"/>
      <c r="I12" s="284"/>
      <c r="J12" s="362"/>
      <c r="K12" s="362">
        <v>115000000</v>
      </c>
      <c r="L12" s="362">
        <v>118865600</v>
      </c>
      <c r="M12" s="362">
        <f>83205920+20000000</f>
        <v>103205920</v>
      </c>
      <c r="N12" s="362">
        <f>83205920+20000000</f>
        <v>103205920</v>
      </c>
      <c r="O12" s="362">
        <v>0</v>
      </c>
      <c r="P12" s="362">
        <v>16000000</v>
      </c>
      <c r="Q12" s="362">
        <f t="shared" si="0"/>
        <v>-87205920</v>
      </c>
      <c r="R12" s="362">
        <f t="shared" si="1"/>
        <v>16000000</v>
      </c>
    </row>
    <row r="13" spans="1:18" ht="27" customHeight="1">
      <c r="A13" s="284" t="s">
        <v>270</v>
      </c>
      <c r="B13" s="284" t="s">
        <v>163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20000000</v>
      </c>
      <c r="I13" s="284">
        <v>0</v>
      </c>
      <c r="J13" s="362">
        <v>20000000</v>
      </c>
      <c r="K13" s="362">
        <v>0</v>
      </c>
      <c r="L13" s="362">
        <v>11954040</v>
      </c>
      <c r="M13" s="362">
        <f>11954040*70%</f>
        <v>8367827.9999999991</v>
      </c>
      <c r="N13" s="362">
        <f>11954040*70%</f>
        <v>8367827.9999999991</v>
      </c>
      <c r="O13" s="362">
        <v>0</v>
      </c>
      <c r="P13" s="362">
        <v>0</v>
      </c>
      <c r="Q13" s="362">
        <f t="shared" si="0"/>
        <v>-8367827.9999999991</v>
      </c>
      <c r="R13" s="362">
        <f t="shared" si="1"/>
        <v>0</v>
      </c>
    </row>
    <row r="14" spans="1:18" ht="27" customHeight="1">
      <c r="A14" s="284" t="s">
        <v>271</v>
      </c>
      <c r="B14" s="284" t="s">
        <v>154</v>
      </c>
      <c r="C14" s="284"/>
      <c r="D14" s="284">
        <v>0</v>
      </c>
      <c r="E14" s="284">
        <v>0</v>
      </c>
      <c r="F14" s="284">
        <v>22500000</v>
      </c>
      <c r="G14" s="284">
        <v>0</v>
      </c>
      <c r="H14" s="284">
        <v>40000000</v>
      </c>
      <c r="I14" s="284">
        <v>0</v>
      </c>
      <c r="J14" s="362">
        <v>0</v>
      </c>
      <c r="K14" s="362">
        <v>0</v>
      </c>
      <c r="L14" s="362">
        <v>12289200</v>
      </c>
      <c r="M14" s="362">
        <f>12289200*70%+15000000</f>
        <v>23602440</v>
      </c>
      <c r="N14" s="362">
        <v>0</v>
      </c>
      <c r="O14" s="362">
        <v>0</v>
      </c>
      <c r="P14" s="362">
        <v>0</v>
      </c>
      <c r="Q14" s="362">
        <f t="shared" si="0"/>
        <v>0</v>
      </c>
      <c r="R14" s="362">
        <f t="shared" si="1"/>
        <v>0</v>
      </c>
    </row>
    <row r="15" spans="1:18" ht="27" customHeight="1">
      <c r="A15" s="284" t="s">
        <v>272</v>
      </c>
      <c r="B15" s="284" t="s">
        <v>54</v>
      </c>
      <c r="C15" s="284"/>
      <c r="D15" s="284"/>
      <c r="E15" s="284"/>
      <c r="F15" s="284"/>
      <c r="G15" s="284"/>
      <c r="H15" s="284"/>
      <c r="I15" s="284"/>
      <c r="J15" s="362"/>
      <c r="K15" s="362">
        <v>5958400</v>
      </c>
      <c r="L15" s="362">
        <v>60716400</v>
      </c>
      <c r="M15" s="362">
        <f>42501480+10000000</f>
        <v>52501480</v>
      </c>
      <c r="N15" s="362">
        <f>M15*70%</f>
        <v>36751036</v>
      </c>
      <c r="O15" s="362">
        <v>0</v>
      </c>
      <c r="P15" s="362">
        <v>40000000</v>
      </c>
      <c r="Q15" s="362">
        <f t="shared" si="0"/>
        <v>3248964</v>
      </c>
      <c r="R15" s="362">
        <f t="shared" si="1"/>
        <v>40000000</v>
      </c>
    </row>
    <row r="16" spans="1:18" ht="27" customHeight="1">
      <c r="A16" s="284" t="s">
        <v>274</v>
      </c>
      <c r="B16" s="284" t="s">
        <v>164</v>
      </c>
      <c r="C16" s="284">
        <v>0</v>
      </c>
      <c r="D16" s="284">
        <v>0</v>
      </c>
      <c r="E16" s="284">
        <v>0</v>
      </c>
      <c r="F16" s="284">
        <v>0</v>
      </c>
      <c r="G16" s="284">
        <v>2400000</v>
      </c>
      <c r="H16" s="284">
        <v>3000000</v>
      </c>
      <c r="I16" s="284">
        <v>1862000</v>
      </c>
      <c r="J16" s="362">
        <v>1862000</v>
      </c>
      <c r="K16" s="382">
        <f>SUM(K8:K15)</f>
        <v>192858074</v>
      </c>
      <c r="L16" s="362">
        <v>42492900</v>
      </c>
      <c r="M16" s="362">
        <f>42492900*70%+30000000</f>
        <v>59745030</v>
      </c>
      <c r="N16" s="362">
        <f>42492900*70%+30000000</f>
        <v>59745030</v>
      </c>
      <c r="O16" s="362">
        <v>0</v>
      </c>
      <c r="P16" s="362">
        <v>25000000</v>
      </c>
      <c r="Q16" s="362">
        <f t="shared" si="0"/>
        <v>-34745030</v>
      </c>
      <c r="R16" s="362">
        <f t="shared" si="1"/>
        <v>25000000</v>
      </c>
    </row>
    <row r="17" spans="1:18" ht="27" customHeight="1">
      <c r="A17" s="284" t="s">
        <v>275</v>
      </c>
      <c r="B17" s="284" t="s">
        <v>40</v>
      </c>
      <c r="C17" s="292">
        <f>SUM(C13:C16)</f>
        <v>0</v>
      </c>
      <c r="D17" s="292">
        <f>SUM(D13:D16)</f>
        <v>0</v>
      </c>
      <c r="E17" s="292">
        <v>0</v>
      </c>
      <c r="F17" s="292">
        <f>SUM(F13:F16)</f>
        <v>22500000</v>
      </c>
      <c r="G17" s="292">
        <f>SUM(G13:G16)</f>
        <v>2400000</v>
      </c>
      <c r="H17" s="292">
        <f>SUM(H13:H16)</f>
        <v>63000000</v>
      </c>
      <c r="I17" s="292">
        <f>SUM(I13:I16)</f>
        <v>1862000</v>
      </c>
      <c r="J17" s="382">
        <f>SUM(J13:J16)</f>
        <v>21862000</v>
      </c>
      <c r="K17" s="382"/>
      <c r="L17" s="362">
        <v>51971600</v>
      </c>
      <c r="M17" s="362">
        <f>36380120+5000000</f>
        <v>41380120</v>
      </c>
      <c r="N17" s="362">
        <f>36380120+5000000</f>
        <v>41380120</v>
      </c>
      <c r="O17" s="362">
        <v>0</v>
      </c>
      <c r="P17" s="362">
        <v>20000000</v>
      </c>
      <c r="Q17" s="362">
        <f t="shared" si="0"/>
        <v>-21380120</v>
      </c>
      <c r="R17" s="362">
        <f t="shared" si="1"/>
        <v>20000000</v>
      </c>
    </row>
    <row r="18" spans="1:18" ht="27" customHeight="1">
      <c r="A18" s="284" t="s">
        <v>277</v>
      </c>
      <c r="B18" s="284" t="s">
        <v>218</v>
      </c>
      <c r="C18" s="284"/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362">
        <v>0</v>
      </c>
      <c r="K18" s="362">
        <v>28488600</v>
      </c>
      <c r="L18" s="362">
        <f>309000000+18372000</f>
        <v>327372000</v>
      </c>
      <c r="M18" s="362">
        <f>327372000*70%</f>
        <v>229160400</v>
      </c>
      <c r="N18" s="362">
        <v>0</v>
      </c>
      <c r="O18" s="362">
        <v>0</v>
      </c>
      <c r="P18" s="362">
        <v>0</v>
      </c>
      <c r="Q18" s="362">
        <f t="shared" si="0"/>
        <v>0</v>
      </c>
      <c r="R18" s="362">
        <f t="shared" si="1"/>
        <v>0</v>
      </c>
    </row>
    <row r="19" spans="1:18" ht="27" customHeight="1">
      <c r="A19" s="292"/>
      <c r="B19" s="292" t="s">
        <v>119</v>
      </c>
      <c r="C19" s="284"/>
      <c r="D19" s="284"/>
      <c r="E19" s="284"/>
      <c r="F19" s="284">
        <v>100000000</v>
      </c>
      <c r="G19" s="284">
        <v>0</v>
      </c>
      <c r="H19" s="284">
        <v>0</v>
      </c>
      <c r="I19" s="284">
        <v>0</v>
      </c>
      <c r="J19" s="362">
        <v>0</v>
      </c>
      <c r="K19" s="382">
        <f>SUM(K18:K18)</f>
        <v>28488600</v>
      </c>
      <c r="L19" s="382">
        <f>SUM(L11:L18)</f>
        <v>656567940</v>
      </c>
      <c r="M19" s="382">
        <f>SUM(M11:M18)</f>
        <v>559597558</v>
      </c>
      <c r="N19" s="382">
        <f>SUM(N11:N18)</f>
        <v>291084274</v>
      </c>
      <c r="O19" s="382">
        <v>0</v>
      </c>
      <c r="P19" s="382">
        <f>SUM(P11:P18)</f>
        <v>131000000</v>
      </c>
      <c r="Q19" s="362">
        <f t="shared" si="0"/>
        <v>-160084274</v>
      </c>
      <c r="R19" s="362">
        <f t="shared" si="1"/>
        <v>131000000</v>
      </c>
    </row>
    <row r="20" spans="1:18" ht="27" customHeight="1">
      <c r="A20" s="292" t="s">
        <v>279</v>
      </c>
      <c r="B20" s="292" t="s">
        <v>278</v>
      </c>
      <c r="C20" s="292" t="e">
        <f>SUM(#REF!)</f>
        <v>#REF!</v>
      </c>
      <c r="D20" s="292" t="e">
        <f>SUM(#REF!)</f>
        <v>#REF!</v>
      </c>
      <c r="E20" s="292">
        <f>SUM(E18:E18)</f>
        <v>0</v>
      </c>
      <c r="F20" s="292">
        <f>SUM(F18:F19)</f>
        <v>100000000</v>
      </c>
      <c r="G20" s="292">
        <f>SUM(G18:G19)</f>
        <v>0</v>
      </c>
      <c r="H20" s="292">
        <f>SUM(H18:H19)</f>
        <v>0</v>
      </c>
      <c r="I20" s="292">
        <f>SUM(I18:I19)</f>
        <v>0</v>
      </c>
      <c r="J20" s="382">
        <f>SUM(J18:J19)</f>
        <v>0</v>
      </c>
      <c r="K20" s="382"/>
      <c r="L20" s="382"/>
      <c r="M20" s="382"/>
      <c r="N20" s="382"/>
      <c r="O20" s="382">
        <v>0</v>
      </c>
      <c r="P20" s="382"/>
      <c r="Q20" s="362">
        <f t="shared" si="0"/>
        <v>0</v>
      </c>
      <c r="R20" s="362">
        <f t="shared" si="1"/>
        <v>0</v>
      </c>
    </row>
    <row r="21" spans="1:18" ht="27" customHeight="1">
      <c r="A21" s="284" t="s">
        <v>281</v>
      </c>
      <c r="B21" s="284" t="s">
        <v>161</v>
      </c>
      <c r="C21" s="284">
        <v>4799980</v>
      </c>
      <c r="D21" s="284">
        <v>0</v>
      </c>
      <c r="E21" s="284">
        <v>0</v>
      </c>
      <c r="F21" s="284">
        <v>11800000</v>
      </c>
      <c r="G21" s="284">
        <v>24000000</v>
      </c>
      <c r="H21" s="284">
        <v>30000000</v>
      </c>
      <c r="I21" s="284">
        <v>17875200</v>
      </c>
      <c r="J21" s="362">
        <v>17875200</v>
      </c>
      <c r="K21" s="362">
        <v>0</v>
      </c>
      <c r="L21" s="362">
        <v>431733818</v>
      </c>
      <c r="M21" s="362">
        <f>302213672+98211600</f>
        <v>400425272</v>
      </c>
      <c r="N21" s="362">
        <f>M21</f>
        <v>400425272</v>
      </c>
      <c r="O21" s="362">
        <v>0</v>
      </c>
      <c r="P21" s="362">
        <v>150000000</v>
      </c>
      <c r="Q21" s="362">
        <f t="shared" si="0"/>
        <v>-250425272</v>
      </c>
      <c r="R21" s="362">
        <f t="shared" si="1"/>
        <v>150000000</v>
      </c>
    </row>
    <row r="22" spans="1:18" ht="27" customHeight="1">
      <c r="A22" s="284" t="s">
        <v>282</v>
      </c>
      <c r="B22" s="284" t="s">
        <v>155</v>
      </c>
      <c r="C22" s="284">
        <v>0</v>
      </c>
      <c r="D22" s="284">
        <v>0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  <c r="J22" s="362">
        <v>0</v>
      </c>
      <c r="K22" s="362">
        <v>0</v>
      </c>
      <c r="L22" s="362">
        <v>59733400</v>
      </c>
      <c r="M22" s="362">
        <f>41813380+5000000</f>
        <v>46813380</v>
      </c>
      <c r="N22" s="362">
        <f>41813380+5000000</f>
        <v>46813380</v>
      </c>
      <c r="O22" s="362">
        <v>0</v>
      </c>
      <c r="P22" s="362">
        <v>30000000</v>
      </c>
      <c r="Q22" s="362">
        <f t="shared" si="0"/>
        <v>-16813380</v>
      </c>
      <c r="R22" s="362">
        <f t="shared" si="1"/>
        <v>30000000</v>
      </c>
    </row>
    <row r="23" spans="1:18" ht="27" customHeight="1">
      <c r="A23" s="284" t="s">
        <v>283</v>
      </c>
      <c r="B23" s="284" t="s">
        <v>156</v>
      </c>
      <c r="C23" s="284">
        <v>15436990</v>
      </c>
      <c r="D23" s="284">
        <f>23000000+92-14000000</f>
        <v>9000092</v>
      </c>
      <c r="E23" s="284">
        <v>9000092</v>
      </c>
      <c r="F23" s="284">
        <v>29000092</v>
      </c>
      <c r="G23" s="284">
        <v>35200000</v>
      </c>
      <c r="H23" s="284">
        <v>44000000</v>
      </c>
      <c r="I23" s="284">
        <v>39873274</v>
      </c>
      <c r="J23" s="362">
        <v>49000000</v>
      </c>
      <c r="K23" s="362">
        <v>1862000</v>
      </c>
      <c r="L23" s="362">
        <v>88225200</v>
      </c>
      <c r="M23" s="362">
        <f>88225200*70%+40000000</f>
        <v>101757640</v>
      </c>
      <c r="N23" s="362">
        <f>88225200*70%+40000000</f>
        <v>101757640</v>
      </c>
      <c r="O23" s="362">
        <v>0</v>
      </c>
      <c r="P23" s="362">
        <v>0</v>
      </c>
      <c r="Q23" s="362">
        <f t="shared" si="0"/>
        <v>-101757640</v>
      </c>
      <c r="R23" s="362">
        <f t="shared" si="1"/>
        <v>0</v>
      </c>
    </row>
    <row r="24" spans="1:18" ht="27" customHeight="1">
      <c r="A24" s="284" t="s">
        <v>316</v>
      </c>
      <c r="B24" s="284" t="s">
        <v>703</v>
      </c>
      <c r="C24" s="284"/>
      <c r="D24" s="284"/>
      <c r="E24" s="284"/>
      <c r="F24" s="284"/>
      <c r="G24" s="284"/>
      <c r="H24" s="284"/>
      <c r="I24" s="284"/>
      <c r="J24" s="362"/>
      <c r="K24" s="362"/>
      <c r="L24" s="362">
        <v>54000000</v>
      </c>
      <c r="M24" s="362">
        <f>54000000/3500*6000</f>
        <v>92571428.571428582</v>
      </c>
      <c r="N24" s="362">
        <f>54000000/3500*6000</f>
        <v>92571428.571428582</v>
      </c>
      <c r="O24" s="362">
        <v>0</v>
      </c>
      <c r="P24" s="362">
        <v>90000000</v>
      </c>
      <c r="Q24" s="362">
        <f t="shared" si="0"/>
        <v>-2571428.5714285821</v>
      </c>
      <c r="R24" s="362">
        <f t="shared" si="1"/>
        <v>90000000</v>
      </c>
    </row>
    <row r="25" spans="1:18" ht="27" customHeight="1">
      <c r="A25" s="284"/>
      <c r="B25" s="292" t="s">
        <v>119</v>
      </c>
      <c r="C25" s="284"/>
      <c r="D25" s="284"/>
      <c r="E25" s="284"/>
      <c r="F25" s="284">
        <v>0</v>
      </c>
      <c r="G25" s="284">
        <v>13280000</v>
      </c>
      <c r="H25" s="284">
        <v>16600000</v>
      </c>
      <c r="I25" s="284">
        <v>9682400</v>
      </c>
      <c r="J25" s="362">
        <v>9682400</v>
      </c>
      <c r="K25" s="382">
        <f>SUM(K21:K24)</f>
        <v>1862000</v>
      </c>
      <c r="L25" s="382" t="e">
        <f>#REF!+L23+L22+L21</f>
        <v>#REF!</v>
      </c>
      <c r="M25" s="382">
        <f>SUM(M21:M24)</f>
        <v>641567720.57142854</v>
      </c>
      <c r="N25" s="382">
        <f>SUM(N21:N24)</f>
        <v>641567720.57142854</v>
      </c>
      <c r="O25" s="382">
        <v>0</v>
      </c>
      <c r="P25" s="382">
        <f>SUM(P21:P24)</f>
        <v>270000000</v>
      </c>
      <c r="Q25" s="362">
        <f t="shared" si="0"/>
        <v>-371567720.57142854</v>
      </c>
      <c r="R25" s="362">
        <f t="shared" si="1"/>
        <v>270000000</v>
      </c>
    </row>
    <row r="26" spans="1:18" ht="27" customHeight="1">
      <c r="A26" s="292" t="s">
        <v>285</v>
      </c>
      <c r="B26" s="292" t="s">
        <v>158</v>
      </c>
      <c r="C26" s="284"/>
      <c r="D26" s="284">
        <v>0</v>
      </c>
      <c r="E26" s="284">
        <v>0</v>
      </c>
      <c r="F26" s="284">
        <v>2000000</v>
      </c>
      <c r="G26" s="284">
        <v>16000000</v>
      </c>
      <c r="H26" s="284">
        <v>20000000</v>
      </c>
      <c r="I26" s="284">
        <v>14896000</v>
      </c>
      <c r="J26" s="362">
        <v>20000000</v>
      </c>
      <c r="K26" s="362"/>
      <c r="L26" s="362"/>
      <c r="M26" s="362"/>
      <c r="N26" s="362"/>
      <c r="O26" s="362">
        <v>0</v>
      </c>
      <c r="P26" s="362"/>
      <c r="Q26" s="362">
        <f t="shared" si="0"/>
        <v>0</v>
      </c>
      <c r="R26" s="362">
        <f t="shared" si="1"/>
        <v>0</v>
      </c>
    </row>
    <row r="27" spans="1:18" ht="27" customHeight="1">
      <c r="A27" s="284" t="s">
        <v>286</v>
      </c>
      <c r="B27" s="284" t="s">
        <v>443</v>
      </c>
      <c r="C27" s="284"/>
      <c r="D27" s="284">
        <v>0</v>
      </c>
      <c r="E27" s="284">
        <v>0</v>
      </c>
      <c r="F27" s="284">
        <v>9000200</v>
      </c>
      <c r="G27" s="284">
        <v>18400000</v>
      </c>
      <c r="H27" s="284">
        <v>23000000</v>
      </c>
      <c r="I27" s="284">
        <v>13704320</v>
      </c>
      <c r="J27" s="362">
        <v>13704320</v>
      </c>
      <c r="K27" s="362">
        <v>27588136</v>
      </c>
      <c r="L27" s="362">
        <v>84208136</v>
      </c>
      <c r="M27" s="362">
        <f>58945695*70%+10000000</f>
        <v>51261986.5</v>
      </c>
      <c r="N27" s="362">
        <f>58945695*70%+10000000</f>
        <v>51261986.5</v>
      </c>
      <c r="O27" s="362">
        <v>0</v>
      </c>
      <c r="P27" s="362">
        <v>0</v>
      </c>
      <c r="Q27" s="362">
        <f t="shared" si="0"/>
        <v>-51261986.5</v>
      </c>
      <c r="R27" s="362">
        <f t="shared" si="1"/>
        <v>0</v>
      </c>
    </row>
    <row r="28" spans="1:18" ht="27" customHeight="1">
      <c r="A28" s="284" t="s">
        <v>288</v>
      </c>
      <c r="B28" s="284" t="s">
        <v>287</v>
      </c>
      <c r="C28" s="284">
        <v>2279995</v>
      </c>
      <c r="D28" s="284">
        <v>2545200</v>
      </c>
      <c r="E28" s="284">
        <v>2545200</v>
      </c>
      <c r="F28" s="284">
        <v>3505200</v>
      </c>
      <c r="G28" s="284">
        <v>9600000</v>
      </c>
      <c r="H28" s="284">
        <v>22000000</v>
      </c>
      <c r="I28" s="284">
        <v>16385600</v>
      </c>
      <c r="J28" s="362">
        <v>16385600</v>
      </c>
      <c r="K28" s="362">
        <v>3724000</v>
      </c>
      <c r="L28" s="362">
        <v>3724000</v>
      </c>
      <c r="M28" s="362">
        <f>3724000*70%</f>
        <v>2606800</v>
      </c>
      <c r="N28" s="362">
        <f>3724000*70%</f>
        <v>2606800</v>
      </c>
      <c r="O28" s="362">
        <v>0</v>
      </c>
      <c r="P28" s="362">
        <v>0</v>
      </c>
      <c r="Q28" s="362">
        <f t="shared" si="0"/>
        <v>-2606800</v>
      </c>
      <c r="R28" s="362">
        <f t="shared" si="1"/>
        <v>0</v>
      </c>
    </row>
    <row r="29" spans="1:18" ht="27" customHeight="1">
      <c r="A29" s="284" t="s">
        <v>596</v>
      </c>
      <c r="B29" s="284" t="s">
        <v>423</v>
      </c>
      <c r="C29" s="284"/>
      <c r="D29" s="284"/>
      <c r="E29" s="284"/>
      <c r="F29" s="284"/>
      <c r="G29" s="284"/>
      <c r="H29" s="284"/>
      <c r="I29" s="284"/>
      <c r="J29" s="362"/>
      <c r="K29" s="362"/>
      <c r="L29" s="362">
        <v>0</v>
      </c>
      <c r="M29" s="362">
        <v>100000000</v>
      </c>
      <c r="N29" s="362">
        <v>100000000</v>
      </c>
      <c r="O29" s="362">
        <v>0</v>
      </c>
      <c r="P29" s="362">
        <v>100000000</v>
      </c>
      <c r="Q29" s="362">
        <f t="shared" si="0"/>
        <v>0</v>
      </c>
      <c r="R29" s="362">
        <f t="shared" si="1"/>
        <v>100000000</v>
      </c>
    </row>
    <row r="30" spans="1:18" ht="27" customHeight="1">
      <c r="A30" s="284" t="s">
        <v>419</v>
      </c>
      <c r="B30" s="284" t="s">
        <v>420</v>
      </c>
      <c r="C30" s="284">
        <v>0</v>
      </c>
      <c r="D30" s="284">
        <v>12000000</v>
      </c>
      <c r="E30" s="284">
        <v>12000000</v>
      </c>
      <c r="F30" s="284">
        <v>12000000</v>
      </c>
      <c r="G30" s="284">
        <v>32000000</v>
      </c>
      <c r="H30" s="284">
        <v>40000000</v>
      </c>
      <c r="I30" s="284">
        <v>40000000</v>
      </c>
      <c r="J30" s="362">
        <v>115000000</v>
      </c>
      <c r="K30" s="382">
        <f>SUM(K27:K28)</f>
        <v>31312136</v>
      </c>
      <c r="L30" s="362">
        <v>4096400</v>
      </c>
      <c r="M30" s="362">
        <f>4096400*70%</f>
        <v>2867480</v>
      </c>
      <c r="N30" s="362">
        <f>4096400*70%</f>
        <v>2867480</v>
      </c>
      <c r="O30" s="362">
        <v>0</v>
      </c>
      <c r="P30" s="362">
        <v>0</v>
      </c>
      <c r="Q30" s="362">
        <f t="shared" si="0"/>
        <v>-2867480</v>
      </c>
      <c r="R30" s="362">
        <f t="shared" si="1"/>
        <v>0</v>
      </c>
    </row>
    <row r="31" spans="1:18" ht="27" customHeight="1">
      <c r="A31" s="284" t="s">
        <v>289</v>
      </c>
      <c r="B31" s="284" t="s">
        <v>290</v>
      </c>
      <c r="C31" s="284"/>
      <c r="D31" s="284"/>
      <c r="E31" s="284"/>
      <c r="F31" s="284"/>
      <c r="G31" s="284"/>
      <c r="H31" s="284">
        <v>0</v>
      </c>
      <c r="I31" s="284">
        <v>5958400</v>
      </c>
      <c r="J31" s="362">
        <v>5958400</v>
      </c>
      <c r="K31" s="362"/>
      <c r="L31" s="362">
        <v>0</v>
      </c>
      <c r="M31" s="362">
        <v>0</v>
      </c>
      <c r="N31" s="362">
        <v>0</v>
      </c>
      <c r="O31" s="362">
        <v>0</v>
      </c>
      <c r="P31" s="362">
        <v>0</v>
      </c>
      <c r="Q31" s="362">
        <f t="shared" si="0"/>
        <v>0</v>
      </c>
      <c r="R31" s="362">
        <f t="shared" si="1"/>
        <v>0</v>
      </c>
    </row>
    <row r="32" spans="1:18" ht="27" customHeight="1">
      <c r="A32" s="284"/>
      <c r="B32" s="292" t="s">
        <v>119</v>
      </c>
      <c r="C32" s="284">
        <v>15000000</v>
      </c>
      <c r="D32" s="284">
        <v>14000000</v>
      </c>
      <c r="E32" s="284">
        <v>9025900</v>
      </c>
      <c r="F32" s="284">
        <v>39837118</v>
      </c>
      <c r="G32" s="284">
        <v>0</v>
      </c>
      <c r="H32" s="284">
        <v>0</v>
      </c>
      <c r="I32" s="284">
        <v>0</v>
      </c>
      <c r="J32" s="362">
        <v>0</v>
      </c>
      <c r="K32" s="362">
        <v>0</v>
      </c>
      <c r="L32" s="382">
        <f>SUM(L27:L31)</f>
        <v>92028536</v>
      </c>
      <c r="M32" s="382">
        <f>SUM(M27:M31)</f>
        <v>156736266.5</v>
      </c>
      <c r="N32" s="382">
        <f>SUM(N27:N31)</f>
        <v>156736266.5</v>
      </c>
      <c r="O32" s="382">
        <v>0</v>
      </c>
      <c r="P32" s="382">
        <f>SUM(P27:P31)</f>
        <v>100000000</v>
      </c>
      <c r="Q32" s="362">
        <f t="shared" si="0"/>
        <v>-56736266.5</v>
      </c>
      <c r="R32" s="362">
        <f t="shared" si="1"/>
        <v>100000000</v>
      </c>
    </row>
    <row r="33" spans="1:18" ht="27" customHeight="1">
      <c r="A33" s="292" t="s">
        <v>293</v>
      </c>
      <c r="B33" s="292" t="s">
        <v>292</v>
      </c>
      <c r="C33" s="292">
        <f t="shared" ref="C33:H33" si="2">SUM(C21:C32)</f>
        <v>37516965</v>
      </c>
      <c r="D33" s="292">
        <f t="shared" si="2"/>
        <v>37545292</v>
      </c>
      <c r="E33" s="292">
        <f t="shared" si="2"/>
        <v>32571192</v>
      </c>
      <c r="F33" s="292">
        <f t="shared" si="2"/>
        <v>107142610</v>
      </c>
      <c r="G33" s="292">
        <f t="shared" si="2"/>
        <v>148480000</v>
      </c>
      <c r="H33" s="292">
        <f t="shared" si="2"/>
        <v>195600000</v>
      </c>
      <c r="I33" s="292">
        <f>SUM(I21:I32)</f>
        <v>158375194</v>
      </c>
      <c r="J33" s="382">
        <f>SUM(J21:J32)</f>
        <v>247605920</v>
      </c>
      <c r="K33" s="382">
        <v>0</v>
      </c>
      <c r="L33" s="382"/>
      <c r="M33" s="382"/>
      <c r="N33" s="382"/>
      <c r="O33" s="382">
        <v>0</v>
      </c>
      <c r="P33" s="382">
        <v>0</v>
      </c>
      <c r="Q33" s="362">
        <f t="shared" si="0"/>
        <v>0</v>
      </c>
      <c r="R33" s="362">
        <f t="shared" si="1"/>
        <v>0</v>
      </c>
    </row>
    <row r="34" spans="1:18" ht="27" customHeight="1" thickBot="1">
      <c r="A34" s="292" t="s">
        <v>294</v>
      </c>
      <c r="B34" s="292" t="s">
        <v>291</v>
      </c>
      <c r="C34" s="405" t="e">
        <f>C33+C20+C17+#REF!+#REF!</f>
        <v>#REF!</v>
      </c>
      <c r="D34" s="405" t="e">
        <f>D33+D20+D17+#REF!+#REF!</f>
        <v>#REF!</v>
      </c>
      <c r="E34" s="405" t="e">
        <f>E33+E20+E17+#REF!+#REF!</f>
        <v>#REF!</v>
      </c>
      <c r="F34" s="405" t="e">
        <f>F33+F20+F17+#REF!+#REF!</f>
        <v>#REF!</v>
      </c>
      <c r="G34" s="405" t="e">
        <f>G33+G20+G17+#REF!+#REF!</f>
        <v>#REF!</v>
      </c>
      <c r="H34" s="405" t="e">
        <f>H33+H20+H17+#REF!+#REF!</f>
        <v>#REF!</v>
      </c>
      <c r="I34" s="405" t="e">
        <f>I33+I20+I17+#REF!+#REF!</f>
        <v>#REF!</v>
      </c>
      <c r="J34" s="612" t="e">
        <f>J33+J20+J17+#REF!+#REF!</f>
        <v>#REF!</v>
      </c>
      <c r="K34" s="612" t="e">
        <f>K33+K30+K25+K19+K16+#REF!</f>
        <v>#REF!</v>
      </c>
      <c r="L34" s="613"/>
      <c r="M34" s="613"/>
      <c r="N34" s="613"/>
      <c r="O34" s="613">
        <v>0</v>
      </c>
      <c r="P34" s="613"/>
      <c r="Q34" s="362">
        <f t="shared" si="0"/>
        <v>0</v>
      </c>
      <c r="R34" s="362">
        <f t="shared" si="1"/>
        <v>0</v>
      </c>
    </row>
    <row r="35" spans="1:18" ht="27" customHeight="1">
      <c r="A35" s="284" t="s">
        <v>389</v>
      </c>
      <c r="B35" s="284" t="s">
        <v>346</v>
      </c>
      <c r="C35" s="379"/>
      <c r="D35" s="379" t="s">
        <v>4</v>
      </c>
      <c r="E35" s="379"/>
      <c r="F35" s="395">
        <v>0</v>
      </c>
      <c r="G35" s="379"/>
      <c r="H35" s="379"/>
      <c r="I35" s="379"/>
      <c r="J35" s="379"/>
      <c r="K35" s="379"/>
      <c r="L35" s="362">
        <v>25000000</v>
      </c>
      <c r="M35" s="362">
        <v>16896000</v>
      </c>
      <c r="N35" s="362">
        <v>0</v>
      </c>
      <c r="O35" s="362">
        <v>0</v>
      </c>
      <c r="P35" s="362">
        <v>20000000</v>
      </c>
      <c r="Q35" s="362">
        <f t="shared" si="0"/>
        <v>20000000</v>
      </c>
      <c r="R35" s="362">
        <f t="shared" si="1"/>
        <v>20000000</v>
      </c>
    </row>
    <row r="36" spans="1:18" ht="27" customHeight="1">
      <c r="A36" s="284" t="s">
        <v>388</v>
      </c>
      <c r="B36" s="284" t="s">
        <v>347</v>
      </c>
      <c r="C36" s="379"/>
      <c r="D36" s="467" t="s">
        <v>4</v>
      </c>
      <c r="E36" s="467"/>
      <c r="F36" s="395">
        <v>0</v>
      </c>
      <c r="G36" s="467"/>
      <c r="H36" s="467"/>
      <c r="I36" s="467"/>
      <c r="J36" s="467"/>
      <c r="K36" s="467"/>
      <c r="L36" s="362">
        <v>0</v>
      </c>
      <c r="M36" s="362">
        <v>160000000</v>
      </c>
      <c r="N36" s="362">
        <v>100000000</v>
      </c>
      <c r="O36" s="362">
        <v>0</v>
      </c>
      <c r="P36" s="362">
        <v>120000000</v>
      </c>
      <c r="Q36" s="362">
        <f t="shared" si="0"/>
        <v>20000000</v>
      </c>
      <c r="R36" s="362">
        <f t="shared" si="1"/>
        <v>120000000</v>
      </c>
    </row>
    <row r="37" spans="1:18" ht="27" customHeight="1">
      <c r="A37" s="284" t="s">
        <v>295</v>
      </c>
      <c r="B37" s="284" t="s">
        <v>418</v>
      </c>
      <c r="C37" s="379"/>
      <c r="D37" s="379"/>
      <c r="E37" s="379"/>
      <c r="F37" s="467">
        <v>0</v>
      </c>
      <c r="G37" s="379"/>
      <c r="H37" s="379"/>
      <c r="I37" s="379"/>
      <c r="J37" s="379"/>
      <c r="K37" s="379"/>
      <c r="L37" s="362">
        <v>5586000</v>
      </c>
      <c r="M37" s="362">
        <f>5586000*70%</f>
        <v>3910199.9999999995</v>
      </c>
      <c r="N37" s="362">
        <v>0</v>
      </c>
      <c r="O37" s="362">
        <v>0</v>
      </c>
      <c r="P37" s="362">
        <v>0</v>
      </c>
      <c r="Q37" s="362">
        <f t="shared" si="0"/>
        <v>0</v>
      </c>
      <c r="R37" s="362">
        <f t="shared" si="1"/>
        <v>0</v>
      </c>
    </row>
    <row r="38" spans="1:18" ht="27" customHeight="1">
      <c r="A38" s="284" t="s">
        <v>296</v>
      </c>
      <c r="B38" s="284" t="s">
        <v>421</v>
      </c>
      <c r="C38" s="379"/>
      <c r="D38" s="379"/>
      <c r="E38" s="379"/>
      <c r="F38" s="467">
        <v>0</v>
      </c>
      <c r="G38" s="467"/>
      <c r="H38" s="467"/>
      <c r="I38" s="467"/>
      <c r="J38" s="467"/>
      <c r="K38" s="467"/>
      <c r="L38" s="362">
        <v>3996400</v>
      </c>
      <c r="M38" s="362">
        <f>3996400+5000000</f>
        <v>8996400</v>
      </c>
      <c r="N38" s="362">
        <v>0</v>
      </c>
      <c r="O38" s="362">
        <v>0</v>
      </c>
      <c r="P38" s="362">
        <v>0</v>
      </c>
      <c r="Q38" s="362">
        <f t="shared" si="0"/>
        <v>0</v>
      </c>
      <c r="R38" s="362">
        <f t="shared" si="1"/>
        <v>0</v>
      </c>
    </row>
    <row r="39" spans="1:18" ht="27" customHeight="1">
      <c r="A39" s="284" t="s">
        <v>348</v>
      </c>
      <c r="B39" s="284" t="s">
        <v>424</v>
      </c>
      <c r="C39" s="379"/>
      <c r="D39" s="379"/>
      <c r="E39" s="379"/>
      <c r="F39" s="467"/>
      <c r="G39" s="467"/>
      <c r="H39" s="467"/>
      <c r="I39" s="467"/>
      <c r="J39" s="467"/>
      <c r="K39" s="467"/>
      <c r="L39" s="362">
        <v>0</v>
      </c>
      <c r="M39" s="362">
        <v>30000000</v>
      </c>
      <c r="N39" s="362">
        <v>0</v>
      </c>
      <c r="O39" s="362">
        <v>0</v>
      </c>
      <c r="P39" s="362">
        <v>0</v>
      </c>
      <c r="Q39" s="362">
        <f t="shared" si="0"/>
        <v>0</v>
      </c>
      <c r="R39" s="362">
        <f t="shared" si="1"/>
        <v>0</v>
      </c>
    </row>
    <row r="40" spans="1:18" ht="27" customHeight="1">
      <c r="A40" s="284"/>
      <c r="B40" s="292" t="s">
        <v>119</v>
      </c>
      <c r="C40" s="379"/>
      <c r="D40" s="379"/>
      <c r="E40" s="379"/>
      <c r="F40" s="379">
        <f>1386274192-71600000-798000-176160000-12600000</f>
        <v>1125116192</v>
      </c>
      <c r="G40" s="379"/>
      <c r="H40" s="379"/>
      <c r="I40" s="379"/>
      <c r="J40" s="379"/>
      <c r="K40" s="379"/>
      <c r="L40" s="382">
        <f>SUM(L35:L39)</f>
        <v>34582400</v>
      </c>
      <c r="M40" s="382">
        <f>SUM(M35:M39)</f>
        <v>219802600</v>
      </c>
      <c r="N40" s="382">
        <f>SUM(N35:N39)</f>
        <v>100000000</v>
      </c>
      <c r="O40" s="382">
        <v>0</v>
      </c>
      <c r="P40" s="382">
        <f>SUM(P35:P39)</f>
        <v>140000000</v>
      </c>
      <c r="Q40" s="362">
        <f t="shared" si="0"/>
        <v>40000000</v>
      </c>
      <c r="R40" s="362">
        <f t="shared" si="1"/>
        <v>140000000</v>
      </c>
    </row>
    <row r="41" spans="1:18" ht="27" customHeight="1">
      <c r="A41" s="284"/>
      <c r="B41" s="292" t="s">
        <v>42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61" t="e">
        <f>L40+L32+L25+L19+L8</f>
        <v>#REF!</v>
      </c>
      <c r="M41" s="361" t="e">
        <f>#REF!+M40+M32+M25+M19+M8</f>
        <v>#REF!</v>
      </c>
      <c r="N41" s="361" t="e">
        <f>#REF!+N40+N32+N25+N19+N8</f>
        <v>#REF!</v>
      </c>
      <c r="O41" s="361">
        <v>0</v>
      </c>
      <c r="P41" s="361">
        <f>P40+P32+P25+P19+P8</f>
        <v>1419670400</v>
      </c>
      <c r="Q41" s="362" t="e">
        <f t="shared" si="0"/>
        <v>#REF!</v>
      </c>
      <c r="R41" s="382">
        <f t="shared" si="1"/>
        <v>1419670400</v>
      </c>
    </row>
    <row r="43" spans="1:18">
      <c r="Q43" s="708"/>
      <c r="R43" s="647"/>
    </row>
  </sheetData>
  <pageMargins left="0.7" right="0.7" top="0.75" bottom="0.75" header="0.3" footer="0.3"/>
  <pageSetup scale="58" orientation="portrait" r:id="rId1"/>
  <headerFooter>
    <oddHeader>&amp;C&amp;"Times New Roman,Bold"&amp;28 &amp;36 43 Wasaarada Wershadaha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D5"/>
  <sheetViews>
    <sheetView view="pageBreakPreview" zoomScale="60" zoomScaleNormal="68" workbookViewId="0">
      <selection activeCell="C7" sqref="C7"/>
    </sheetView>
  </sheetViews>
  <sheetFormatPr defaultRowHeight="12.75"/>
  <cols>
    <col min="1" max="1" width="13.33203125" bestFit="1" customWidth="1"/>
    <col min="2" max="2" width="84.33203125" bestFit="1" customWidth="1"/>
    <col min="3" max="4" width="47.6640625" style="85" bestFit="1" customWidth="1"/>
  </cols>
  <sheetData>
    <row r="1" spans="1:4" ht="45" customHeight="1">
      <c r="A1" s="210" t="s">
        <v>891</v>
      </c>
      <c r="B1" s="210" t="s">
        <v>798</v>
      </c>
      <c r="C1" s="211" t="s">
        <v>892</v>
      </c>
      <c r="D1" s="211" t="s">
        <v>893</v>
      </c>
    </row>
    <row r="2" spans="1:4" ht="45" customHeight="1">
      <c r="A2" s="210">
        <v>1</v>
      </c>
      <c r="B2" s="210" t="s">
        <v>894</v>
      </c>
      <c r="C2" s="211">
        <v>639369240470</v>
      </c>
      <c r="D2" s="211">
        <f>C2</f>
        <v>639369240470</v>
      </c>
    </row>
    <row r="3" spans="1:4" ht="45" customHeight="1">
      <c r="A3" s="210">
        <v>2</v>
      </c>
      <c r="B3" s="210" t="s">
        <v>895</v>
      </c>
      <c r="C3" s="211">
        <v>52090032780</v>
      </c>
      <c r="D3" s="211">
        <f>C3</f>
        <v>52090032780</v>
      </c>
    </row>
    <row r="4" spans="1:4" ht="45" customHeight="1">
      <c r="A4" s="210">
        <v>3</v>
      </c>
      <c r="B4" s="210" t="s">
        <v>896</v>
      </c>
      <c r="C4" s="211">
        <v>39609088797</v>
      </c>
      <c r="D4" s="211">
        <f>C4</f>
        <v>39609088797</v>
      </c>
    </row>
    <row r="5" spans="1:4" ht="45" customHeight="1">
      <c r="A5" s="210"/>
      <c r="B5" s="212" t="s">
        <v>800</v>
      </c>
      <c r="C5" s="213">
        <f>SUM(C2:C4)</f>
        <v>731068362047</v>
      </c>
      <c r="D5" s="213">
        <f>SUM(D2:D4)</f>
        <v>731068362047</v>
      </c>
    </row>
  </sheetData>
  <pageMargins left="0.7" right="0.7" top="1.53" bottom="0.75" header="0.3" footer="0.3"/>
  <pageSetup scale="70" orientation="landscape" r:id="rId1"/>
  <headerFooter>
    <oddHeader>&amp;C&amp;"Times New Roman,Bold"&amp;36Miisaaniyadda Guud ee Dawladda 2012.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C24" sqref="C24"/>
    </sheetView>
  </sheetViews>
  <sheetFormatPr defaultRowHeight="12.75"/>
  <cols>
    <col min="2" max="2" width="37.83203125" customWidth="1"/>
    <col min="3" max="3" width="8.5" customWidth="1"/>
    <col min="4" max="4" width="8.1640625" customWidth="1"/>
    <col min="5" max="5" width="8" customWidth="1"/>
    <col min="6" max="6" width="8.33203125" customWidth="1"/>
    <col min="7" max="7" width="8.6640625" customWidth="1"/>
    <col min="8" max="8" width="18" customWidth="1"/>
    <col min="9" max="9" width="15.5" customWidth="1"/>
    <col min="10" max="10" width="12.5" customWidth="1"/>
  </cols>
  <sheetData>
    <row r="1" spans="1:10" ht="13.5" customHeight="1">
      <c r="A1" s="38" t="s">
        <v>45</v>
      </c>
      <c r="B1" s="39" t="s">
        <v>51</v>
      </c>
      <c r="C1" s="40" t="s">
        <v>58</v>
      </c>
      <c r="D1" s="40" t="s">
        <v>59</v>
      </c>
      <c r="E1" s="40" t="s">
        <v>60</v>
      </c>
      <c r="F1" s="40" t="s">
        <v>61</v>
      </c>
      <c r="G1" s="40" t="s">
        <v>132</v>
      </c>
      <c r="H1" s="40" t="s">
        <v>399</v>
      </c>
    </row>
    <row r="2" spans="1:10" ht="12.75" customHeight="1">
      <c r="A2" s="20">
        <v>1</v>
      </c>
      <c r="B2" s="13" t="s">
        <v>6</v>
      </c>
      <c r="C2" s="19">
        <v>0</v>
      </c>
      <c r="D2" s="19">
        <v>0</v>
      </c>
      <c r="E2" s="19">
        <v>0</v>
      </c>
      <c r="F2" s="19">
        <v>0</v>
      </c>
      <c r="G2" s="19">
        <f>F2+E2+D2+C2</f>
        <v>0</v>
      </c>
      <c r="H2" s="19">
        <v>0</v>
      </c>
    </row>
    <row r="3" spans="1:10" ht="12.75" customHeight="1">
      <c r="A3" s="20" t="s">
        <v>7</v>
      </c>
      <c r="B3" s="13" t="s">
        <v>111</v>
      </c>
      <c r="C3" s="19">
        <v>0</v>
      </c>
      <c r="D3" s="19">
        <v>0</v>
      </c>
      <c r="E3" s="19">
        <v>0</v>
      </c>
      <c r="F3" s="19">
        <v>0</v>
      </c>
      <c r="G3" s="19">
        <f t="shared" ref="G3:G53" si="0">F3+E3+D3+C3</f>
        <v>0</v>
      </c>
      <c r="H3" s="19">
        <v>0</v>
      </c>
    </row>
    <row r="4" spans="1:10" ht="14.25" customHeight="1">
      <c r="A4" s="20" t="s">
        <v>85</v>
      </c>
      <c r="B4" s="13" t="s">
        <v>125</v>
      </c>
      <c r="C4" s="19">
        <v>11</v>
      </c>
      <c r="D4" s="19">
        <v>8</v>
      </c>
      <c r="E4" s="19">
        <v>2</v>
      </c>
      <c r="F4" s="19">
        <v>11</v>
      </c>
      <c r="G4" s="19">
        <f t="shared" si="0"/>
        <v>32</v>
      </c>
      <c r="H4" s="19">
        <f>F4*156000*12*2+E4*266500*12*2+D4*345800*12*2+C4*423800*12*2</f>
        <v>232252800</v>
      </c>
    </row>
    <row r="5" spans="1:10" ht="12.75" customHeight="1">
      <c r="A5" s="20">
        <v>2</v>
      </c>
      <c r="B5" s="13" t="s">
        <v>8</v>
      </c>
      <c r="C5" s="19">
        <f>6</f>
        <v>6</v>
      </c>
      <c r="D5" s="19">
        <v>11</v>
      </c>
      <c r="E5" s="19">
        <f>6</f>
        <v>6</v>
      </c>
      <c r="F5" s="19">
        <v>7</v>
      </c>
      <c r="G5" s="19">
        <f t="shared" si="0"/>
        <v>30</v>
      </c>
      <c r="H5" s="19">
        <f t="shared" ref="H5:H53" si="1">F5*156000*12*2+E5*266500*12*2+D5*345800*12*2+C5*423800*12*2</f>
        <v>216902400</v>
      </c>
    </row>
    <row r="6" spans="1:10" ht="12.75" customHeight="1">
      <c r="A6" s="20">
        <v>3</v>
      </c>
      <c r="B6" s="13" t="s">
        <v>9</v>
      </c>
      <c r="C6" s="19">
        <v>10</v>
      </c>
      <c r="D6" s="19">
        <v>17</v>
      </c>
      <c r="E6" s="19">
        <v>13</v>
      </c>
      <c r="F6" s="19">
        <v>21</v>
      </c>
      <c r="G6" s="19">
        <f t="shared" si="0"/>
        <v>61</v>
      </c>
      <c r="H6" s="19">
        <f t="shared" si="1"/>
        <v>404570400</v>
      </c>
    </row>
    <row r="7" spans="1:10" ht="12.75" customHeight="1">
      <c r="A7" s="20">
        <v>4</v>
      </c>
      <c r="B7" s="13" t="s">
        <v>10</v>
      </c>
      <c r="C7" s="19">
        <v>2</v>
      </c>
      <c r="D7" s="19">
        <v>5</v>
      </c>
      <c r="E7" s="19">
        <v>5</v>
      </c>
      <c r="F7" s="19">
        <v>3</v>
      </c>
      <c r="G7" s="19">
        <f t="shared" si="0"/>
        <v>15</v>
      </c>
      <c r="H7" s="19">
        <f t="shared" si="1"/>
        <v>105050400</v>
      </c>
    </row>
    <row r="8" spans="1:10" ht="12.75" customHeight="1">
      <c r="A8" s="20">
        <v>5</v>
      </c>
      <c r="B8" s="13" t="s">
        <v>11</v>
      </c>
      <c r="C8" s="19">
        <v>2</v>
      </c>
      <c r="D8" s="19">
        <v>11</v>
      </c>
      <c r="E8" s="19">
        <v>7</v>
      </c>
      <c r="F8" s="19">
        <v>16</v>
      </c>
      <c r="G8" s="19">
        <f t="shared" si="0"/>
        <v>36</v>
      </c>
      <c r="H8" s="19">
        <f t="shared" si="1"/>
        <v>216309600</v>
      </c>
    </row>
    <row r="9" spans="1:10" ht="12.75" customHeight="1">
      <c r="A9" s="20">
        <v>6</v>
      </c>
      <c r="B9" s="13" t="s">
        <v>12</v>
      </c>
      <c r="C9" s="19">
        <f>6+2</f>
        <v>8</v>
      </c>
      <c r="D9" s="19">
        <f>10+2</f>
        <v>12</v>
      </c>
      <c r="E9" s="19">
        <f>7+4</f>
        <v>11</v>
      </c>
      <c r="F9" s="19">
        <f>8+10</f>
        <v>18</v>
      </c>
      <c r="G9" s="19">
        <f t="shared" si="0"/>
        <v>49</v>
      </c>
      <c r="H9" s="19">
        <f t="shared" si="1"/>
        <v>318708000</v>
      </c>
    </row>
    <row r="10" spans="1:10" ht="12.75" customHeight="1">
      <c r="A10" s="20">
        <v>7</v>
      </c>
      <c r="B10" s="13" t="s">
        <v>13</v>
      </c>
      <c r="C10" s="19">
        <v>6</v>
      </c>
      <c r="D10" s="19">
        <v>30</v>
      </c>
      <c r="E10" s="19">
        <v>12</v>
      </c>
      <c r="F10" s="19">
        <v>4</v>
      </c>
      <c r="G10" s="19">
        <f t="shared" si="0"/>
        <v>52</v>
      </c>
      <c r="H10" s="19">
        <f t="shared" si="1"/>
        <v>401731200</v>
      </c>
    </row>
    <row r="11" spans="1:10" ht="12.75" customHeight="1">
      <c r="A11" s="20">
        <v>8</v>
      </c>
      <c r="B11" s="13" t="s">
        <v>150</v>
      </c>
      <c r="C11" s="19">
        <v>14</v>
      </c>
      <c r="D11" s="19">
        <v>26</v>
      </c>
      <c r="E11" s="19">
        <v>30</v>
      </c>
      <c r="F11" s="19">
        <v>15</v>
      </c>
      <c r="G11" s="19">
        <f t="shared" si="0"/>
        <v>85</v>
      </c>
      <c r="H11" s="19">
        <f t="shared" si="1"/>
        <v>606216000</v>
      </c>
    </row>
    <row r="12" spans="1:10" ht="12.75" customHeight="1">
      <c r="A12" s="20" t="s">
        <v>14</v>
      </c>
      <c r="B12" s="13" t="s">
        <v>220</v>
      </c>
      <c r="C12" s="19">
        <v>0</v>
      </c>
      <c r="D12" s="19">
        <v>0</v>
      </c>
      <c r="E12" s="19">
        <v>0</v>
      </c>
      <c r="F12" s="19">
        <v>0</v>
      </c>
      <c r="G12" s="19">
        <v>300</v>
      </c>
      <c r="H12" s="19">
        <f>G12*265200*12*2</f>
        <v>1909440000</v>
      </c>
    </row>
    <row r="13" spans="1:10" ht="12.75" customHeight="1">
      <c r="A13" s="20">
        <v>9</v>
      </c>
      <c r="B13" s="13" t="s">
        <v>16</v>
      </c>
      <c r="C13" s="19">
        <v>8</v>
      </c>
      <c r="D13" s="19">
        <v>8</v>
      </c>
      <c r="E13" s="19">
        <v>6</v>
      </c>
      <c r="F13" s="19">
        <v>6</v>
      </c>
      <c r="G13" s="19">
        <f t="shared" si="0"/>
        <v>28</v>
      </c>
      <c r="H13" s="19">
        <f t="shared" si="1"/>
        <v>208603200</v>
      </c>
    </row>
    <row r="14" spans="1:10" ht="12.75" customHeight="1">
      <c r="A14" s="20">
        <v>10</v>
      </c>
      <c r="B14" s="13" t="s">
        <v>17</v>
      </c>
      <c r="C14" s="19">
        <v>13</v>
      </c>
      <c r="D14" s="19">
        <v>13</v>
      </c>
      <c r="E14" s="19">
        <v>6</v>
      </c>
      <c r="F14" s="19">
        <v>6</v>
      </c>
      <c r="G14" s="19">
        <f t="shared" si="0"/>
        <v>38</v>
      </c>
      <c r="H14" s="19">
        <f t="shared" si="1"/>
        <v>300955200</v>
      </c>
    </row>
    <row r="15" spans="1:10" ht="12.75" customHeight="1">
      <c r="A15" s="20" t="s">
        <v>18</v>
      </c>
      <c r="B15" s="13" t="s">
        <v>232</v>
      </c>
      <c r="C15" s="41">
        <v>0</v>
      </c>
      <c r="D15" s="19">
        <v>0</v>
      </c>
      <c r="E15" s="19">
        <v>0</v>
      </c>
      <c r="F15" s="19">
        <v>0</v>
      </c>
      <c r="G15" s="19"/>
      <c r="H15" s="19">
        <f>G15*265200*12*2</f>
        <v>0</v>
      </c>
    </row>
    <row r="16" spans="1:10" ht="12.75" customHeight="1">
      <c r="A16" s="20" t="s">
        <v>20</v>
      </c>
      <c r="B16" s="13" t="s">
        <v>21</v>
      </c>
      <c r="C16" s="41">
        <v>121</v>
      </c>
      <c r="D16" s="19">
        <v>86</v>
      </c>
      <c r="E16" s="19">
        <v>7</v>
      </c>
      <c r="F16" s="19">
        <v>101</v>
      </c>
      <c r="G16" s="19">
        <f t="shared" si="0"/>
        <v>315</v>
      </c>
      <c r="H16" s="62">
        <f>F16*156000*12*2+E16*266500*12*2+D16*345800*12*2+C16*423800*12*2</f>
        <v>2367362400</v>
      </c>
      <c r="I16" s="63"/>
      <c r="J16" s="61"/>
    </row>
    <row r="17" spans="1:8" ht="12.75" customHeight="1">
      <c r="A17" s="20" t="s">
        <v>243</v>
      </c>
      <c r="B17" s="13" t="s">
        <v>238</v>
      </c>
      <c r="C17" s="19">
        <v>8</v>
      </c>
      <c r="D17" s="19">
        <v>1</v>
      </c>
      <c r="E17" s="19">
        <v>2</v>
      </c>
      <c r="F17" s="19">
        <v>2</v>
      </c>
      <c r="G17" s="19">
        <f t="shared" si="0"/>
        <v>13</v>
      </c>
      <c r="H17" s="19">
        <f>F17*156000*12*2+E17*266500*12*2+D17*345800*12*2+C17*423800*12*2</f>
        <v>109948800</v>
      </c>
    </row>
    <row r="18" spans="1:8" ht="12.75" customHeight="1">
      <c r="A18" s="20" t="s">
        <v>244</v>
      </c>
      <c r="B18" s="13" t="s">
        <v>226</v>
      </c>
      <c r="C18" s="19">
        <v>3</v>
      </c>
      <c r="D18" s="19">
        <v>6</v>
      </c>
      <c r="E18" s="19">
        <v>2</v>
      </c>
      <c r="F18" s="19">
        <v>0</v>
      </c>
      <c r="G18" s="19">
        <f t="shared" si="0"/>
        <v>11</v>
      </c>
      <c r="H18" s="19">
        <f t="shared" si="1"/>
        <v>93100800</v>
      </c>
    </row>
    <row r="19" spans="1:8" ht="12.75" customHeight="1">
      <c r="A19" s="20">
        <v>11</v>
      </c>
      <c r="B19" s="13" t="s">
        <v>126</v>
      </c>
      <c r="C19" s="19">
        <v>44</v>
      </c>
      <c r="D19" s="19">
        <f>84</f>
        <v>84</v>
      </c>
      <c r="E19" s="19">
        <v>60</v>
      </c>
      <c r="F19" s="19">
        <f>56+1142</f>
        <v>1198</v>
      </c>
      <c r="G19" s="19">
        <f t="shared" si="0"/>
        <v>1386</v>
      </c>
      <c r="H19" s="19">
        <f t="shared" si="1"/>
        <v>6013737600</v>
      </c>
    </row>
    <row r="20" spans="1:8" ht="12.75" customHeight="1">
      <c r="A20" s="20" t="s">
        <v>22</v>
      </c>
      <c r="B20" s="13" t="s">
        <v>228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f>G20*265200*12*2</f>
        <v>0</v>
      </c>
    </row>
    <row r="21" spans="1:8" ht="12.75" customHeight="1">
      <c r="A21" s="20" t="s">
        <v>80</v>
      </c>
      <c r="B21" s="13" t="s">
        <v>79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f>G21*265200*12*2</f>
        <v>0</v>
      </c>
    </row>
    <row r="22" spans="1:8" ht="12.75" customHeight="1">
      <c r="A22" s="20" t="s">
        <v>245</v>
      </c>
      <c r="B22" s="13" t="s">
        <v>227</v>
      </c>
      <c r="C22" s="19">
        <v>0</v>
      </c>
      <c r="D22" s="19">
        <v>0</v>
      </c>
      <c r="E22" s="19">
        <v>0</v>
      </c>
      <c r="F22" s="19">
        <v>0</v>
      </c>
      <c r="G22" s="19">
        <f t="shared" si="0"/>
        <v>0</v>
      </c>
      <c r="H22" s="19">
        <f t="shared" si="1"/>
        <v>0</v>
      </c>
    </row>
    <row r="23" spans="1:8" ht="12.75" customHeight="1">
      <c r="A23" s="20" t="s">
        <v>455</v>
      </c>
      <c r="B23" s="13" t="s">
        <v>167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f>G23*265200*12*2</f>
        <v>0</v>
      </c>
    </row>
    <row r="24" spans="1:8" ht="12.75" customHeight="1">
      <c r="A24" s="20">
        <v>12</v>
      </c>
      <c r="B24" s="13" t="s">
        <v>590</v>
      </c>
      <c r="C24" s="19">
        <v>32</v>
      </c>
      <c r="D24" s="19">
        <v>222</v>
      </c>
      <c r="E24" s="19">
        <v>47</v>
      </c>
      <c r="F24" s="19">
        <v>18</v>
      </c>
      <c r="G24" s="19">
        <f t="shared" si="0"/>
        <v>319</v>
      </c>
      <c r="H24" s="19">
        <f t="shared" si="1"/>
        <v>2535904800</v>
      </c>
    </row>
    <row r="25" spans="1:8" ht="12.75" customHeight="1">
      <c r="A25" s="20" t="s">
        <v>81</v>
      </c>
      <c r="B25" s="13" t="s">
        <v>82</v>
      </c>
      <c r="C25" s="19">
        <v>0</v>
      </c>
      <c r="D25" s="19">
        <v>0</v>
      </c>
      <c r="E25" s="19">
        <v>0</v>
      </c>
      <c r="F25" s="19">
        <v>0</v>
      </c>
      <c r="G25" s="19">
        <f t="shared" si="0"/>
        <v>0</v>
      </c>
      <c r="H25" s="19">
        <f t="shared" si="1"/>
        <v>0</v>
      </c>
    </row>
    <row r="26" spans="1:8" ht="12.75" customHeight="1">
      <c r="A26" s="20">
        <v>13</v>
      </c>
      <c r="B26" s="13" t="s">
        <v>589</v>
      </c>
      <c r="C26" s="19">
        <v>3</v>
      </c>
      <c r="D26" s="19">
        <v>5</v>
      </c>
      <c r="E26" s="19">
        <v>8</v>
      </c>
      <c r="F26" s="19">
        <f>4</f>
        <v>4</v>
      </c>
      <c r="G26" s="19">
        <f t="shared" si="0"/>
        <v>20</v>
      </c>
      <c r="H26" s="19">
        <f t="shared" si="1"/>
        <v>138153600</v>
      </c>
    </row>
    <row r="27" spans="1:8" ht="12.75" customHeight="1">
      <c r="A27" s="20" t="s">
        <v>24</v>
      </c>
      <c r="B27" s="13" t="s">
        <v>602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f>G27*265200*12*2</f>
        <v>0</v>
      </c>
    </row>
    <row r="28" spans="1:8" ht="12.75" customHeight="1">
      <c r="A28" s="20">
        <v>14</v>
      </c>
      <c r="B28" s="13" t="s">
        <v>409</v>
      </c>
      <c r="C28" s="19">
        <v>40</v>
      </c>
      <c r="D28" s="19">
        <v>14</v>
      </c>
      <c r="E28" s="19">
        <v>10</v>
      </c>
      <c r="F28" s="19">
        <v>7</v>
      </c>
      <c r="G28" s="19">
        <f t="shared" si="0"/>
        <v>71</v>
      </c>
      <c r="H28" s="19">
        <f t="shared" si="1"/>
        <v>613204800</v>
      </c>
    </row>
    <row r="29" spans="1:8" ht="12.75" customHeight="1">
      <c r="A29" s="20">
        <v>15</v>
      </c>
      <c r="B29" s="13" t="s">
        <v>88</v>
      </c>
      <c r="C29" s="19">
        <f>55</f>
        <v>55</v>
      </c>
      <c r="D29" s="19">
        <f>197</f>
        <v>197</v>
      </c>
      <c r="E29" s="19">
        <f>117</f>
        <v>117</v>
      </c>
      <c r="F29" s="19">
        <f>102</f>
        <v>102</v>
      </c>
      <c r="G29" s="19">
        <f t="shared" si="0"/>
        <v>471</v>
      </c>
      <c r="H29" s="19">
        <f t="shared" si="1"/>
        <v>3324578400</v>
      </c>
    </row>
    <row r="30" spans="1:8" ht="12.75" customHeight="1">
      <c r="A30" s="20">
        <v>16</v>
      </c>
      <c r="B30" s="13" t="s">
        <v>141</v>
      </c>
      <c r="C30" s="19">
        <f>27</f>
        <v>27</v>
      </c>
      <c r="D30" s="19">
        <f>48</f>
        <v>48</v>
      </c>
      <c r="E30" s="19">
        <f>34</f>
        <v>34</v>
      </c>
      <c r="F30" s="19">
        <f>66</f>
        <v>66</v>
      </c>
      <c r="G30" s="19">
        <f t="shared" si="0"/>
        <v>175</v>
      </c>
      <c r="H30" s="19">
        <f t="shared" si="1"/>
        <v>1137552000</v>
      </c>
    </row>
    <row r="31" spans="1:8" ht="12.75" customHeight="1">
      <c r="A31" s="20">
        <v>17</v>
      </c>
      <c r="B31" s="13" t="s">
        <v>588</v>
      </c>
      <c r="C31" s="19">
        <f>15</f>
        <v>15</v>
      </c>
      <c r="D31" s="19">
        <f>27</f>
        <v>27</v>
      </c>
      <c r="E31" s="19">
        <v>13</v>
      </c>
      <c r="F31" s="19">
        <v>7</v>
      </c>
      <c r="G31" s="19">
        <f t="shared" si="0"/>
        <v>62</v>
      </c>
      <c r="H31" s="19">
        <f t="shared" si="1"/>
        <v>486002400</v>
      </c>
    </row>
    <row r="32" spans="1:8" ht="12.75" customHeight="1">
      <c r="A32" s="20">
        <v>18</v>
      </c>
      <c r="B32" s="13" t="s">
        <v>587</v>
      </c>
      <c r="C32" s="19">
        <v>9</v>
      </c>
      <c r="D32" s="19">
        <v>28</v>
      </c>
      <c r="E32" s="19">
        <v>28</v>
      </c>
      <c r="F32" s="19">
        <v>13</v>
      </c>
      <c r="G32" s="19">
        <f t="shared" si="0"/>
        <v>78</v>
      </c>
      <c r="H32" s="19">
        <f t="shared" si="1"/>
        <v>551678400</v>
      </c>
    </row>
    <row r="33" spans="1:8" ht="12.75" customHeight="1">
      <c r="A33" s="20">
        <v>19</v>
      </c>
      <c r="B33" s="13" t="s">
        <v>586</v>
      </c>
      <c r="C33" s="19">
        <f>30</f>
        <v>30</v>
      </c>
      <c r="D33" s="19">
        <f>54</f>
        <v>54</v>
      </c>
      <c r="E33" s="19">
        <f>19</f>
        <v>19</v>
      </c>
      <c r="F33" s="19">
        <f>23</f>
        <v>23</v>
      </c>
      <c r="G33" s="19">
        <f t="shared" si="0"/>
        <v>126</v>
      </c>
      <c r="H33" s="19">
        <f t="shared" si="1"/>
        <v>960928800</v>
      </c>
    </row>
    <row r="34" spans="1:8" ht="12.75" customHeight="1">
      <c r="A34" s="20">
        <v>20</v>
      </c>
      <c r="B34" s="13" t="s">
        <v>570</v>
      </c>
      <c r="C34" s="19">
        <f>38+14</f>
        <v>52</v>
      </c>
      <c r="D34" s="19">
        <f>119+26</f>
        <v>145</v>
      </c>
      <c r="E34" s="19">
        <f>34+121</f>
        <v>155</v>
      </c>
      <c r="F34" s="19">
        <f>17+15</f>
        <v>32</v>
      </c>
      <c r="G34" s="19">
        <f t="shared" si="0"/>
        <v>384</v>
      </c>
      <c r="H34" s="19">
        <f t="shared" si="1"/>
        <v>2843474400</v>
      </c>
    </row>
    <row r="35" spans="1:8" ht="12.75" customHeight="1">
      <c r="A35" s="20">
        <v>21</v>
      </c>
      <c r="B35" s="13" t="s">
        <v>127</v>
      </c>
      <c r="C35" s="19">
        <f>6</f>
        <v>6</v>
      </c>
      <c r="D35" s="19">
        <f>36</f>
        <v>36</v>
      </c>
      <c r="E35" s="19">
        <f>6</f>
        <v>6</v>
      </c>
      <c r="F35" s="19">
        <v>10</v>
      </c>
      <c r="G35" s="19">
        <f t="shared" si="0"/>
        <v>58</v>
      </c>
      <c r="H35" s="19">
        <f t="shared" si="1"/>
        <v>435614400</v>
      </c>
    </row>
    <row r="36" spans="1:8" ht="12.75" customHeight="1">
      <c r="A36" s="20">
        <v>22</v>
      </c>
      <c r="B36" s="13" t="s">
        <v>139</v>
      </c>
      <c r="C36" s="19">
        <v>535</v>
      </c>
      <c r="D36" s="19">
        <v>3015</v>
      </c>
      <c r="E36" s="19">
        <v>30</v>
      </c>
      <c r="F36" s="19">
        <v>293</v>
      </c>
      <c r="G36" s="19">
        <f t="shared" si="0"/>
        <v>3873</v>
      </c>
      <c r="H36" s="19">
        <f t="shared" si="1"/>
        <v>31752552000</v>
      </c>
    </row>
    <row r="37" spans="1:8" ht="12.75" customHeight="1">
      <c r="A37" s="20">
        <v>23</v>
      </c>
      <c r="B37" s="13" t="s">
        <v>151</v>
      </c>
      <c r="C37" s="19">
        <v>167</v>
      </c>
      <c r="D37" s="19">
        <v>792</v>
      </c>
      <c r="E37" s="19">
        <v>492</v>
      </c>
      <c r="F37" s="19">
        <v>182</v>
      </c>
      <c r="G37" s="19">
        <f t="shared" si="0"/>
        <v>1633</v>
      </c>
      <c r="H37" s="19">
        <f t="shared" si="1"/>
        <v>12099796800</v>
      </c>
    </row>
    <row r="38" spans="1:8" ht="12.75" customHeight="1">
      <c r="A38" s="20">
        <v>24</v>
      </c>
      <c r="B38" s="13" t="s">
        <v>229</v>
      </c>
      <c r="C38" s="19">
        <f>5</f>
        <v>5</v>
      </c>
      <c r="D38" s="19">
        <f>22</f>
        <v>22</v>
      </c>
      <c r="E38" s="19">
        <v>7</v>
      </c>
      <c r="F38" s="19">
        <v>3</v>
      </c>
      <c r="G38" s="19">
        <f t="shared" si="0"/>
        <v>37</v>
      </c>
      <c r="H38" s="19">
        <f t="shared" si="1"/>
        <v>289442400</v>
      </c>
    </row>
    <row r="39" spans="1:8" ht="12.75" customHeight="1">
      <c r="A39" s="20">
        <v>25</v>
      </c>
      <c r="B39" s="13" t="s">
        <v>585</v>
      </c>
      <c r="C39" s="19">
        <v>22</v>
      </c>
      <c r="D39" s="19">
        <v>53</v>
      </c>
      <c r="E39" s="19">
        <v>63</v>
      </c>
      <c r="F39" s="19">
        <v>18</v>
      </c>
      <c r="G39" s="19">
        <f t="shared" si="0"/>
        <v>156</v>
      </c>
      <c r="H39" s="19">
        <f t="shared" si="1"/>
        <v>1133964000</v>
      </c>
    </row>
    <row r="40" spans="1:8" ht="12.75" customHeight="1">
      <c r="A40" s="20">
        <v>26</v>
      </c>
      <c r="B40" s="13" t="s">
        <v>584</v>
      </c>
      <c r="C40" s="19">
        <v>19</v>
      </c>
      <c r="D40" s="19">
        <v>78</v>
      </c>
      <c r="E40" s="19">
        <v>52</v>
      </c>
      <c r="F40" s="19">
        <v>49</v>
      </c>
      <c r="G40" s="19">
        <f t="shared" si="0"/>
        <v>198</v>
      </c>
      <c r="H40" s="19">
        <f t="shared" si="1"/>
        <v>1356638400</v>
      </c>
    </row>
    <row r="41" spans="1:8" ht="12.75" customHeight="1">
      <c r="A41" s="20">
        <v>27</v>
      </c>
      <c r="B41" s="13" t="s">
        <v>26</v>
      </c>
      <c r="C41" s="19">
        <v>6</v>
      </c>
      <c r="D41" s="19">
        <v>14</v>
      </c>
      <c r="E41" s="19">
        <v>3</v>
      </c>
      <c r="F41" s="19">
        <v>5</v>
      </c>
      <c r="G41" s="19">
        <f t="shared" si="0"/>
        <v>28</v>
      </c>
      <c r="H41" s="19">
        <f t="shared" si="1"/>
        <v>215124000</v>
      </c>
    </row>
    <row r="42" spans="1:8" ht="12.75" customHeight="1">
      <c r="A42" s="20">
        <v>28</v>
      </c>
      <c r="B42" s="13" t="s">
        <v>583</v>
      </c>
      <c r="C42" s="19">
        <v>4</v>
      </c>
      <c r="D42" s="19">
        <v>11</v>
      </c>
      <c r="E42" s="19">
        <v>5</v>
      </c>
      <c r="F42" s="19">
        <v>5</v>
      </c>
      <c r="G42" s="19">
        <f t="shared" si="0"/>
        <v>25</v>
      </c>
      <c r="H42" s="19">
        <f t="shared" si="1"/>
        <v>182676000</v>
      </c>
    </row>
    <row r="43" spans="1:8" ht="12.75" customHeight="1">
      <c r="A43" s="20">
        <v>29</v>
      </c>
      <c r="B43" s="13" t="s">
        <v>571</v>
      </c>
      <c r="C43" s="19">
        <v>1</v>
      </c>
      <c r="D43" s="19">
        <v>4</v>
      </c>
      <c r="E43" s="19">
        <v>2</v>
      </c>
      <c r="F43" s="19">
        <v>1</v>
      </c>
      <c r="G43" s="19">
        <f t="shared" si="0"/>
        <v>8</v>
      </c>
      <c r="H43" s="19">
        <f t="shared" si="1"/>
        <v>59904000</v>
      </c>
    </row>
    <row r="44" spans="1:8" ht="12.75" customHeight="1">
      <c r="A44" s="20">
        <v>30</v>
      </c>
      <c r="B44" s="13" t="s">
        <v>572</v>
      </c>
      <c r="C44" s="19">
        <v>6</v>
      </c>
      <c r="D44" s="19">
        <v>23</v>
      </c>
      <c r="E44" s="19">
        <v>11</v>
      </c>
      <c r="F44" s="19">
        <v>14</v>
      </c>
      <c r="G44" s="19">
        <f t="shared" si="0"/>
        <v>54</v>
      </c>
      <c r="H44" s="19">
        <f>F44*156000*12*2+E44*266500*12*2+D44*345800*12*2+C44*423800*12*2</f>
        <v>374680800</v>
      </c>
    </row>
    <row r="45" spans="1:8" ht="12.75" customHeight="1">
      <c r="A45" s="20">
        <v>31</v>
      </c>
      <c r="B45" s="13" t="s">
        <v>582</v>
      </c>
      <c r="C45" s="19">
        <v>18</v>
      </c>
      <c r="D45" s="19">
        <v>94</v>
      </c>
      <c r="E45" s="19">
        <v>34</v>
      </c>
      <c r="F45" s="19">
        <v>28</v>
      </c>
      <c r="G45" s="19">
        <f t="shared" si="0"/>
        <v>174</v>
      </c>
      <c r="H45" s="19">
        <f>F45*156000*12*2+E45*266500*12*2+D45*345800*12*2+C45*423800*12*2</f>
        <v>1285502400</v>
      </c>
    </row>
    <row r="46" spans="1:8" ht="12.75" customHeight="1">
      <c r="A46" s="20">
        <v>32</v>
      </c>
      <c r="B46" s="13" t="s">
        <v>84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f t="shared" si="1"/>
        <v>0</v>
      </c>
    </row>
    <row r="47" spans="1:8" ht="12.75" customHeight="1">
      <c r="A47" s="20">
        <v>33</v>
      </c>
      <c r="B47" s="13" t="s">
        <v>15</v>
      </c>
      <c r="C47" s="19">
        <v>3</v>
      </c>
      <c r="D47" s="19">
        <v>4</v>
      </c>
      <c r="E47" s="19">
        <v>1</v>
      </c>
      <c r="F47" s="19">
        <v>2</v>
      </c>
      <c r="G47" s="19">
        <f>F47+E47+D47+C47</f>
        <v>10</v>
      </c>
      <c r="H47" s="19">
        <f t="shared" si="1"/>
        <v>77594400</v>
      </c>
    </row>
    <row r="48" spans="1:8" ht="12.75" customHeight="1">
      <c r="A48" s="20">
        <v>34</v>
      </c>
      <c r="B48" s="13" t="s">
        <v>121</v>
      </c>
      <c r="C48" s="19">
        <v>2</v>
      </c>
      <c r="D48" s="19">
        <v>7</v>
      </c>
      <c r="E48" s="19">
        <v>1</v>
      </c>
      <c r="F48" s="19">
        <v>3</v>
      </c>
      <c r="G48" s="19">
        <f t="shared" si="0"/>
        <v>13</v>
      </c>
      <c r="H48" s="19">
        <f t="shared" si="1"/>
        <v>96064800</v>
      </c>
    </row>
    <row r="49" spans="1:8" ht="12.75" customHeight="1">
      <c r="A49" s="20">
        <v>35</v>
      </c>
      <c r="B49" s="13" t="s">
        <v>400</v>
      </c>
      <c r="C49" s="19">
        <v>4</v>
      </c>
      <c r="D49" s="19">
        <v>0</v>
      </c>
      <c r="E49" s="19">
        <v>1</v>
      </c>
      <c r="F49" s="19">
        <v>1</v>
      </c>
      <c r="G49" s="19">
        <f t="shared" si="0"/>
        <v>6</v>
      </c>
      <c r="H49" s="19">
        <f t="shared" si="1"/>
        <v>50824800</v>
      </c>
    </row>
    <row r="50" spans="1:8" ht="12.75" customHeight="1">
      <c r="A50" s="20">
        <v>36</v>
      </c>
      <c r="B50" s="13" t="s">
        <v>573</v>
      </c>
      <c r="C50" s="19">
        <v>2</v>
      </c>
      <c r="D50" s="19">
        <v>1</v>
      </c>
      <c r="E50" s="19">
        <v>1</v>
      </c>
      <c r="F50" s="19">
        <v>2</v>
      </c>
      <c r="G50" s="19">
        <f t="shared" si="0"/>
        <v>6</v>
      </c>
      <c r="H50" s="19">
        <f t="shared" si="1"/>
        <v>42525600</v>
      </c>
    </row>
    <row r="51" spans="1:8" ht="12.75" customHeight="1">
      <c r="A51" s="20">
        <v>37</v>
      </c>
      <c r="B51" s="13" t="s">
        <v>574</v>
      </c>
      <c r="C51" s="19">
        <v>3</v>
      </c>
      <c r="D51" s="19">
        <v>5</v>
      </c>
      <c r="E51" s="19">
        <v>2</v>
      </c>
      <c r="F51" s="19">
        <v>4</v>
      </c>
      <c r="G51" s="19">
        <f t="shared" si="0"/>
        <v>14</v>
      </c>
      <c r="H51" s="19">
        <f t="shared" si="1"/>
        <v>99777600</v>
      </c>
    </row>
    <row r="52" spans="1:8" ht="12.75" customHeight="1">
      <c r="A52" s="20">
        <v>38</v>
      </c>
      <c r="B52" s="13" t="s">
        <v>575</v>
      </c>
      <c r="C52" s="19">
        <v>22</v>
      </c>
      <c r="D52" s="19">
        <v>33</v>
      </c>
      <c r="E52" s="19">
        <v>3</v>
      </c>
      <c r="F52" s="19">
        <v>6</v>
      </c>
      <c r="G52" s="19">
        <f t="shared" si="0"/>
        <v>64</v>
      </c>
      <c r="H52" s="19">
        <f t="shared" si="1"/>
        <v>539292000</v>
      </c>
    </row>
    <row r="53" spans="1:8" ht="12.75" customHeight="1">
      <c r="A53" s="20">
        <v>39</v>
      </c>
      <c r="B53" s="13" t="s">
        <v>576</v>
      </c>
      <c r="C53" s="19">
        <v>17</v>
      </c>
      <c r="D53" s="19">
        <v>5</v>
      </c>
      <c r="E53" s="19">
        <v>3</v>
      </c>
      <c r="F53" s="19">
        <v>4</v>
      </c>
      <c r="G53" s="19">
        <f t="shared" si="0"/>
        <v>29</v>
      </c>
      <c r="H53" s="19">
        <f t="shared" si="1"/>
        <v>248570400</v>
      </c>
    </row>
    <row r="54" spans="1:8" ht="15.75" customHeight="1">
      <c r="A54" s="21"/>
      <c r="B54" s="19" t="s">
        <v>27</v>
      </c>
      <c r="C54" s="19">
        <f t="shared" ref="C54:H54" si="2">SUM(C2:C53)</f>
        <v>1361</v>
      </c>
      <c r="D54" s="19">
        <f t="shared" si="2"/>
        <v>5255</v>
      </c>
      <c r="E54" s="19">
        <f t="shared" si="2"/>
        <v>1317</v>
      </c>
      <c r="F54" s="19">
        <f t="shared" si="2"/>
        <v>2310</v>
      </c>
      <c r="G54" s="19">
        <f t="shared" si="2"/>
        <v>10543</v>
      </c>
      <c r="H54" s="19">
        <f t="shared" si="2"/>
        <v>76436911200</v>
      </c>
    </row>
    <row r="55" spans="1:8">
      <c r="B55" s="4" t="s">
        <v>598</v>
      </c>
    </row>
    <row r="56" spans="1:8">
      <c r="G56" s="6"/>
    </row>
  </sheetData>
  <phoneticPr fontId="42" type="noConversion"/>
  <pageMargins left="0.51" right="0.39" top="0.73" bottom="0.22" header="0.17" footer="0.17"/>
  <pageSetup scale="97" orientation="portrait" r:id="rId1"/>
  <headerFooter alignWithMargins="0">
    <oddHeader>&amp;C&amp;"Times New Roman,Bold"&amp;20Shaxda Mushaharka Shaqaalaha &amp; Ciidamadda ee 2011.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DA61"/>
  <sheetViews>
    <sheetView view="pageBreakPreview" topLeftCell="B1" zoomScale="59" zoomScaleSheetLayoutView="59" workbookViewId="0">
      <selection activeCell="K19" sqref="K19"/>
    </sheetView>
  </sheetViews>
  <sheetFormatPr defaultRowHeight="12.75"/>
  <cols>
    <col min="1" max="1" width="14.33203125" customWidth="1"/>
    <col min="2" max="2" width="77.6640625" customWidth="1"/>
    <col min="3" max="3" width="0.1640625" hidden="1" customWidth="1"/>
    <col min="4" max="7" width="9.33203125" hidden="1" customWidth="1"/>
    <col min="8" max="8" width="30.5" hidden="1" customWidth="1"/>
    <col min="9" max="9" width="3.1640625" hidden="1" customWidth="1"/>
    <col min="10" max="10" width="40" customWidth="1"/>
    <col min="11" max="11" width="40.5" customWidth="1"/>
    <col min="12" max="12" width="36" customWidth="1"/>
  </cols>
  <sheetData>
    <row r="1" spans="1:12" ht="35.25" customHeight="1">
      <c r="A1" s="54" t="s">
        <v>45</v>
      </c>
      <c r="B1" s="55" t="s">
        <v>51</v>
      </c>
      <c r="C1" s="56" t="s">
        <v>2</v>
      </c>
      <c r="D1" s="56" t="s">
        <v>48</v>
      </c>
      <c r="E1" s="56" t="s">
        <v>57</v>
      </c>
      <c r="F1" s="56" t="s">
        <v>72</v>
      </c>
      <c r="G1" s="57" t="s">
        <v>69</v>
      </c>
      <c r="H1" s="57" t="s">
        <v>147</v>
      </c>
      <c r="I1" s="57" t="s">
        <v>148</v>
      </c>
      <c r="J1" s="57" t="s">
        <v>180</v>
      </c>
      <c r="K1" s="57" t="s">
        <v>297</v>
      </c>
      <c r="L1" s="56" t="s">
        <v>246</v>
      </c>
    </row>
    <row r="2" spans="1:12" ht="26.25" customHeight="1">
      <c r="A2" s="25">
        <v>1</v>
      </c>
      <c r="B2" s="24" t="s">
        <v>118</v>
      </c>
      <c r="C2" s="24" t="e">
        <f>'1-1A'!#REF!</f>
        <v>#REF!</v>
      </c>
      <c r="D2" s="24">
        <f>'1-1A'!C7</f>
        <v>0</v>
      </c>
      <c r="E2" s="24">
        <f>'1-1A'!C7</f>
        <v>0</v>
      </c>
      <c r="F2" s="24">
        <f>'1-1A'!D7</f>
        <v>0</v>
      </c>
      <c r="G2" s="27">
        <f>'1-1A'!E4</f>
        <v>2600419200</v>
      </c>
      <c r="H2" s="27">
        <f>'1-1A'!F4</f>
        <v>2600419200</v>
      </c>
      <c r="I2" s="27">
        <v>2600419200</v>
      </c>
      <c r="J2" s="27">
        <v>2600419200</v>
      </c>
      <c r="K2" s="27">
        <f>'1-1A'!I7</f>
        <v>819000000</v>
      </c>
      <c r="L2" s="24">
        <f>K2-J2</f>
        <v>-1781419200</v>
      </c>
    </row>
    <row r="3" spans="1:12" ht="26.25" customHeight="1">
      <c r="A3" s="25" t="s">
        <v>77</v>
      </c>
      <c r="B3" s="24" t="s">
        <v>117</v>
      </c>
      <c r="C3" s="24" t="e">
        <f>'1-1A'!#REF!</f>
        <v>#REF!</v>
      </c>
      <c r="D3" s="24" t="e">
        <f>'1-1A'!#REF!</f>
        <v>#REF!</v>
      </c>
      <c r="E3" s="24">
        <f>'1-1A'!C21</f>
        <v>1189000000</v>
      </c>
      <c r="F3" s="24">
        <f>'1-1A'!D21</f>
        <v>1151200000</v>
      </c>
      <c r="G3" s="27">
        <f>'1-1A'!E21</f>
        <v>1151200000</v>
      </c>
      <c r="H3" s="27">
        <f>'1-1A'!F18:F18</f>
        <v>1151200000</v>
      </c>
      <c r="I3" s="27">
        <v>1151200000</v>
      </c>
      <c r="J3" s="27">
        <v>1151200000</v>
      </c>
      <c r="K3" s="27">
        <f>'1-1A'!I21</f>
        <v>585000000</v>
      </c>
      <c r="L3" s="24">
        <f t="shared" ref="L3:L54" si="0">K3-J3</f>
        <v>-566200000</v>
      </c>
    </row>
    <row r="4" spans="1:12" ht="26.25" customHeight="1">
      <c r="A4" s="25" t="s">
        <v>76</v>
      </c>
      <c r="B4" s="24" t="s">
        <v>234</v>
      </c>
      <c r="C4" s="24"/>
      <c r="D4" s="24"/>
      <c r="E4" s="24"/>
      <c r="F4" s="24">
        <v>0</v>
      </c>
      <c r="G4" s="27" t="e">
        <f>'1B'!D25</f>
        <v>#REF!</v>
      </c>
      <c r="H4" s="27">
        <v>283464717</v>
      </c>
      <c r="I4" s="27" t="e">
        <f>'1B'!F25</f>
        <v>#REF!</v>
      </c>
      <c r="J4" s="27">
        <v>379488642</v>
      </c>
      <c r="K4" s="27">
        <f>'1B'!H40</f>
        <v>654751624.20000005</v>
      </c>
      <c r="L4" s="24">
        <f t="shared" si="0"/>
        <v>275262982.20000005</v>
      </c>
    </row>
    <row r="5" spans="1:12" ht="26.25" customHeight="1">
      <c r="A5" s="25">
        <v>2</v>
      </c>
      <c r="B5" s="24" t="s">
        <v>115</v>
      </c>
      <c r="C5" s="24" t="e">
        <f>#REF!</f>
        <v>#REF!</v>
      </c>
      <c r="D5" s="24" t="e">
        <f>#REF!</f>
        <v>#REF!</v>
      </c>
      <c r="E5" s="24" t="e">
        <f>#REF!</f>
        <v>#REF!</v>
      </c>
      <c r="F5" s="24" t="e">
        <f>'2'!G52</f>
        <v>#REF!</v>
      </c>
      <c r="G5" s="27" t="e">
        <f>'2'!H52</f>
        <v>#REF!</v>
      </c>
      <c r="H5" s="27" t="e">
        <f>'2'!I52</f>
        <v>#REF!</v>
      </c>
      <c r="I5" s="27" t="e">
        <f>'2'!J52</f>
        <v>#REF!</v>
      </c>
      <c r="J5" s="27">
        <v>6088620400</v>
      </c>
      <c r="K5" s="27">
        <f>'2'!M52</f>
        <v>15614266400</v>
      </c>
      <c r="L5" s="24">
        <f t="shared" si="0"/>
        <v>9525646000</v>
      </c>
    </row>
    <row r="6" spans="1:12" ht="26.25" customHeight="1">
      <c r="A6" s="25">
        <v>3</v>
      </c>
      <c r="B6" s="24" t="s">
        <v>116</v>
      </c>
      <c r="C6" s="24" t="e">
        <f>'3'!#REF!</f>
        <v>#REF!</v>
      </c>
      <c r="D6" s="24" t="e">
        <f>'3'!#REF!</f>
        <v>#REF!</v>
      </c>
      <c r="E6" s="24" t="e">
        <f>'3'!#REF!</f>
        <v>#REF!</v>
      </c>
      <c r="F6" s="24" t="e">
        <f>'3'!#REF!</f>
        <v>#REF!</v>
      </c>
      <c r="G6" s="27" t="e">
        <f>'3'!#REF!</f>
        <v>#REF!</v>
      </c>
      <c r="H6" s="27" t="e">
        <f>'3'!#REF!</f>
        <v>#REF!</v>
      </c>
      <c r="I6" s="27" t="e">
        <f>'3'!#REF!</f>
        <v>#REF!</v>
      </c>
      <c r="J6" s="27">
        <v>6555058600</v>
      </c>
      <c r="K6" s="27">
        <f>'3'!L53</f>
        <v>14449890400</v>
      </c>
      <c r="L6" s="24">
        <f t="shared" si="0"/>
        <v>7894831800</v>
      </c>
    </row>
    <row r="7" spans="1:12" ht="26.25" customHeight="1">
      <c r="A7" s="25">
        <v>4</v>
      </c>
      <c r="B7" s="24" t="s">
        <v>233</v>
      </c>
      <c r="C7" s="24" t="e">
        <f>'4'!#REF!</f>
        <v>#REF!</v>
      </c>
      <c r="D7" s="24" t="e">
        <f>'4'!#REF!</f>
        <v>#REF!</v>
      </c>
      <c r="E7" s="24" t="e">
        <f>'4'!#REF!</f>
        <v>#REF!</v>
      </c>
      <c r="F7" s="24" t="e">
        <f>'4'!#REF!</f>
        <v>#REF!</v>
      </c>
      <c r="G7" s="27" t="e">
        <f>'4'!#REF!</f>
        <v>#REF!</v>
      </c>
      <c r="H7" s="27" t="e">
        <f>'4'!#REF!</f>
        <v>#REF!</v>
      </c>
      <c r="I7" s="27" t="e">
        <f>'4'!#REF!</f>
        <v>#REF!</v>
      </c>
      <c r="J7" s="27">
        <v>1114391200</v>
      </c>
      <c r="K7" s="27">
        <f>'4'!L48</f>
        <v>1191980080</v>
      </c>
      <c r="L7" s="24">
        <f t="shared" si="0"/>
        <v>77588880</v>
      </c>
    </row>
    <row r="8" spans="1:12" ht="26.25" customHeight="1">
      <c r="A8" s="25">
        <v>5</v>
      </c>
      <c r="B8" s="24" t="s">
        <v>600</v>
      </c>
      <c r="C8" s="24" t="e">
        <f>'5'!#REF!</f>
        <v>#REF!</v>
      </c>
      <c r="D8" s="24" t="e">
        <f>'5'!#REF!</f>
        <v>#REF!</v>
      </c>
      <c r="E8" s="24" t="e">
        <f>'5'!#REF!</f>
        <v>#REF!</v>
      </c>
      <c r="F8" s="24">
        <v>463194400</v>
      </c>
      <c r="G8" s="27" t="e">
        <f>'5'!#REF!</f>
        <v>#REF!</v>
      </c>
      <c r="H8" s="27" t="e">
        <f>'5'!#REF!</f>
        <v>#REF!</v>
      </c>
      <c r="I8" s="27" t="e">
        <f>'5'!#REF!</f>
        <v>#REF!</v>
      </c>
      <c r="J8" s="27">
        <v>854051200</v>
      </c>
      <c r="K8" s="27">
        <f>'5'!L50</f>
        <v>1376195200</v>
      </c>
      <c r="L8" s="24">
        <f t="shared" si="0"/>
        <v>522144000</v>
      </c>
    </row>
    <row r="9" spans="1:12" ht="26.25" customHeight="1">
      <c r="A9" s="25">
        <v>6</v>
      </c>
      <c r="B9" s="24" t="s">
        <v>108</v>
      </c>
      <c r="C9" s="24" t="e">
        <f>'6'!#REF!</f>
        <v>#REF!</v>
      </c>
      <c r="D9" s="24" t="e">
        <f>'6'!#REF!</f>
        <v>#REF!</v>
      </c>
      <c r="E9" s="24" t="e">
        <f>'6'!#REF!</f>
        <v>#REF!</v>
      </c>
      <c r="F9" s="24">
        <v>516977600</v>
      </c>
      <c r="G9" s="27" t="e">
        <f>'6'!#REF!</f>
        <v>#REF!</v>
      </c>
      <c r="H9" s="27" t="e">
        <f>'6'!#REF!</f>
        <v>#REF!</v>
      </c>
      <c r="I9" s="27" t="e">
        <f>'6'!#REF!</f>
        <v>#REF!</v>
      </c>
      <c r="J9" s="27">
        <v>907223322</v>
      </c>
      <c r="K9" s="27">
        <f>'6'!L53</f>
        <v>4553600085.3999996</v>
      </c>
      <c r="L9" s="24">
        <f t="shared" si="0"/>
        <v>3646376763.3999996</v>
      </c>
    </row>
    <row r="10" spans="1:12" ht="26.25" customHeight="1">
      <c r="A10" s="25">
        <v>7</v>
      </c>
      <c r="B10" s="24" t="s">
        <v>107</v>
      </c>
      <c r="C10" s="24">
        <f>'7'!D30</f>
        <v>0</v>
      </c>
      <c r="D10" s="24">
        <f>'7'!E30</f>
        <v>0</v>
      </c>
      <c r="E10" s="24">
        <f>'7'!F30</f>
        <v>0</v>
      </c>
      <c r="F10" s="24">
        <v>496375200</v>
      </c>
      <c r="G10" s="27">
        <f>'7'!I30:I30</f>
        <v>0</v>
      </c>
      <c r="H10" s="27">
        <f>'7'!J30</f>
        <v>0</v>
      </c>
      <c r="I10" s="27">
        <f>'7'!K30</f>
        <v>14151200</v>
      </c>
      <c r="J10" s="27">
        <v>1758966400</v>
      </c>
      <c r="K10" s="27">
        <f>'7'!M47</f>
        <v>1487178880</v>
      </c>
      <c r="L10" s="24">
        <f t="shared" si="0"/>
        <v>-271787520</v>
      </c>
    </row>
    <row r="11" spans="1:12" ht="26.25" customHeight="1">
      <c r="A11" s="25">
        <v>8</v>
      </c>
      <c r="B11" s="24" t="s">
        <v>403</v>
      </c>
      <c r="C11" s="24" t="e">
        <f>'8'!#REF!</f>
        <v>#REF!</v>
      </c>
      <c r="D11" s="24" t="e">
        <f>'8'!#REF!</f>
        <v>#REF!</v>
      </c>
      <c r="E11" s="24" t="e">
        <f>'8'!#REF!</f>
        <v>#REF!</v>
      </c>
      <c r="F11" s="24" t="e">
        <f>'8'!#REF!</f>
        <v>#REF!</v>
      </c>
      <c r="G11" s="27" t="e">
        <f>'8'!#REF!</f>
        <v>#REF!</v>
      </c>
      <c r="H11" s="27" t="e">
        <f>'8'!#REF!</f>
        <v>#REF!</v>
      </c>
      <c r="I11" s="27" t="e">
        <f>'8'!#REF!</f>
        <v>#REF!</v>
      </c>
      <c r="J11" s="27">
        <v>13195562882</v>
      </c>
      <c r="K11" s="27">
        <f>'8'!K58</f>
        <v>36927624324</v>
      </c>
      <c r="L11" s="24">
        <f t="shared" si="0"/>
        <v>23732061442</v>
      </c>
    </row>
    <row r="12" spans="1:12" ht="26.25" customHeight="1">
      <c r="A12" s="25" t="s">
        <v>14</v>
      </c>
      <c r="B12" s="24" t="s">
        <v>220</v>
      </c>
      <c r="C12" s="24">
        <f>'33'!D36</f>
        <v>0</v>
      </c>
      <c r="D12" s="24">
        <f>'33'!E36</f>
        <v>0</v>
      </c>
      <c r="E12" s="24">
        <f>'33'!F36</f>
        <v>0</v>
      </c>
      <c r="F12" s="24">
        <v>116932000</v>
      </c>
      <c r="G12" s="27">
        <f>'33'!H36</f>
        <v>0</v>
      </c>
      <c r="H12" s="27">
        <f>'33'!I36</f>
        <v>0</v>
      </c>
      <c r="I12" s="27">
        <f>'33'!J36</f>
        <v>0</v>
      </c>
      <c r="J12" s="27">
        <v>4324324812</v>
      </c>
      <c r="K12" s="27">
        <f>'8A'!M49</f>
        <v>7390013961.6714296</v>
      </c>
      <c r="L12" s="24">
        <f t="shared" si="0"/>
        <v>3065689149.6714296</v>
      </c>
    </row>
    <row r="13" spans="1:12" ht="26.25" customHeight="1">
      <c r="A13" s="25">
        <v>9</v>
      </c>
      <c r="B13" s="24" t="s">
        <v>149</v>
      </c>
      <c r="C13" s="24" t="e">
        <f>'9'!#REF!</f>
        <v>#REF!</v>
      </c>
      <c r="D13" s="24" t="e">
        <f>'9'!#REF!</f>
        <v>#REF!</v>
      </c>
      <c r="E13" s="24" t="e">
        <f>'9'!#REF!</f>
        <v>#REF!</v>
      </c>
      <c r="F13" s="24">
        <v>1870580000</v>
      </c>
      <c r="G13" s="27" t="e">
        <f>'9'!#REF!</f>
        <v>#REF!</v>
      </c>
      <c r="H13" s="27" t="e">
        <f>'9'!#REF!</f>
        <v>#REF!</v>
      </c>
      <c r="I13" s="27" t="e">
        <f>'9'!#REF!</f>
        <v>#REF!</v>
      </c>
      <c r="J13" s="27">
        <v>4597004640</v>
      </c>
      <c r="K13" s="27">
        <f>'9'!M51</f>
        <v>6734909088</v>
      </c>
      <c r="L13" s="24">
        <f t="shared" si="0"/>
        <v>2137904448</v>
      </c>
    </row>
    <row r="14" spans="1:12" ht="26.25" customHeight="1">
      <c r="A14" s="25">
        <v>10</v>
      </c>
      <c r="B14" s="24" t="s">
        <v>413</v>
      </c>
      <c r="C14" s="24" t="e">
        <f>'10'!D29</f>
        <v>#REF!</v>
      </c>
      <c r="D14" s="24" t="e">
        <f>'10'!E29</f>
        <v>#REF!</v>
      </c>
      <c r="E14" s="24" t="e">
        <f>'10'!F29</f>
        <v>#REF!</v>
      </c>
      <c r="F14" s="24">
        <v>235824000</v>
      </c>
      <c r="G14" s="27" t="e">
        <f>'10'!H29</f>
        <v>#REF!</v>
      </c>
      <c r="H14" s="27" t="e">
        <f>'10'!I29</f>
        <v>#REF!</v>
      </c>
      <c r="I14" s="27" t="e">
        <f>'10'!J29</f>
        <v>#REF!</v>
      </c>
      <c r="J14" s="27">
        <v>679875200</v>
      </c>
      <c r="K14" s="27">
        <f>'10'!M47</f>
        <v>934060859</v>
      </c>
      <c r="L14" s="24">
        <f t="shared" si="0"/>
        <v>254185659</v>
      </c>
    </row>
    <row r="15" spans="1:12" ht="26.25" customHeight="1">
      <c r="A15" s="25" t="s">
        <v>75</v>
      </c>
      <c r="B15" s="24" t="s">
        <v>232</v>
      </c>
      <c r="C15" s="24" t="e">
        <f>'10a'!#REF!</f>
        <v>#REF!</v>
      </c>
      <c r="D15" s="24" t="e">
        <f>'10a'!#REF!</f>
        <v>#REF!</v>
      </c>
      <c r="E15" s="24" t="e">
        <f>'10a'!#REF!</f>
        <v>#REF!</v>
      </c>
      <c r="F15" s="24">
        <v>6290707200</v>
      </c>
      <c r="G15" s="24" t="e">
        <f>'10a'!#REF!</f>
        <v>#REF!</v>
      </c>
      <c r="H15" s="24" t="e">
        <f>'10a'!#REF!</f>
        <v>#REF!</v>
      </c>
      <c r="I15" s="24" t="e">
        <f>'10a'!#REF!</f>
        <v>#REF!</v>
      </c>
      <c r="J15" s="27">
        <v>17366838836</v>
      </c>
      <c r="K15" s="24">
        <f>'10a'!M49</f>
        <v>28907928370</v>
      </c>
      <c r="L15" s="24">
        <f t="shared" si="0"/>
        <v>11541089534</v>
      </c>
    </row>
    <row r="16" spans="1:12" ht="26.25" customHeight="1">
      <c r="A16" s="25" t="s">
        <v>223</v>
      </c>
      <c r="B16" s="24" t="s">
        <v>231</v>
      </c>
      <c r="C16" s="24" t="e">
        <f>#REF!</f>
        <v>#REF!</v>
      </c>
      <c r="D16" s="24" t="e">
        <f>#REF!</f>
        <v>#REF!</v>
      </c>
      <c r="E16" s="24" t="e">
        <f>#REF!</f>
        <v>#REF!</v>
      </c>
      <c r="F16" s="24">
        <v>1956383200</v>
      </c>
      <c r="G16" s="24" t="e">
        <f>#REF!</f>
        <v>#REF!</v>
      </c>
      <c r="H16" s="24" t="e">
        <f>#REF!</f>
        <v>#REF!</v>
      </c>
      <c r="I16" s="24" t="e">
        <f>#REF!</f>
        <v>#REF!</v>
      </c>
      <c r="J16" s="27">
        <v>4243360800</v>
      </c>
      <c r="K16" s="24">
        <f>'10b'!L46</f>
        <v>5250228560</v>
      </c>
      <c r="L16" s="24">
        <f t="shared" si="0"/>
        <v>1006867760</v>
      </c>
    </row>
    <row r="17" spans="1:12" ht="26.25" customHeight="1">
      <c r="A17" s="25" t="s">
        <v>217</v>
      </c>
      <c r="B17" s="24" t="s">
        <v>225</v>
      </c>
      <c r="C17" s="24"/>
      <c r="D17" s="24"/>
      <c r="E17" s="24"/>
      <c r="F17" s="24"/>
      <c r="G17" s="27"/>
      <c r="H17" s="27"/>
      <c r="I17" s="27"/>
      <c r="J17" s="27">
        <v>235240000</v>
      </c>
      <c r="K17" s="27">
        <f>'10c'!M39</f>
        <v>238129360</v>
      </c>
      <c r="L17" s="24">
        <f t="shared" si="0"/>
        <v>2889360</v>
      </c>
    </row>
    <row r="18" spans="1:12" ht="26.25" customHeight="1">
      <c r="A18" s="25" t="s">
        <v>216</v>
      </c>
      <c r="B18" s="24" t="s">
        <v>226</v>
      </c>
      <c r="C18" s="24"/>
      <c r="D18" s="24"/>
      <c r="E18" s="24"/>
      <c r="F18" s="24"/>
      <c r="G18" s="27"/>
      <c r="H18" s="27"/>
      <c r="I18" s="27"/>
      <c r="J18" s="27">
        <v>306784800</v>
      </c>
      <c r="K18" s="27">
        <f>'10d'!N32</f>
        <v>346828800</v>
      </c>
      <c r="L18" s="24">
        <f t="shared" si="0"/>
        <v>40044000</v>
      </c>
    </row>
    <row r="19" spans="1:12" ht="26.25" customHeight="1">
      <c r="A19" s="25">
        <v>11</v>
      </c>
      <c r="B19" s="24" t="s">
        <v>140</v>
      </c>
      <c r="C19" s="24" t="e">
        <f>#REF!</f>
        <v>#REF!</v>
      </c>
      <c r="D19" s="24" t="e">
        <f>#REF!</f>
        <v>#REF!</v>
      </c>
      <c r="E19" s="24" t="e">
        <f>#REF!</f>
        <v>#REF!</v>
      </c>
      <c r="F19" s="24">
        <v>7253005000</v>
      </c>
      <c r="G19" s="27" t="e">
        <f>#REF!</f>
        <v>#REF!</v>
      </c>
      <c r="H19" s="27" t="e">
        <f>#REF!</f>
        <v>#REF!</v>
      </c>
      <c r="I19" s="27" t="e">
        <f>#REF!</f>
        <v>#REF!</v>
      </c>
      <c r="J19" s="27">
        <f>13678460159+911575954</f>
        <v>14590036113</v>
      </c>
      <c r="K19" s="27" t="e">
        <f>#REF!</f>
        <v>#REF!</v>
      </c>
      <c r="L19" s="24" t="e">
        <f t="shared" si="0"/>
        <v>#REF!</v>
      </c>
    </row>
    <row r="20" spans="1:12" ht="26.25" customHeight="1">
      <c r="A20" s="25" t="s">
        <v>221</v>
      </c>
      <c r="B20" s="24" t="s">
        <v>228</v>
      </c>
      <c r="C20" s="24" t="e">
        <f>'11a'!#REF!</f>
        <v>#REF!</v>
      </c>
      <c r="D20" s="24" t="e">
        <f>'11a'!#REF!</f>
        <v>#REF!</v>
      </c>
      <c r="E20" s="24" t="e">
        <f>'11a'!#REF!</f>
        <v>#REF!</v>
      </c>
      <c r="F20" s="24">
        <v>15499411200</v>
      </c>
      <c r="G20" s="27" t="e">
        <f>'11a'!#REF!</f>
        <v>#REF!</v>
      </c>
      <c r="H20" s="27" t="e">
        <f>'11a'!#REF!</f>
        <v>#REF!</v>
      </c>
      <c r="I20" s="27" t="e">
        <f>'11a'!#REF!</f>
        <v>#REF!</v>
      </c>
      <c r="J20" s="27">
        <v>33622078053</v>
      </c>
      <c r="K20" s="27">
        <f>'11a'!M49</f>
        <v>65987778363</v>
      </c>
      <c r="L20" s="24">
        <f t="shared" si="0"/>
        <v>32365700310</v>
      </c>
    </row>
    <row r="21" spans="1:12" ht="26.25" customHeight="1">
      <c r="A21" s="25" t="s">
        <v>78</v>
      </c>
      <c r="B21" s="24" t="s">
        <v>79</v>
      </c>
      <c r="C21" s="24"/>
      <c r="D21" s="24"/>
      <c r="E21" s="24"/>
      <c r="F21" s="24">
        <v>0</v>
      </c>
      <c r="G21" s="27" t="e">
        <f>'11b'!#REF!</f>
        <v>#REF!</v>
      </c>
      <c r="H21" s="27" t="e">
        <f>'11b'!#REF!</f>
        <v>#REF!</v>
      </c>
      <c r="I21" s="27" t="e">
        <f>'11b'!#REF!</f>
        <v>#REF!</v>
      </c>
      <c r="J21" s="27">
        <v>2161379387</v>
      </c>
      <c r="K21" s="27">
        <f>'11b'!I43</f>
        <v>6403093217.3999996</v>
      </c>
      <c r="L21" s="24">
        <f t="shared" si="0"/>
        <v>4241713830.3999996</v>
      </c>
    </row>
    <row r="22" spans="1:12" ht="26.25" customHeight="1">
      <c r="A22" s="25" t="s">
        <v>224</v>
      </c>
      <c r="B22" s="24" t="s">
        <v>227</v>
      </c>
      <c r="C22" s="24"/>
      <c r="D22" s="24"/>
      <c r="E22" s="24"/>
      <c r="F22" s="24"/>
      <c r="G22" s="27"/>
      <c r="H22" s="27"/>
      <c r="I22" s="27"/>
      <c r="J22" s="27">
        <v>289800000</v>
      </c>
      <c r="K22" s="27">
        <f>'11c'!M42</f>
        <v>424900000</v>
      </c>
      <c r="L22" s="24">
        <f t="shared" si="0"/>
        <v>135100000</v>
      </c>
    </row>
    <row r="23" spans="1:12" ht="26.25" customHeight="1">
      <c r="A23" s="25" t="s">
        <v>455</v>
      </c>
      <c r="B23" s="24" t="s">
        <v>167</v>
      </c>
      <c r="C23" s="24"/>
      <c r="D23" s="24"/>
      <c r="E23" s="24"/>
      <c r="F23" s="24"/>
      <c r="G23" s="27"/>
      <c r="H23" s="27"/>
      <c r="I23" s="27"/>
      <c r="J23" s="27">
        <v>3053688406</v>
      </c>
      <c r="K23" s="27">
        <f>'11d'!K44</f>
        <v>2598135846</v>
      </c>
      <c r="L23" s="24">
        <f t="shared" si="0"/>
        <v>-455552560</v>
      </c>
    </row>
    <row r="24" spans="1:12" ht="26.25" customHeight="1">
      <c r="A24" s="25">
        <v>12</v>
      </c>
      <c r="B24" s="24" t="s">
        <v>114</v>
      </c>
      <c r="C24" s="24" t="e">
        <f>#REF!</f>
        <v>#REF!</v>
      </c>
      <c r="D24" s="24" t="e">
        <f>#REF!</f>
        <v>#REF!</v>
      </c>
      <c r="E24" s="24" t="e">
        <f>#REF!</f>
        <v>#REF!</v>
      </c>
      <c r="F24" s="24">
        <v>1120164000</v>
      </c>
      <c r="G24" s="24" t="e">
        <f>#REF!</f>
        <v>#REF!</v>
      </c>
      <c r="H24" s="24">
        <v>2129624000</v>
      </c>
      <c r="I24" s="24">
        <v>2777308800</v>
      </c>
      <c r="J24" s="27">
        <v>2829318000</v>
      </c>
      <c r="K24" s="24">
        <f>'12'!M49</f>
        <v>7671675200</v>
      </c>
      <c r="L24" s="24">
        <f t="shared" si="0"/>
        <v>4842357200</v>
      </c>
    </row>
    <row r="25" spans="1:12" ht="26.25" customHeight="1">
      <c r="A25" s="25" t="s">
        <v>222</v>
      </c>
      <c r="B25" s="24" t="s">
        <v>82</v>
      </c>
      <c r="C25" s="24"/>
      <c r="D25" s="24"/>
      <c r="E25" s="24"/>
      <c r="F25" s="24">
        <v>0</v>
      </c>
      <c r="G25" s="24" t="e">
        <f>'12a'!#REF!</f>
        <v>#REF!</v>
      </c>
      <c r="H25" s="24" t="e">
        <f>'12a'!#REF!</f>
        <v>#REF!</v>
      </c>
      <c r="I25" s="24" t="e">
        <f>'12a'!#REF!</f>
        <v>#REF!</v>
      </c>
      <c r="J25" s="27">
        <v>2962071366</v>
      </c>
      <c r="K25" s="24">
        <f>'12a'!I45</f>
        <v>8873433055.6000004</v>
      </c>
      <c r="L25" s="24">
        <f t="shared" si="0"/>
        <v>5911361689.6000004</v>
      </c>
    </row>
    <row r="26" spans="1:12" ht="26.25" customHeight="1">
      <c r="A26" s="25">
        <v>13</v>
      </c>
      <c r="B26" s="24" t="s">
        <v>230</v>
      </c>
      <c r="C26" s="24" t="e">
        <f>#REF!</f>
        <v>#REF!</v>
      </c>
      <c r="D26" s="24" t="e">
        <f>#REF!</f>
        <v>#REF!</v>
      </c>
      <c r="E26" s="24" t="e">
        <f>#REF!</f>
        <v>#REF!</v>
      </c>
      <c r="F26" s="24">
        <v>8198449200</v>
      </c>
      <c r="G26" s="24" t="e">
        <f>#REF!</f>
        <v>#REF!</v>
      </c>
      <c r="H26" s="24" t="e">
        <f>#REF!</f>
        <v>#REF!</v>
      </c>
      <c r="I26" s="24" t="e">
        <f>#REF!</f>
        <v>#REF!</v>
      </c>
      <c r="J26" s="27">
        <v>12346564127</v>
      </c>
      <c r="K26" s="24">
        <f>'13'!M45</f>
        <v>23437079569.985714</v>
      </c>
      <c r="L26" s="24">
        <f t="shared" si="0"/>
        <v>11090515442.985714</v>
      </c>
    </row>
    <row r="27" spans="1:12" ht="26.25" customHeight="1">
      <c r="A27" s="25" t="s">
        <v>24</v>
      </c>
      <c r="B27" s="24" t="s">
        <v>67</v>
      </c>
      <c r="C27" s="24" t="e">
        <f>#REF!</f>
        <v>#REF!</v>
      </c>
      <c r="D27" s="24" t="e">
        <f>#REF!</f>
        <v>#REF!</v>
      </c>
      <c r="E27" s="24" t="e">
        <f>#REF!</f>
        <v>#REF!</v>
      </c>
      <c r="F27" s="28">
        <v>39464354920</v>
      </c>
      <c r="G27" s="28" t="e">
        <f>#REF!</f>
        <v>#REF!</v>
      </c>
      <c r="H27" s="28" t="e">
        <f>#REF!</f>
        <v>#REF!</v>
      </c>
      <c r="I27" s="28" t="e">
        <f>#REF!</f>
        <v>#REF!</v>
      </c>
      <c r="J27" s="27">
        <v>87580662108</v>
      </c>
      <c r="K27" s="28">
        <f>'13A'!M45</f>
        <v>133672365037.14285</v>
      </c>
      <c r="L27" s="24">
        <f t="shared" si="0"/>
        <v>46091702929.142853</v>
      </c>
    </row>
    <row r="28" spans="1:12" ht="26.25" customHeight="1">
      <c r="A28" s="25">
        <v>14</v>
      </c>
      <c r="B28" s="24" t="s">
        <v>409</v>
      </c>
      <c r="C28" s="24" t="e">
        <f>'14'!#REF!</f>
        <v>#REF!</v>
      </c>
      <c r="D28" s="24" t="e">
        <f>'14'!#REF!</f>
        <v>#REF!</v>
      </c>
      <c r="E28" s="24" t="e">
        <f>'14'!#REF!</f>
        <v>#REF!</v>
      </c>
      <c r="F28" s="24">
        <v>296182400</v>
      </c>
      <c r="G28" s="24" t="e">
        <f>'14'!#REF!</f>
        <v>#REF!</v>
      </c>
      <c r="H28" s="24" t="e">
        <f>'14'!#REF!</f>
        <v>#REF!</v>
      </c>
      <c r="I28" s="24" t="e">
        <f>'14'!#REF!</f>
        <v>#REF!</v>
      </c>
      <c r="J28" s="27">
        <v>1778123200</v>
      </c>
      <c r="K28" s="24">
        <f>'14'!M44</f>
        <v>1702966400</v>
      </c>
      <c r="L28" s="24">
        <f t="shared" si="0"/>
        <v>-75156800</v>
      </c>
    </row>
    <row r="29" spans="1:12" ht="26.25" customHeight="1">
      <c r="A29" s="25">
        <v>15</v>
      </c>
      <c r="B29" s="24" t="s">
        <v>88</v>
      </c>
      <c r="C29" s="24" t="e">
        <f>#REF!</f>
        <v>#REF!</v>
      </c>
      <c r="D29" s="24" t="e">
        <f>#REF!</f>
        <v>#REF!</v>
      </c>
      <c r="E29" s="24" t="e">
        <f>#REF!</f>
        <v>#REF!</v>
      </c>
      <c r="F29" s="24">
        <v>14395601571</v>
      </c>
      <c r="G29" s="24" t="e">
        <f>#REF!</f>
        <v>#REF!</v>
      </c>
      <c r="H29" s="24" t="e">
        <f>#REF!</f>
        <v>#REF!</v>
      </c>
      <c r="I29" s="24" t="e">
        <f>#REF!</f>
        <v>#REF!</v>
      </c>
      <c r="J29" s="27">
        <v>18153248520</v>
      </c>
      <c r="K29" s="24">
        <f>'15'!M67</f>
        <v>42611931120</v>
      </c>
      <c r="L29" s="24">
        <f t="shared" si="0"/>
        <v>24458682600</v>
      </c>
    </row>
    <row r="30" spans="1:12" ht="26.25" customHeight="1">
      <c r="A30" s="25">
        <v>16</v>
      </c>
      <c r="B30" s="24" t="s">
        <v>404</v>
      </c>
      <c r="C30" s="24" t="e">
        <f>'16'!D39</f>
        <v>#REF!</v>
      </c>
      <c r="D30" s="24" t="e">
        <f>'16'!E39</f>
        <v>#REF!</v>
      </c>
      <c r="E30" s="24" t="e">
        <f>'16'!F39</f>
        <v>#REF!</v>
      </c>
      <c r="F30" s="24">
        <v>869997600</v>
      </c>
      <c r="G30" s="24" t="e">
        <f>'16'!H39</f>
        <v>#REF!</v>
      </c>
      <c r="H30" s="24" t="e">
        <f>'16'!I39</f>
        <v>#REF!</v>
      </c>
      <c r="I30" s="24" t="e">
        <f>'16'!J39</f>
        <v>#REF!</v>
      </c>
      <c r="J30" s="27">
        <f>1688550948+791945160+660502400</f>
        <v>3140998508</v>
      </c>
      <c r="K30" s="24">
        <f>'16'!M49</f>
        <v>4211323474.7714286</v>
      </c>
      <c r="L30" s="24">
        <f t="shared" si="0"/>
        <v>1070324966.7714286</v>
      </c>
    </row>
    <row r="31" spans="1:12" ht="26.25" customHeight="1">
      <c r="A31" s="25">
        <v>17</v>
      </c>
      <c r="B31" s="24" t="s">
        <v>405</v>
      </c>
      <c r="C31" s="24" t="e">
        <f>'17'!#REF!</f>
        <v>#REF!</v>
      </c>
      <c r="D31" s="24" t="e">
        <f>'17'!#REF!</f>
        <v>#REF!</v>
      </c>
      <c r="E31" s="24" t="e">
        <f>'17'!#REF!</f>
        <v>#REF!</v>
      </c>
      <c r="F31" s="24">
        <v>522060400</v>
      </c>
      <c r="G31" s="24" t="e">
        <f>'17'!#REF!</f>
        <v>#REF!</v>
      </c>
      <c r="H31" s="24" t="e">
        <f>'17'!#REF!</f>
        <v>#REF!</v>
      </c>
      <c r="I31" s="24" t="e">
        <f>'17'!#REF!</f>
        <v>#REF!</v>
      </c>
      <c r="J31" s="27">
        <v>1512814108</v>
      </c>
      <c r="K31" s="24">
        <f>'17'!N47</f>
        <v>1767482415.5999999</v>
      </c>
      <c r="L31" s="24">
        <f t="shared" si="0"/>
        <v>254668307.5999999</v>
      </c>
    </row>
    <row r="32" spans="1:12" ht="26.25" customHeight="1">
      <c r="A32" s="25">
        <v>18</v>
      </c>
      <c r="B32" s="24" t="s">
        <v>408</v>
      </c>
      <c r="C32" s="24" t="e">
        <f>#REF!</f>
        <v>#REF!</v>
      </c>
      <c r="D32" s="24" t="e">
        <f>#REF!</f>
        <v>#REF!</v>
      </c>
      <c r="E32" s="24" t="e">
        <f>#REF!</f>
        <v>#REF!</v>
      </c>
      <c r="F32" s="24">
        <v>887002400</v>
      </c>
      <c r="G32" s="24" t="e">
        <f>#REF!</f>
        <v>#REF!</v>
      </c>
      <c r="H32" s="24" t="e">
        <f>#REF!</f>
        <v>#REF!</v>
      </c>
      <c r="I32" s="24" t="e">
        <f>#REF!</f>
        <v>#REF!</v>
      </c>
      <c r="J32" s="27">
        <v>1464065118</v>
      </c>
      <c r="K32" s="24">
        <f>'18'!M45</f>
        <v>2903721822</v>
      </c>
      <c r="L32" s="24">
        <f t="shared" si="0"/>
        <v>1439656704</v>
      </c>
    </row>
    <row r="33" spans="1:12" ht="26.25" customHeight="1">
      <c r="A33" s="25">
        <v>19</v>
      </c>
      <c r="B33" s="24" t="s">
        <v>124</v>
      </c>
      <c r="C33" s="24" t="e">
        <f>'19'!D27</f>
        <v>#REF!</v>
      </c>
      <c r="D33" s="24" t="e">
        <f>'19'!E27</f>
        <v>#REF!</v>
      </c>
      <c r="E33" s="24" t="e">
        <f>'19'!F27</f>
        <v>#REF!</v>
      </c>
      <c r="F33" s="24">
        <v>563710400</v>
      </c>
      <c r="G33" s="24" t="e">
        <f>'19'!H27</f>
        <v>#REF!</v>
      </c>
      <c r="H33" s="24" t="e">
        <f>'19'!I27</f>
        <v>#REF!</v>
      </c>
      <c r="I33" s="24" t="e">
        <f>'19'!J27</f>
        <v>#REF!</v>
      </c>
      <c r="J33" s="27">
        <v>1637448296</v>
      </c>
      <c r="K33" s="24">
        <f>'19'!M47</f>
        <v>2374602813</v>
      </c>
      <c r="L33" s="24">
        <f t="shared" si="0"/>
        <v>737154517</v>
      </c>
    </row>
    <row r="34" spans="1:12" ht="26.25" customHeight="1">
      <c r="A34" s="25">
        <v>20</v>
      </c>
      <c r="B34" s="24" t="s">
        <v>406</v>
      </c>
      <c r="C34" s="24">
        <f>'20'!D41</f>
        <v>0</v>
      </c>
      <c r="D34" s="24">
        <f>'20'!E41</f>
        <v>0</v>
      </c>
      <c r="E34" s="24">
        <f>'20'!F41</f>
        <v>0</v>
      </c>
      <c r="F34" s="24">
        <v>644624000</v>
      </c>
      <c r="G34" s="24">
        <f>'20'!H41</f>
        <v>0</v>
      </c>
      <c r="H34" s="24">
        <f>'20'!I41</f>
        <v>0</v>
      </c>
      <c r="I34" s="24">
        <f>'20'!J41</f>
        <v>0</v>
      </c>
      <c r="J34" s="27">
        <f>'[1]20'!L51</f>
        <v>3203181540</v>
      </c>
      <c r="K34" s="24">
        <f>'20'!M53</f>
        <v>2386681021</v>
      </c>
      <c r="L34" s="24">
        <f t="shared" si="0"/>
        <v>-816500519</v>
      </c>
    </row>
    <row r="35" spans="1:12" ht="26.25" customHeight="1">
      <c r="A35" s="25">
        <v>21</v>
      </c>
      <c r="B35" s="24" t="s">
        <v>113</v>
      </c>
      <c r="C35" s="24" t="e">
        <f>#REF!</f>
        <v>#REF!</v>
      </c>
      <c r="D35" s="24" t="e">
        <f>#REF!</f>
        <v>#REF!</v>
      </c>
      <c r="E35" s="24" t="e">
        <f>#REF!</f>
        <v>#REF!</v>
      </c>
      <c r="F35" s="24">
        <v>536919360</v>
      </c>
      <c r="G35" s="24" t="e">
        <f>#REF!</f>
        <v>#REF!</v>
      </c>
      <c r="H35" s="24" t="e">
        <f>#REF!</f>
        <v>#REF!</v>
      </c>
      <c r="I35" s="24" t="e">
        <f>#REF!</f>
        <v>#REF!</v>
      </c>
      <c r="J35" s="27">
        <v>3336099200</v>
      </c>
      <c r="K35" s="24">
        <f>'21'!M45</f>
        <v>4230964600</v>
      </c>
      <c r="L35" s="24">
        <f t="shared" si="0"/>
        <v>894865400</v>
      </c>
    </row>
    <row r="36" spans="1:12" ht="26.25" customHeight="1">
      <c r="A36" s="25">
        <v>22</v>
      </c>
      <c r="B36" s="24" t="s">
        <v>411</v>
      </c>
      <c r="C36" s="24" t="e">
        <f>#REF!</f>
        <v>#REF!</v>
      </c>
      <c r="D36" s="24" t="e">
        <f>#REF!</f>
        <v>#REF!</v>
      </c>
      <c r="E36" s="24" t="e">
        <f>#REF!</f>
        <v>#REF!</v>
      </c>
      <c r="F36" s="24">
        <v>7163075000</v>
      </c>
      <c r="G36" s="24" t="e">
        <f>#REF!</f>
        <v>#REF!</v>
      </c>
      <c r="H36" s="24" t="e">
        <f>#REF!</f>
        <v>#REF!</v>
      </c>
      <c r="I36" s="24" t="e">
        <f>#REF!</f>
        <v>#REF!</v>
      </c>
      <c r="J36" s="27">
        <f>'[1]22'!K47</f>
        <v>14633732140</v>
      </c>
      <c r="K36" s="24">
        <f>'22'!L53</f>
        <v>33023977738</v>
      </c>
      <c r="L36" s="24">
        <f t="shared" si="0"/>
        <v>18390245598</v>
      </c>
    </row>
    <row r="37" spans="1:12" ht="26.25" customHeight="1">
      <c r="A37" s="25">
        <v>23</v>
      </c>
      <c r="B37" s="24" t="s">
        <v>412</v>
      </c>
      <c r="C37" s="24" t="e">
        <f>'23'!#REF!</f>
        <v>#REF!</v>
      </c>
      <c r="D37" s="24" t="e">
        <f>'23'!#REF!</f>
        <v>#REF!</v>
      </c>
      <c r="E37" s="24" t="e">
        <f>'23'!#REF!</f>
        <v>#REF!</v>
      </c>
      <c r="F37" s="24">
        <v>4386348000</v>
      </c>
      <c r="G37" s="24" t="e">
        <f>'23'!#REF!</f>
        <v>#REF!</v>
      </c>
      <c r="H37" s="24" t="e">
        <f>'23'!#REF!</f>
        <v>#REF!</v>
      </c>
      <c r="I37" s="24" t="e">
        <f>'23'!#REF!</f>
        <v>#REF!</v>
      </c>
      <c r="J37" s="27">
        <v>8783810960</v>
      </c>
      <c r="K37" s="24">
        <f>'23'!K54</f>
        <v>16344798557.714287</v>
      </c>
      <c r="L37" s="24">
        <f t="shared" si="0"/>
        <v>7560987597.7142868</v>
      </c>
    </row>
    <row r="38" spans="1:12" ht="26.25" customHeight="1">
      <c r="A38" s="25">
        <v>24</v>
      </c>
      <c r="B38" s="24" t="s">
        <v>229</v>
      </c>
      <c r="C38" s="24" t="e">
        <f>#REF!</f>
        <v>#REF!</v>
      </c>
      <c r="D38" s="24" t="e">
        <f>#REF!</f>
        <v>#REF!</v>
      </c>
      <c r="E38" s="24" t="e">
        <f>#REF!</f>
        <v>#REF!</v>
      </c>
      <c r="F38" s="24">
        <v>414108000</v>
      </c>
      <c r="G38" s="24" t="e">
        <f>#REF!</f>
        <v>#REF!</v>
      </c>
      <c r="H38" s="24" t="e">
        <f>#REF!</f>
        <v>#REF!</v>
      </c>
      <c r="I38" s="24" t="e">
        <f>#REF!</f>
        <v>#REF!</v>
      </c>
      <c r="J38" s="27">
        <f>'[1]24'!K53</f>
        <v>893742585</v>
      </c>
      <c r="K38" s="24">
        <f>'24'!L47</f>
        <v>2592776800</v>
      </c>
      <c r="L38" s="24">
        <f t="shared" si="0"/>
        <v>1699034215</v>
      </c>
    </row>
    <row r="39" spans="1:12" ht="26.25" customHeight="1">
      <c r="A39" s="25">
        <v>25</v>
      </c>
      <c r="B39" s="24" t="s">
        <v>410</v>
      </c>
      <c r="C39" s="24" t="e">
        <f>#REF!</f>
        <v>#REF!</v>
      </c>
      <c r="D39" s="24" t="e">
        <f>#REF!</f>
        <v>#REF!</v>
      </c>
      <c r="E39" s="24" t="e">
        <f>#REF!</f>
        <v>#REF!</v>
      </c>
      <c r="F39" s="24">
        <v>3229372800</v>
      </c>
      <c r="G39" s="24" t="e">
        <f>#REF!</f>
        <v>#REF!</v>
      </c>
      <c r="H39" s="24" t="e">
        <f>#REF!</f>
        <v>#REF!</v>
      </c>
      <c r="I39" s="24" t="e">
        <f>#REF!</f>
        <v>#REF!</v>
      </c>
      <c r="J39" s="27">
        <f>'[1]25'!L43</f>
        <v>2423412800</v>
      </c>
      <c r="K39" s="24">
        <f>'25'!M45</f>
        <v>1971384180</v>
      </c>
      <c r="L39" s="24">
        <f t="shared" si="0"/>
        <v>-452028620</v>
      </c>
    </row>
    <row r="40" spans="1:12" ht="26.25" customHeight="1">
      <c r="A40" s="25">
        <v>26</v>
      </c>
      <c r="B40" s="24" t="s">
        <v>416</v>
      </c>
      <c r="C40" s="24" t="e">
        <f>#REF!</f>
        <v>#REF!</v>
      </c>
      <c r="D40" s="24" t="e">
        <f>#REF!</f>
        <v>#REF!</v>
      </c>
      <c r="E40" s="24" t="e">
        <f>#REF!</f>
        <v>#REF!</v>
      </c>
      <c r="F40" s="24">
        <v>1473875200</v>
      </c>
      <c r="G40" s="24" t="e">
        <f>#REF!</f>
        <v>#REF!</v>
      </c>
      <c r="H40" s="24" t="e">
        <f>#REF!</f>
        <v>#REF!</v>
      </c>
      <c r="I40" s="24" t="e">
        <f>#REF!</f>
        <v>#REF!</v>
      </c>
      <c r="J40" s="27">
        <v>2213083152</v>
      </c>
      <c r="K40" s="24">
        <f>'26'!M52</f>
        <v>2917731880.8000002</v>
      </c>
      <c r="L40" s="24">
        <f t="shared" si="0"/>
        <v>704648728.80000019</v>
      </c>
    </row>
    <row r="41" spans="1:12" ht="26.25" customHeight="1">
      <c r="A41" s="25">
        <v>27</v>
      </c>
      <c r="B41" s="24" t="s">
        <v>112</v>
      </c>
      <c r="C41" s="24" t="e">
        <f>'27'!#REF!</f>
        <v>#REF!</v>
      </c>
      <c r="D41" s="24" t="e">
        <f>'27'!#REF!</f>
        <v>#REF!</v>
      </c>
      <c r="E41" s="24" t="e">
        <f>'27'!#REF!</f>
        <v>#REF!</v>
      </c>
      <c r="F41" s="24">
        <v>248302600</v>
      </c>
      <c r="G41" s="24" t="e">
        <f>'27'!#REF!</f>
        <v>#REF!</v>
      </c>
      <c r="H41" s="24" t="e">
        <f>'27'!#REF!</f>
        <v>#REF!</v>
      </c>
      <c r="I41" s="24" t="e">
        <f>'27'!#REF!</f>
        <v>#REF!</v>
      </c>
      <c r="J41" s="27">
        <v>590046650</v>
      </c>
      <c r="K41" s="24">
        <f>'27'!M49</f>
        <v>635864751</v>
      </c>
      <c r="L41" s="24">
        <f t="shared" si="0"/>
        <v>45818101</v>
      </c>
    </row>
    <row r="42" spans="1:12" ht="26.25" customHeight="1">
      <c r="A42" s="25">
        <v>28</v>
      </c>
      <c r="B42" s="24" t="s">
        <v>91</v>
      </c>
      <c r="C42" s="24" t="e">
        <f>'28'!#REF!</f>
        <v>#REF!</v>
      </c>
      <c r="D42" s="24" t="e">
        <f>'28'!#REF!</f>
        <v>#REF!</v>
      </c>
      <c r="E42" s="24" t="e">
        <f>'28'!#REF!</f>
        <v>#REF!</v>
      </c>
      <c r="F42" s="24">
        <v>208425600</v>
      </c>
      <c r="G42" s="24" t="e">
        <f>'28'!#REF!</f>
        <v>#REF!</v>
      </c>
      <c r="H42" s="24" t="e">
        <f>'28'!#REF!</f>
        <v>#REF!</v>
      </c>
      <c r="I42" s="24" t="e">
        <f>'28'!#REF!</f>
        <v>#REF!</v>
      </c>
      <c r="J42" s="27">
        <v>480119672</v>
      </c>
      <c r="K42" s="24">
        <f>'28'!M43</f>
        <v>479133730.39999998</v>
      </c>
      <c r="L42" s="24">
        <f t="shared" si="0"/>
        <v>-985941.60000002384</v>
      </c>
    </row>
    <row r="43" spans="1:12" ht="26.25" customHeight="1">
      <c r="A43" s="25">
        <v>29</v>
      </c>
      <c r="B43" s="24" t="s">
        <v>551</v>
      </c>
      <c r="C43" s="24" t="e">
        <f>#REF!</f>
        <v>#REF!</v>
      </c>
      <c r="D43" s="24" t="e">
        <f>#REF!</f>
        <v>#REF!</v>
      </c>
      <c r="E43" s="24" t="e">
        <f>#REF!</f>
        <v>#REF!</v>
      </c>
      <c r="F43" s="24">
        <v>172588000</v>
      </c>
      <c r="G43" s="24" t="e">
        <f>#REF!</f>
        <v>#REF!</v>
      </c>
      <c r="H43" s="24" t="e">
        <f>#REF!</f>
        <v>#REF!</v>
      </c>
      <c r="I43" s="24" t="e">
        <f>#REF!</f>
        <v>#REF!</v>
      </c>
      <c r="J43" s="27">
        <v>314327966</v>
      </c>
      <c r="K43" s="24">
        <f>'29'!M45</f>
        <v>633258024</v>
      </c>
      <c r="L43" s="24">
        <f t="shared" si="0"/>
        <v>318930058</v>
      </c>
    </row>
    <row r="44" spans="1:12" ht="26.25" customHeight="1">
      <c r="A44" s="26">
        <v>30</v>
      </c>
      <c r="B44" s="24" t="s">
        <v>402</v>
      </c>
      <c r="C44" s="18" t="e">
        <f>SUM(#REF!)</f>
        <v>#REF!</v>
      </c>
      <c r="D44" s="18" t="e">
        <f>SUM(#REF!)</f>
        <v>#REF!</v>
      </c>
      <c r="E44" s="18" t="e">
        <f>SUM(#REF!)</f>
        <v>#REF!</v>
      </c>
      <c r="F44" s="29">
        <v>249368000</v>
      </c>
      <c r="G44" s="29" t="e">
        <f>#REF!</f>
        <v>#REF!</v>
      </c>
      <c r="H44" s="29" t="e">
        <f>#REF!</f>
        <v>#REF!</v>
      </c>
      <c r="I44" s="29" t="e">
        <f>#REF!</f>
        <v>#REF!</v>
      </c>
      <c r="J44" s="27">
        <f>651231992+460991291</f>
        <v>1112223283</v>
      </c>
      <c r="K44" s="29">
        <f>'30'!K38</f>
        <v>1863023298.0999999</v>
      </c>
      <c r="L44" s="24">
        <f t="shared" si="0"/>
        <v>750800015.0999999</v>
      </c>
    </row>
    <row r="45" spans="1:12" ht="26.25" customHeight="1">
      <c r="A45" s="25">
        <v>31</v>
      </c>
      <c r="B45" s="24" t="s">
        <v>407</v>
      </c>
      <c r="C45" s="24" t="e">
        <f>#REF!</f>
        <v>#REF!</v>
      </c>
      <c r="D45" s="24" t="e">
        <f>#REF!</f>
        <v>#REF!</v>
      </c>
      <c r="E45" s="24" t="e">
        <f>#REF!</f>
        <v>#REF!</v>
      </c>
      <c r="F45" s="24">
        <v>395652000</v>
      </c>
      <c r="G45" s="24" t="e">
        <f>#REF!</f>
        <v>#REF!</v>
      </c>
      <c r="H45" s="24" t="e">
        <f>#REF!</f>
        <v>#REF!</v>
      </c>
      <c r="I45" s="24" t="e">
        <f>#REF!</f>
        <v>#REF!</v>
      </c>
      <c r="J45" s="27">
        <f>'[1]31'!L43</f>
        <v>1641919631</v>
      </c>
      <c r="K45" s="59">
        <f>'31'!M41</f>
        <v>2286586192</v>
      </c>
      <c r="L45" s="24">
        <f t="shared" si="0"/>
        <v>644666561</v>
      </c>
    </row>
    <row r="46" spans="1:12" ht="26.25" customHeight="1">
      <c r="A46" s="25">
        <v>32</v>
      </c>
      <c r="B46" s="24" t="s">
        <v>84</v>
      </c>
      <c r="C46" s="24">
        <v>0</v>
      </c>
      <c r="D46" s="24" t="e">
        <f>'32'!E39</f>
        <v>#REF!</v>
      </c>
      <c r="E46" s="24" t="e">
        <f>'32'!F39</f>
        <v>#REF!</v>
      </c>
      <c r="F46" s="24">
        <v>4752469000</v>
      </c>
      <c r="G46" s="24" t="e">
        <f>'32'!I39</f>
        <v>#REF!</v>
      </c>
      <c r="H46" s="24" t="e">
        <f>'32'!J39</f>
        <v>#REF!</v>
      </c>
      <c r="I46" s="24" t="e">
        <f>'32'!K39</f>
        <v>#REF!</v>
      </c>
      <c r="J46" s="27">
        <v>16224441793</v>
      </c>
      <c r="K46" s="24">
        <f>'32'!N43</f>
        <v>1542833005.0999999</v>
      </c>
      <c r="L46" s="24">
        <f t="shared" si="0"/>
        <v>-14681608787.9</v>
      </c>
    </row>
    <row r="47" spans="1:12" ht="26.25" customHeight="1">
      <c r="A47" s="35">
        <v>33</v>
      </c>
      <c r="B47" s="24" t="s">
        <v>87</v>
      </c>
      <c r="C47" s="24">
        <f>'33'!D73</f>
        <v>0</v>
      </c>
      <c r="D47" s="24">
        <f>'33'!E73</f>
        <v>0</v>
      </c>
      <c r="E47" s="24">
        <f>'33'!F73</f>
        <v>0</v>
      </c>
      <c r="F47" s="24">
        <v>116932000</v>
      </c>
      <c r="G47" s="27">
        <f>'33'!H73</f>
        <v>0</v>
      </c>
      <c r="H47" s="27">
        <f>'33'!I73</f>
        <v>0</v>
      </c>
      <c r="I47" s="27">
        <f>'33'!J73</f>
        <v>0</v>
      </c>
      <c r="J47" s="27">
        <v>426660816</v>
      </c>
      <c r="K47" s="27">
        <f>'33'!M39</f>
        <v>732938431.20000005</v>
      </c>
      <c r="L47" s="24">
        <f t="shared" si="0"/>
        <v>306277615.20000005</v>
      </c>
    </row>
    <row r="48" spans="1:12" ht="26.25" customHeight="1">
      <c r="A48" s="35">
        <v>34</v>
      </c>
      <c r="B48" s="24" t="s">
        <v>121</v>
      </c>
      <c r="C48" s="24"/>
      <c r="D48" s="24"/>
      <c r="E48" s="24">
        <v>0</v>
      </c>
      <c r="F48" s="24">
        <v>186780000</v>
      </c>
      <c r="G48" s="27" t="e">
        <f>'34'!#REF!</f>
        <v>#REF!</v>
      </c>
      <c r="H48" s="27" t="e">
        <f>'34'!#REF!</f>
        <v>#REF!</v>
      </c>
      <c r="I48" s="27" t="e">
        <f>'34'!#REF!</f>
        <v>#REF!</v>
      </c>
      <c r="J48" s="27">
        <v>501603272</v>
      </c>
      <c r="K48" s="27">
        <f>'34'!N35</f>
        <v>521894072</v>
      </c>
      <c r="L48" s="24">
        <f t="shared" si="0"/>
        <v>20290800</v>
      </c>
    </row>
    <row r="49" spans="1:105" ht="26.25" customHeight="1">
      <c r="A49" s="42">
        <v>35</v>
      </c>
      <c r="B49" s="46" t="s">
        <v>400</v>
      </c>
      <c r="C49" s="46"/>
      <c r="D49" s="46"/>
      <c r="E49" s="46"/>
      <c r="F49" s="46"/>
      <c r="G49" s="46"/>
      <c r="H49" s="46"/>
      <c r="I49" s="46"/>
      <c r="J49" s="46">
        <v>0</v>
      </c>
      <c r="K49" s="46">
        <f>'35'!D43</f>
        <v>404164800</v>
      </c>
      <c r="L49" s="24">
        <f t="shared" si="0"/>
        <v>404164800</v>
      </c>
    </row>
    <row r="50" spans="1:105" ht="26.25" customHeight="1">
      <c r="A50" s="43">
        <v>36</v>
      </c>
      <c r="B50" s="47" t="s">
        <v>639</v>
      </c>
      <c r="C50" s="47"/>
      <c r="D50" s="47"/>
      <c r="E50" s="47"/>
      <c r="F50" s="47"/>
      <c r="G50" s="47"/>
      <c r="H50" s="47"/>
      <c r="I50" s="47"/>
      <c r="J50" s="46">
        <v>0</v>
      </c>
      <c r="K50" s="64">
        <f>'36'!K38</f>
        <v>331925600</v>
      </c>
      <c r="L50" s="24">
        <f t="shared" si="0"/>
        <v>331925600</v>
      </c>
    </row>
    <row r="51" spans="1:105" ht="26.25" customHeight="1">
      <c r="A51" s="44">
        <v>37</v>
      </c>
      <c r="B51" s="48" t="s">
        <v>415</v>
      </c>
      <c r="C51" s="48"/>
      <c r="D51" s="48"/>
      <c r="E51" s="48"/>
      <c r="F51" s="48"/>
      <c r="G51" s="48"/>
      <c r="H51" s="48"/>
      <c r="I51" s="48"/>
      <c r="J51" s="46">
        <v>0</v>
      </c>
      <c r="K51" s="65">
        <f>'37'!D44</f>
        <v>509876600</v>
      </c>
      <c r="L51" s="24">
        <f t="shared" si="0"/>
        <v>509876600</v>
      </c>
    </row>
    <row r="52" spans="1:105" ht="26.25" customHeight="1">
      <c r="A52" s="44">
        <v>38</v>
      </c>
      <c r="B52" s="48" t="s">
        <v>548</v>
      </c>
      <c r="C52" s="48"/>
      <c r="D52" s="48"/>
      <c r="E52" s="48"/>
      <c r="F52" s="48"/>
      <c r="G52" s="48"/>
      <c r="H52" s="48"/>
      <c r="I52" s="48"/>
      <c r="J52" s="46">
        <v>0</v>
      </c>
      <c r="K52" s="49">
        <f>'38'!D46</f>
        <v>1523912000</v>
      </c>
      <c r="L52" s="24">
        <f t="shared" si="0"/>
        <v>1523912000</v>
      </c>
    </row>
    <row r="53" spans="1:105" ht="26.25" customHeight="1">
      <c r="A53" s="44">
        <v>39</v>
      </c>
      <c r="B53" s="48" t="s">
        <v>633</v>
      </c>
      <c r="C53" s="48"/>
      <c r="D53" s="48"/>
      <c r="E53" s="48"/>
      <c r="F53" s="48"/>
      <c r="G53" s="48"/>
      <c r="H53" s="48"/>
      <c r="I53" s="48"/>
      <c r="J53" s="46">
        <v>0</v>
      </c>
      <c r="K53" s="49">
        <f>'39'!K43</f>
        <v>1026428400</v>
      </c>
      <c r="L53" s="24">
        <f t="shared" si="0"/>
        <v>1026428400</v>
      </c>
    </row>
    <row r="54" spans="1:105" s="31" customFormat="1" ht="28.5" customHeight="1" thickBot="1">
      <c r="A54" s="50"/>
      <c r="B54" s="51" t="s">
        <v>401</v>
      </c>
      <c r="C54" s="51"/>
      <c r="D54" s="51"/>
      <c r="E54" s="51"/>
      <c r="F54" s="51"/>
      <c r="G54" s="51"/>
      <c r="H54" s="51"/>
      <c r="I54" s="51"/>
      <c r="J54" s="52">
        <f>SUM(J2:J53)</f>
        <v>310259111704</v>
      </c>
      <c r="K54" s="52" t="e">
        <f>SUM(K2:K53)</f>
        <v>#REF!</v>
      </c>
      <c r="L54" s="53" t="e">
        <f t="shared" si="0"/>
        <v>#REF!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</row>
    <row r="55" spans="1:105" ht="28.5" customHeight="1">
      <c r="A55" s="17"/>
      <c r="B55" s="17"/>
      <c r="C55" s="17"/>
      <c r="D55" s="17"/>
      <c r="E55" s="17"/>
      <c r="F55" s="17"/>
      <c r="G55" s="17"/>
      <c r="H55" s="17"/>
      <c r="I55" s="17"/>
      <c r="J55" s="60"/>
      <c r="K55" s="61"/>
      <c r="L55" s="17"/>
    </row>
    <row r="56" spans="1:105" ht="30">
      <c r="J56" s="45"/>
      <c r="K56" s="6"/>
    </row>
    <row r="57" spans="1:105">
      <c r="J57" s="6" t="s">
        <v>417</v>
      </c>
    </row>
    <row r="58" spans="1:105" ht="15">
      <c r="J58" s="17"/>
      <c r="K58" s="67"/>
      <c r="L58" s="17"/>
    </row>
    <row r="59" spans="1:105">
      <c r="K59" s="6"/>
    </row>
    <row r="61" spans="1:105">
      <c r="K61" s="6"/>
    </row>
  </sheetData>
  <sheetProtection password="C780" sheet="1" objects="1" scenarios="1"/>
  <phoneticPr fontId="42" type="noConversion"/>
  <pageMargins left="0.66" right="0.3" top="0.73" bottom="0.38" header="0.19" footer="0.16"/>
  <pageSetup scale="48" orientation="portrait" r:id="rId1"/>
  <headerFooter alignWithMargins="0">
    <oddHeader xml:space="preserve">&amp;C&amp;"Arial Narrow,Bold"&amp;48Soo Koobidda Guud Ee Miis. 2011.
</oddHeader>
    <oddFooter>&amp;C
&amp;"Times New Roman,Bold"&amp;24I</oddFooter>
  </headerFooter>
  <rowBreaks count="1" manualBreakCount="1">
    <brk id="54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C58"/>
  <sheetViews>
    <sheetView topLeftCell="A18" workbookViewId="0">
      <selection activeCell="B15" sqref="B15"/>
    </sheetView>
  </sheetViews>
  <sheetFormatPr defaultRowHeight="15.75"/>
  <cols>
    <col min="1" max="1" width="9.33203125" style="16"/>
    <col min="2" max="2" width="79.6640625" style="16" bestFit="1" customWidth="1"/>
    <col min="3" max="3" width="26.5" style="181" bestFit="1" customWidth="1"/>
    <col min="4" max="16384" width="9.33203125" style="16"/>
  </cols>
  <sheetData>
    <row r="1" spans="1:3">
      <c r="A1" s="156" t="s">
        <v>45</v>
      </c>
      <c r="B1" s="157" t="s">
        <v>51</v>
      </c>
      <c r="C1" s="178" t="s">
        <v>713</v>
      </c>
    </row>
    <row r="2" spans="1:3">
      <c r="A2" s="158">
        <v>1</v>
      </c>
      <c r="B2" s="159" t="s">
        <v>118</v>
      </c>
      <c r="C2" s="170"/>
    </row>
    <row r="3" spans="1:3">
      <c r="A3" s="158" t="s">
        <v>77</v>
      </c>
      <c r="B3" s="159" t="s">
        <v>117</v>
      </c>
      <c r="C3" s="170"/>
    </row>
    <row r="4" spans="1:3">
      <c r="A4" s="158" t="s">
        <v>76</v>
      </c>
      <c r="B4" s="159" t="s">
        <v>234</v>
      </c>
      <c r="C4" s="170"/>
    </row>
    <row r="5" spans="1:3">
      <c r="A5" s="158">
        <v>2</v>
      </c>
      <c r="B5" s="159" t="s">
        <v>115</v>
      </c>
      <c r="C5" s="170"/>
    </row>
    <row r="6" spans="1:3">
      <c r="A6" s="158">
        <v>3</v>
      </c>
      <c r="B6" s="159" t="s">
        <v>116</v>
      </c>
      <c r="C6" s="170"/>
    </row>
    <row r="7" spans="1:3">
      <c r="A7" s="158">
        <v>4</v>
      </c>
      <c r="B7" s="159" t="s">
        <v>233</v>
      </c>
      <c r="C7" s="170"/>
    </row>
    <row r="8" spans="1:3">
      <c r="A8" s="158">
        <v>5</v>
      </c>
      <c r="B8" s="159" t="s">
        <v>600</v>
      </c>
      <c r="C8" s="170"/>
    </row>
    <row r="9" spans="1:3">
      <c r="A9" s="158">
        <v>6</v>
      </c>
      <c r="B9" s="159" t="s">
        <v>108</v>
      </c>
      <c r="C9" s="170"/>
    </row>
    <row r="10" spans="1:3">
      <c r="A10" s="158">
        <v>7</v>
      </c>
      <c r="B10" s="159" t="s">
        <v>107</v>
      </c>
      <c r="C10" s="170"/>
    </row>
    <row r="11" spans="1:3">
      <c r="A11" s="158">
        <v>8</v>
      </c>
      <c r="B11" s="159" t="s">
        <v>403</v>
      </c>
      <c r="C11" s="170"/>
    </row>
    <row r="12" spans="1:3">
      <c r="A12" s="158" t="s">
        <v>14</v>
      </c>
      <c r="B12" s="159" t="s">
        <v>220</v>
      </c>
      <c r="C12" s="170"/>
    </row>
    <row r="13" spans="1:3">
      <c r="A13" s="158">
        <v>9</v>
      </c>
      <c r="B13" s="159" t="s">
        <v>149</v>
      </c>
      <c r="C13" s="170"/>
    </row>
    <row r="14" spans="1:3">
      <c r="A14" s="158">
        <v>10</v>
      </c>
      <c r="B14" s="159" t="s">
        <v>413</v>
      </c>
      <c r="C14" s="170"/>
    </row>
    <row r="15" spans="1:3">
      <c r="A15" s="158" t="s">
        <v>75</v>
      </c>
      <c r="B15" s="159" t="s">
        <v>232</v>
      </c>
      <c r="C15" s="170"/>
    </row>
    <row r="16" spans="1:3">
      <c r="A16" s="158" t="s">
        <v>223</v>
      </c>
      <c r="B16" s="159" t="s">
        <v>231</v>
      </c>
      <c r="C16" s="170"/>
    </row>
    <row r="17" spans="1:3">
      <c r="A17" s="158" t="s">
        <v>217</v>
      </c>
      <c r="B17" s="159" t="s">
        <v>225</v>
      </c>
      <c r="C17" s="170"/>
    </row>
    <row r="18" spans="1:3">
      <c r="A18" s="158" t="s">
        <v>216</v>
      </c>
      <c r="B18" s="159" t="s">
        <v>226</v>
      </c>
      <c r="C18" s="170"/>
    </row>
    <row r="19" spans="1:3">
      <c r="A19" s="158">
        <v>11</v>
      </c>
      <c r="B19" s="159" t="s">
        <v>140</v>
      </c>
      <c r="C19" s="170"/>
    </row>
    <row r="20" spans="1:3">
      <c r="A20" s="158" t="s">
        <v>221</v>
      </c>
      <c r="B20" s="159" t="s">
        <v>228</v>
      </c>
      <c r="C20" s="11">
        <v>21000000</v>
      </c>
    </row>
    <row r="21" spans="1:3">
      <c r="A21" s="158" t="s">
        <v>78</v>
      </c>
      <c r="B21" s="159" t="s">
        <v>79</v>
      </c>
      <c r="C21" s="170"/>
    </row>
    <row r="22" spans="1:3">
      <c r="A22" s="158" t="s">
        <v>224</v>
      </c>
      <c r="B22" s="159" t="s">
        <v>227</v>
      </c>
      <c r="C22" s="170"/>
    </row>
    <row r="23" spans="1:3">
      <c r="A23" s="158" t="s">
        <v>455</v>
      </c>
      <c r="B23" s="159" t="s">
        <v>167</v>
      </c>
      <c r="C23" s="11">
        <f>'11d'!K14*70%</f>
        <v>9800000</v>
      </c>
    </row>
    <row r="24" spans="1:3">
      <c r="A24" s="158">
        <v>12</v>
      </c>
      <c r="B24" s="159" t="s">
        <v>114</v>
      </c>
      <c r="C24" s="170"/>
    </row>
    <row r="25" spans="1:3">
      <c r="A25" s="158" t="s">
        <v>222</v>
      </c>
      <c r="B25" s="159" t="s">
        <v>82</v>
      </c>
      <c r="C25" s="170"/>
    </row>
    <row r="26" spans="1:3">
      <c r="A26" s="158">
        <v>13</v>
      </c>
      <c r="B26" s="159" t="s">
        <v>230</v>
      </c>
      <c r="C26" s="170"/>
    </row>
    <row r="27" spans="1:3">
      <c r="A27" s="158" t="s">
        <v>24</v>
      </c>
      <c r="B27" s="159" t="s">
        <v>67</v>
      </c>
      <c r="C27" s="170"/>
    </row>
    <row r="28" spans="1:3">
      <c r="A28" s="158">
        <v>14</v>
      </c>
      <c r="B28" s="159" t="s">
        <v>409</v>
      </c>
      <c r="C28" s="170"/>
    </row>
    <row r="29" spans="1:3">
      <c r="A29" s="158">
        <v>15</v>
      </c>
      <c r="B29" s="159" t="s">
        <v>88</v>
      </c>
      <c r="C29" s="159">
        <f>'15'!M16*70%</f>
        <v>806495200</v>
      </c>
    </row>
    <row r="30" spans="1:3">
      <c r="A30" s="158">
        <v>16</v>
      </c>
      <c r="B30" s="159" t="s">
        <v>404</v>
      </c>
      <c r="C30" s="170"/>
    </row>
    <row r="31" spans="1:3">
      <c r="A31" s="158">
        <v>17</v>
      </c>
      <c r="B31" s="159" t="s">
        <v>405</v>
      </c>
      <c r="C31" s="170"/>
    </row>
    <row r="32" spans="1:3">
      <c r="A32" s="158">
        <v>18</v>
      </c>
      <c r="B32" s="159" t="s">
        <v>408</v>
      </c>
      <c r="C32" s="170"/>
    </row>
    <row r="33" spans="1:3">
      <c r="A33" s="158">
        <v>19</v>
      </c>
      <c r="B33" s="159" t="s">
        <v>124</v>
      </c>
      <c r="C33" s="170"/>
    </row>
    <row r="34" spans="1:3">
      <c r="A34" s="158">
        <v>20</v>
      </c>
      <c r="B34" s="159" t="s">
        <v>662</v>
      </c>
      <c r="C34" s="170"/>
    </row>
    <row r="35" spans="1:3">
      <c r="A35" s="158" t="s">
        <v>655</v>
      </c>
      <c r="B35" s="159" t="s">
        <v>656</v>
      </c>
      <c r="C35" s="170"/>
    </row>
    <row r="36" spans="1:3">
      <c r="A36" s="158">
        <v>21</v>
      </c>
      <c r="B36" s="159" t="s">
        <v>113</v>
      </c>
      <c r="C36" s="170"/>
    </row>
    <row r="37" spans="1:3">
      <c r="A37" s="158">
        <v>22</v>
      </c>
      <c r="B37" s="159" t="s">
        <v>411</v>
      </c>
      <c r="C37" s="170"/>
    </row>
    <row r="38" spans="1:3">
      <c r="A38" s="158">
        <v>23</v>
      </c>
      <c r="B38" s="159" t="s">
        <v>412</v>
      </c>
      <c r="C38" s="170"/>
    </row>
    <row r="39" spans="1:3">
      <c r="A39" s="158">
        <v>24</v>
      </c>
      <c r="B39" s="159" t="s">
        <v>229</v>
      </c>
      <c r="C39" s="30">
        <v>147000000</v>
      </c>
    </row>
    <row r="40" spans="1:3">
      <c r="A40" s="158">
        <v>25</v>
      </c>
      <c r="B40" s="159" t="s">
        <v>410</v>
      </c>
      <c r="C40" s="170"/>
    </row>
    <row r="41" spans="1:3">
      <c r="A41" s="158">
        <v>26</v>
      </c>
      <c r="B41" s="159" t="s">
        <v>416</v>
      </c>
      <c r="C41" s="170"/>
    </row>
    <row r="42" spans="1:3">
      <c r="A42" s="158">
        <v>27</v>
      </c>
      <c r="B42" s="159" t="s">
        <v>112</v>
      </c>
      <c r="C42" s="170"/>
    </row>
    <row r="43" spans="1:3">
      <c r="A43" s="158">
        <v>28</v>
      </c>
      <c r="B43" s="159" t="s">
        <v>91</v>
      </c>
      <c r="C43" s="170"/>
    </row>
    <row r="44" spans="1:3">
      <c r="A44" s="158">
        <v>29</v>
      </c>
      <c r="B44" s="159" t="s">
        <v>551</v>
      </c>
      <c r="C44" s="170"/>
    </row>
    <row r="45" spans="1:3">
      <c r="A45" s="160">
        <v>30</v>
      </c>
      <c r="B45" s="159" t="s">
        <v>402</v>
      </c>
      <c r="C45" s="171"/>
    </row>
    <row r="46" spans="1:3">
      <c r="A46" s="158">
        <v>31</v>
      </c>
      <c r="B46" s="159" t="s">
        <v>407</v>
      </c>
      <c r="C46" s="170"/>
    </row>
    <row r="47" spans="1:3">
      <c r="A47" s="158">
        <v>32</v>
      </c>
      <c r="B47" s="159" t="s">
        <v>84</v>
      </c>
      <c r="C47" s="170"/>
    </row>
    <row r="48" spans="1:3">
      <c r="A48" s="161">
        <v>33</v>
      </c>
      <c r="B48" s="159" t="s">
        <v>87</v>
      </c>
      <c r="C48" s="179"/>
    </row>
    <row r="49" spans="1:3">
      <c r="A49" s="161">
        <v>34</v>
      </c>
      <c r="B49" s="159" t="s">
        <v>121</v>
      </c>
      <c r="C49" s="179"/>
    </row>
    <row r="50" spans="1:3">
      <c r="A50" s="162">
        <v>35</v>
      </c>
      <c r="B50" s="163" t="s">
        <v>400</v>
      </c>
      <c r="C50" s="176">
        <f>'35'!D13*70%</f>
        <v>5880000</v>
      </c>
    </row>
    <row r="51" spans="1:3">
      <c r="A51" s="164">
        <v>36</v>
      </c>
      <c r="B51" s="165" t="s">
        <v>639</v>
      </c>
      <c r="C51" s="170"/>
    </row>
    <row r="52" spans="1:3">
      <c r="A52" s="166">
        <v>37</v>
      </c>
      <c r="B52" s="167" t="s">
        <v>415</v>
      </c>
      <c r="C52" s="11">
        <f>'37'!D13*70%</f>
        <v>27979000</v>
      </c>
    </row>
    <row r="53" spans="1:3">
      <c r="A53" s="166">
        <v>38</v>
      </c>
      <c r="B53" s="167" t="s">
        <v>548</v>
      </c>
      <c r="C53" s="177">
        <f>'38'!D14*70%</f>
        <v>14699999.999999998</v>
      </c>
    </row>
    <row r="54" spans="1:3">
      <c r="A54" s="166">
        <v>39</v>
      </c>
      <c r="B54" s="167" t="s">
        <v>633</v>
      </c>
      <c r="C54" s="11">
        <f>'39'!K14*70%</f>
        <v>44800000</v>
      </c>
    </row>
    <row r="55" spans="1:3">
      <c r="A55" s="166">
        <v>40</v>
      </c>
      <c r="B55" s="167" t="s">
        <v>657</v>
      </c>
      <c r="C55" s="179"/>
    </row>
    <row r="56" spans="1:3">
      <c r="A56" s="166">
        <v>41</v>
      </c>
      <c r="B56" s="167" t="s">
        <v>663</v>
      </c>
      <c r="C56" s="179"/>
    </row>
    <row r="57" spans="1:3">
      <c r="A57" s="166">
        <v>42</v>
      </c>
      <c r="B57" s="167" t="s">
        <v>672</v>
      </c>
      <c r="C57" s="179"/>
    </row>
    <row r="58" spans="1:3" ht="16.5" thickBot="1">
      <c r="A58" s="168"/>
      <c r="B58" s="169" t="s">
        <v>401</v>
      </c>
      <c r="C58" s="180">
        <f>SUM(C3:C57)</f>
        <v>1077654200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topLeftCell="A43" zoomScale="60" workbookViewId="0">
      <selection activeCell="C5" sqref="C5"/>
    </sheetView>
  </sheetViews>
  <sheetFormatPr defaultRowHeight="18" customHeight="1"/>
  <cols>
    <col min="1" max="1" width="13" style="16" bestFit="1" customWidth="1"/>
    <col min="2" max="2" width="71.5" style="16" bestFit="1" customWidth="1"/>
    <col min="3" max="3" width="68.5" style="154" customWidth="1"/>
    <col min="4" max="16384" width="9.33203125" style="16"/>
  </cols>
  <sheetData>
    <row r="1" spans="1:16" ht="18" customHeight="1">
      <c r="A1" s="133" t="s">
        <v>45</v>
      </c>
      <c r="B1" s="134" t="s">
        <v>51</v>
      </c>
      <c r="C1" s="153" t="s">
        <v>673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8"/>
      <c r="P1" s="118"/>
    </row>
    <row r="2" spans="1:16" ht="18" customHeight="1">
      <c r="A2" s="135">
        <v>1</v>
      </c>
      <c r="B2" s="136" t="s">
        <v>118</v>
      </c>
      <c r="C2" s="147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8"/>
      <c r="O2" s="118"/>
      <c r="P2" s="118"/>
    </row>
    <row r="3" spans="1:16" ht="18" customHeight="1">
      <c r="A3" s="135" t="s">
        <v>77</v>
      </c>
      <c r="B3" s="136" t="s">
        <v>117</v>
      </c>
      <c r="C3" s="147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8"/>
      <c r="O3" s="118"/>
      <c r="P3" s="118"/>
    </row>
    <row r="4" spans="1:16" ht="18" customHeight="1">
      <c r="A4" s="135" t="s">
        <v>76</v>
      </c>
      <c r="B4" s="136" t="s">
        <v>234</v>
      </c>
      <c r="C4" s="147">
        <f>'1B'!I15</f>
        <v>0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8"/>
      <c r="O4" s="118"/>
      <c r="P4" s="118"/>
    </row>
    <row r="5" spans="1:16" ht="18" customHeight="1">
      <c r="A5" s="135">
        <v>2</v>
      </c>
      <c r="B5" s="136" t="s">
        <v>115</v>
      </c>
      <c r="C5" s="147">
        <f>'2'!N19</f>
        <v>62400000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8"/>
      <c r="O5" s="118"/>
      <c r="P5" s="118"/>
    </row>
    <row r="6" spans="1:16" ht="18" customHeight="1">
      <c r="A6" s="135">
        <v>3</v>
      </c>
      <c r="B6" s="136" t="s">
        <v>116</v>
      </c>
      <c r="C6" s="147">
        <f>'3'!M19</f>
        <v>11700000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8"/>
      <c r="O6" s="118"/>
      <c r="P6" s="118"/>
    </row>
    <row r="7" spans="1:16" ht="18" customHeight="1">
      <c r="A7" s="135">
        <v>4</v>
      </c>
      <c r="B7" s="136" t="s">
        <v>233</v>
      </c>
      <c r="C7" s="147">
        <f>'4'!M17</f>
        <v>0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8"/>
      <c r="O7" s="118"/>
      <c r="P7" s="118"/>
    </row>
    <row r="8" spans="1:16" ht="18" customHeight="1">
      <c r="A8" s="135">
        <v>5</v>
      </c>
      <c r="B8" s="136" t="s">
        <v>600</v>
      </c>
      <c r="C8" s="147">
        <f>'5'!M18</f>
        <v>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8"/>
      <c r="O8" s="118"/>
      <c r="P8" s="118"/>
    </row>
    <row r="9" spans="1:16" ht="18" customHeight="1">
      <c r="A9" s="135">
        <v>6</v>
      </c>
      <c r="B9" s="136" t="s">
        <v>108</v>
      </c>
      <c r="C9" s="147">
        <f>'6'!M18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8"/>
      <c r="O9" s="118"/>
      <c r="P9" s="118"/>
    </row>
    <row r="10" spans="1:16" ht="18" customHeight="1">
      <c r="A10" s="135">
        <v>7</v>
      </c>
      <c r="B10" s="136" t="s">
        <v>107</v>
      </c>
      <c r="C10" s="147">
        <f>'7'!N18</f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8"/>
      <c r="O10" s="118"/>
      <c r="P10" s="118"/>
    </row>
    <row r="11" spans="1:16" ht="18" customHeight="1">
      <c r="A11" s="135">
        <v>8</v>
      </c>
      <c r="B11" s="136" t="s">
        <v>403</v>
      </c>
      <c r="C11" s="147">
        <f>'8'!L19</f>
        <v>495550000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8"/>
      <c r="O11" s="118"/>
      <c r="P11" s="118"/>
    </row>
    <row r="12" spans="1:16" ht="18" customHeight="1">
      <c r="A12" s="135" t="s">
        <v>14</v>
      </c>
      <c r="B12" s="136" t="s">
        <v>220</v>
      </c>
      <c r="C12" s="147">
        <f>'8A'!N18</f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8"/>
      <c r="O12" s="118"/>
      <c r="P12" s="118"/>
    </row>
    <row r="13" spans="1:16" ht="18" customHeight="1">
      <c r="A13" s="135">
        <v>9</v>
      </c>
      <c r="B13" s="136" t="s">
        <v>149</v>
      </c>
      <c r="C13" s="147">
        <f>'9'!N18</f>
        <v>32990688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8"/>
      <c r="O13" s="118"/>
      <c r="P13" s="118"/>
    </row>
    <row r="14" spans="1:16" ht="18" customHeight="1">
      <c r="A14" s="135">
        <v>10</v>
      </c>
      <c r="B14" s="136" t="s">
        <v>413</v>
      </c>
      <c r="C14" s="147">
        <f>'10'!N18</f>
        <v>144000000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8"/>
      <c r="O14" s="118"/>
      <c r="P14" s="118"/>
    </row>
    <row r="15" spans="1:16" ht="18" customHeight="1">
      <c r="A15" s="135" t="s">
        <v>75</v>
      </c>
      <c r="B15" s="136" t="s">
        <v>232</v>
      </c>
      <c r="C15" s="147">
        <f>'10a'!N16</f>
        <v>10500000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8"/>
      <c r="O15" s="118"/>
      <c r="P15" s="118"/>
    </row>
    <row r="16" spans="1:16" ht="18" customHeight="1">
      <c r="A16" s="135" t="s">
        <v>223</v>
      </c>
      <c r="B16" s="136" t="s">
        <v>231</v>
      </c>
      <c r="C16" s="147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8"/>
      <c r="O16" s="118"/>
      <c r="P16" s="118"/>
    </row>
    <row r="17" spans="1:16" ht="18" customHeight="1">
      <c r="A17" s="135" t="s">
        <v>217</v>
      </c>
      <c r="B17" s="136" t="s">
        <v>225</v>
      </c>
      <c r="C17" s="147">
        <f>'10c'!N18</f>
        <v>64800000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8"/>
      <c r="O17" s="118"/>
      <c r="P17" s="118"/>
    </row>
    <row r="18" spans="1:16" ht="18" customHeight="1">
      <c r="A18" s="135" t="s">
        <v>216</v>
      </c>
      <c r="B18" s="136" t="s">
        <v>226</v>
      </c>
      <c r="C18" s="147">
        <f>'10d'!O14</f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8"/>
      <c r="O18" s="118"/>
      <c r="P18" s="118"/>
    </row>
    <row r="19" spans="1:16" ht="18" customHeight="1">
      <c r="A19" s="135">
        <v>11</v>
      </c>
      <c r="B19" s="136" t="s">
        <v>140</v>
      </c>
      <c r="C19" s="147">
        <f>'11'!N15</f>
        <v>4060000</v>
      </c>
      <c r="D19" s="119"/>
      <c r="E19" s="119"/>
      <c r="F19" s="119"/>
      <c r="G19" s="119"/>
      <c r="H19" s="119"/>
      <c r="I19" s="119"/>
      <c r="J19" s="119"/>
      <c r="K19" s="120"/>
      <c r="L19" s="119"/>
      <c r="M19" s="119"/>
      <c r="N19" s="118"/>
      <c r="O19" s="118"/>
      <c r="P19" s="118"/>
    </row>
    <row r="20" spans="1:16" ht="18" customHeight="1">
      <c r="A20" s="135" t="s">
        <v>221</v>
      </c>
      <c r="B20" s="136" t="s">
        <v>228</v>
      </c>
      <c r="C20" s="147">
        <f>'11a'!N14</f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8"/>
      <c r="O20" s="118"/>
      <c r="P20" s="118"/>
    </row>
    <row r="21" spans="1:16" ht="18" customHeight="1">
      <c r="A21" s="135" t="s">
        <v>78</v>
      </c>
      <c r="B21" s="136" t="s">
        <v>79</v>
      </c>
      <c r="C21" s="147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8"/>
      <c r="O21" s="118"/>
      <c r="P21" s="118"/>
    </row>
    <row r="22" spans="1:16" ht="18" customHeight="1">
      <c r="A22" s="135" t="s">
        <v>224</v>
      </c>
      <c r="B22" s="136" t="s">
        <v>227</v>
      </c>
      <c r="C22" s="147">
        <f>'11c'!N15</f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8"/>
      <c r="O22" s="118"/>
      <c r="P22" s="118"/>
    </row>
    <row r="23" spans="1:16" ht="18" customHeight="1">
      <c r="A23" s="135" t="s">
        <v>455</v>
      </c>
      <c r="B23" s="136" t="s">
        <v>167</v>
      </c>
      <c r="C23" s="147">
        <f>'11d'!L16</f>
        <v>72000000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8"/>
      <c r="O23" s="118"/>
      <c r="P23" s="118"/>
    </row>
    <row r="24" spans="1:16" ht="18" customHeight="1">
      <c r="A24" s="135">
        <v>12</v>
      </c>
      <c r="B24" s="136" t="s">
        <v>114</v>
      </c>
      <c r="C24" s="147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8"/>
      <c r="O24" s="118"/>
      <c r="P24" s="118"/>
    </row>
    <row r="25" spans="1:16" ht="18" customHeight="1">
      <c r="A25" s="135" t="s">
        <v>222</v>
      </c>
      <c r="B25" s="136" t="s">
        <v>82</v>
      </c>
      <c r="C25" s="147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8"/>
      <c r="O25" s="118"/>
      <c r="P25" s="118"/>
    </row>
    <row r="26" spans="1:16" ht="18" customHeight="1">
      <c r="A26" s="135">
        <v>13</v>
      </c>
      <c r="B26" s="136" t="s">
        <v>230</v>
      </c>
      <c r="C26" s="147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8"/>
      <c r="O26" s="118"/>
      <c r="P26" s="118"/>
    </row>
    <row r="27" spans="1:16" ht="18" customHeight="1">
      <c r="A27" s="135" t="s">
        <v>24</v>
      </c>
      <c r="B27" s="136" t="s">
        <v>67</v>
      </c>
      <c r="C27" s="147"/>
      <c r="D27" s="119"/>
      <c r="E27" s="119"/>
      <c r="F27" s="121"/>
      <c r="G27" s="121"/>
      <c r="H27" s="121"/>
      <c r="I27" s="121"/>
      <c r="J27" s="119"/>
      <c r="K27" s="121"/>
      <c r="L27" s="119"/>
      <c r="M27" s="119"/>
      <c r="N27" s="118"/>
      <c r="O27" s="118"/>
      <c r="P27" s="118"/>
    </row>
    <row r="28" spans="1:16" ht="18" customHeight="1">
      <c r="A28" s="135">
        <v>14</v>
      </c>
      <c r="B28" s="136" t="s">
        <v>409</v>
      </c>
      <c r="C28" s="147">
        <f>'14'!N14</f>
        <v>101640000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8"/>
      <c r="O28" s="118"/>
      <c r="P28" s="118"/>
    </row>
    <row r="29" spans="1:16" ht="18" customHeight="1">
      <c r="A29" s="135">
        <v>15</v>
      </c>
      <c r="B29" s="136" t="s">
        <v>88</v>
      </c>
      <c r="C29" s="147">
        <f>'15'!N18</f>
        <v>270000000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8"/>
      <c r="O29" s="118"/>
      <c r="P29" s="118"/>
    </row>
    <row r="30" spans="1:16" ht="18" customHeight="1">
      <c r="A30" s="135">
        <v>16</v>
      </c>
      <c r="B30" s="136" t="s">
        <v>404</v>
      </c>
      <c r="C30" s="147">
        <f>'16'!N13</f>
        <v>8367827.9999999991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8"/>
      <c r="O30" s="118"/>
      <c r="P30" s="118"/>
    </row>
    <row r="31" spans="1:16" ht="18" customHeight="1">
      <c r="A31" s="135">
        <v>17</v>
      </c>
      <c r="B31" s="136" t="s">
        <v>405</v>
      </c>
      <c r="C31" s="147">
        <f>'17'!O16</f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8"/>
      <c r="O31" s="118"/>
      <c r="P31" s="118"/>
    </row>
    <row r="32" spans="1:16" ht="18" customHeight="1">
      <c r="A32" s="135">
        <v>18</v>
      </c>
      <c r="B32" s="136" t="s">
        <v>408</v>
      </c>
      <c r="C32" s="147">
        <f>'18'!N14</f>
        <v>88300000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8"/>
      <c r="O32" s="118"/>
      <c r="P32" s="118"/>
    </row>
    <row r="33" spans="1:16" ht="18" customHeight="1">
      <c r="A33" s="135">
        <v>19</v>
      </c>
      <c r="B33" s="136" t="s">
        <v>124</v>
      </c>
      <c r="C33" s="147">
        <f>'19'!N15</f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8"/>
      <c r="O33" s="118"/>
      <c r="P33" s="118"/>
    </row>
    <row r="34" spans="1:16" ht="18" customHeight="1">
      <c r="A34" s="135">
        <v>20</v>
      </c>
      <c r="B34" s="136" t="s">
        <v>662</v>
      </c>
      <c r="C34" s="147">
        <f>'20'!N15</f>
        <v>7820400</v>
      </c>
      <c r="D34" s="119"/>
      <c r="E34" s="119"/>
      <c r="F34" s="119"/>
      <c r="G34" s="119"/>
      <c r="H34" s="119"/>
      <c r="I34" s="119"/>
      <c r="J34" s="119"/>
      <c r="K34" s="120"/>
      <c r="L34" s="119"/>
      <c r="M34" s="119"/>
      <c r="N34" s="118"/>
      <c r="O34" s="118"/>
      <c r="P34" s="118"/>
    </row>
    <row r="35" spans="1:16" ht="18" customHeight="1">
      <c r="A35" s="135" t="s">
        <v>655</v>
      </c>
      <c r="B35" s="136" t="s">
        <v>656</v>
      </c>
      <c r="C35" s="147">
        <f>'41'!D14</f>
        <v>86400000</v>
      </c>
      <c r="D35" s="119"/>
      <c r="E35" s="119"/>
      <c r="F35" s="119"/>
      <c r="G35" s="119"/>
      <c r="H35" s="119"/>
      <c r="I35" s="119"/>
      <c r="J35" s="119"/>
      <c r="K35" s="120"/>
      <c r="L35" s="119"/>
      <c r="M35" s="119"/>
      <c r="N35" s="118"/>
      <c r="O35" s="118"/>
      <c r="P35" s="118"/>
    </row>
    <row r="36" spans="1:16" ht="18" customHeight="1">
      <c r="A36" s="135">
        <v>21</v>
      </c>
      <c r="B36" s="136" t="s">
        <v>113</v>
      </c>
      <c r="C36" s="147">
        <f>'21'!N16</f>
        <v>43200000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8"/>
      <c r="O36" s="118"/>
      <c r="P36" s="118"/>
    </row>
    <row r="37" spans="1:16" ht="18" customHeight="1">
      <c r="A37" s="135">
        <v>22</v>
      </c>
      <c r="B37" s="136" t="s">
        <v>411</v>
      </c>
      <c r="C37" s="147">
        <f>'22'!M15</f>
        <v>32400000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8"/>
      <c r="O37" s="118"/>
      <c r="P37" s="118"/>
    </row>
    <row r="38" spans="1:16" ht="18" customHeight="1">
      <c r="A38" s="135">
        <v>23</v>
      </c>
      <c r="B38" s="136" t="s">
        <v>412</v>
      </c>
      <c r="C38" s="147">
        <f>'23'!L14</f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8"/>
      <c r="O38" s="118"/>
      <c r="P38" s="118"/>
    </row>
    <row r="39" spans="1:16" ht="18" customHeight="1">
      <c r="A39" s="135">
        <v>24</v>
      </c>
      <c r="B39" s="136" t="s">
        <v>229</v>
      </c>
      <c r="C39" s="147">
        <f>'24'!M16</f>
        <v>22050000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8"/>
      <c r="O39" s="118"/>
      <c r="P39" s="118"/>
    </row>
    <row r="40" spans="1:16" ht="18" customHeight="1">
      <c r="A40" s="135">
        <v>25</v>
      </c>
      <c r="B40" s="136" t="s">
        <v>410</v>
      </c>
      <c r="C40" s="14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8"/>
      <c r="O40" s="118"/>
      <c r="P40" s="118"/>
    </row>
    <row r="41" spans="1:16" ht="18" customHeight="1">
      <c r="A41" s="135">
        <v>26</v>
      </c>
      <c r="B41" s="136" t="s">
        <v>416</v>
      </c>
      <c r="C41" s="147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8"/>
      <c r="O41" s="118"/>
      <c r="P41" s="118"/>
    </row>
    <row r="42" spans="1:16" ht="18" customHeight="1">
      <c r="A42" s="135">
        <v>27</v>
      </c>
      <c r="B42" s="136" t="s">
        <v>112</v>
      </c>
      <c r="C42" s="147">
        <f>'27'!N18</f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8"/>
      <c r="O42" s="118"/>
      <c r="P42" s="118"/>
    </row>
    <row r="43" spans="1:16" ht="18" customHeight="1">
      <c r="A43" s="135">
        <v>28</v>
      </c>
      <c r="B43" s="136" t="s">
        <v>91</v>
      </c>
      <c r="C43" s="147">
        <f>'28'!N15</f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8"/>
      <c r="O43" s="118"/>
      <c r="P43" s="118"/>
    </row>
    <row r="44" spans="1:16" ht="18" customHeight="1">
      <c r="A44" s="135">
        <v>29</v>
      </c>
      <c r="B44" s="136" t="s">
        <v>551</v>
      </c>
      <c r="C44" s="147">
        <f>'29'!N16</f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8"/>
      <c r="O44" s="118"/>
      <c r="P44" s="118"/>
    </row>
    <row r="45" spans="1:16" ht="18" customHeight="1">
      <c r="A45" s="137">
        <v>30</v>
      </c>
      <c r="B45" s="136" t="s">
        <v>402</v>
      </c>
      <c r="C45" s="148"/>
      <c r="D45" s="122"/>
      <c r="E45" s="122"/>
      <c r="F45" s="123"/>
      <c r="G45" s="123"/>
      <c r="H45" s="123"/>
      <c r="I45" s="123"/>
      <c r="J45" s="119"/>
      <c r="K45" s="123"/>
      <c r="L45" s="119"/>
      <c r="M45" s="119"/>
      <c r="N45" s="118"/>
      <c r="O45" s="118"/>
      <c r="P45" s="118"/>
    </row>
    <row r="46" spans="1:16" ht="18" customHeight="1">
      <c r="A46" s="135">
        <v>31</v>
      </c>
      <c r="B46" s="136" t="s">
        <v>407</v>
      </c>
      <c r="C46" s="147">
        <f>'31'!N14</f>
        <v>43200000</v>
      </c>
      <c r="D46" s="119"/>
      <c r="E46" s="119"/>
      <c r="F46" s="119"/>
      <c r="G46" s="119"/>
      <c r="H46" s="119"/>
      <c r="I46" s="119"/>
      <c r="J46" s="119"/>
      <c r="K46" s="124"/>
      <c r="L46" s="119"/>
      <c r="M46" s="119"/>
      <c r="N46" s="118"/>
      <c r="O46" s="118"/>
      <c r="P46" s="118"/>
    </row>
    <row r="47" spans="1:16" ht="18" customHeight="1">
      <c r="A47" s="135">
        <v>32</v>
      </c>
      <c r="B47" s="136" t="s">
        <v>84</v>
      </c>
      <c r="C47" s="147">
        <f>'32'!O15</f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8"/>
      <c r="O47" s="118"/>
      <c r="P47" s="118"/>
    </row>
    <row r="48" spans="1:16" ht="18" customHeight="1">
      <c r="A48" s="138">
        <v>33</v>
      </c>
      <c r="B48" s="136" t="s">
        <v>87</v>
      </c>
      <c r="C48" s="147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8"/>
      <c r="O48" s="118"/>
      <c r="P48" s="118"/>
    </row>
    <row r="49" spans="1:16" ht="18" customHeight="1">
      <c r="A49" s="138">
        <v>34</v>
      </c>
      <c r="B49" s="136" t="s">
        <v>121</v>
      </c>
      <c r="C49" s="147">
        <f>'34'!O11</f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8"/>
      <c r="O49" s="118"/>
      <c r="P49" s="118"/>
    </row>
    <row r="50" spans="1:16" ht="18" customHeight="1">
      <c r="A50" s="139">
        <v>35</v>
      </c>
      <c r="B50" s="140" t="s">
        <v>400</v>
      </c>
      <c r="C50" s="149">
        <f>'35'!E15</f>
        <v>35280000</v>
      </c>
      <c r="D50" s="123"/>
      <c r="E50" s="123"/>
      <c r="F50" s="123"/>
      <c r="G50" s="123"/>
      <c r="H50" s="123"/>
      <c r="I50" s="123"/>
      <c r="J50" s="123"/>
      <c r="K50" s="123"/>
      <c r="L50" s="119"/>
      <c r="M50" s="119"/>
      <c r="N50" s="118"/>
      <c r="O50" s="118"/>
      <c r="P50" s="118"/>
    </row>
    <row r="51" spans="1:16" ht="18" customHeight="1">
      <c r="A51" s="141">
        <v>36</v>
      </c>
      <c r="B51" s="142" t="s">
        <v>639</v>
      </c>
      <c r="C51" s="150"/>
      <c r="D51" s="125"/>
      <c r="E51" s="125"/>
      <c r="F51" s="125"/>
      <c r="G51" s="125"/>
      <c r="H51" s="125"/>
      <c r="I51" s="125"/>
      <c r="J51" s="123"/>
      <c r="K51" s="126"/>
      <c r="L51" s="119"/>
      <c r="M51" s="119"/>
      <c r="N51" s="118"/>
      <c r="O51" s="118"/>
      <c r="P51" s="118"/>
    </row>
    <row r="52" spans="1:16" ht="18" customHeight="1">
      <c r="A52" s="143">
        <v>37</v>
      </c>
      <c r="B52" s="144" t="s">
        <v>415</v>
      </c>
      <c r="C52" s="152">
        <f>'37'!E15</f>
        <v>23040000</v>
      </c>
      <c r="D52" s="125"/>
      <c r="E52" s="125"/>
      <c r="F52" s="125"/>
      <c r="G52" s="125"/>
      <c r="H52" s="125"/>
      <c r="I52" s="125"/>
      <c r="J52" s="123"/>
      <c r="K52" s="127"/>
      <c r="L52" s="119"/>
      <c r="M52" s="119"/>
      <c r="N52" s="118"/>
      <c r="O52" s="118"/>
      <c r="P52" s="118"/>
    </row>
    <row r="53" spans="1:16" ht="18" customHeight="1">
      <c r="A53" s="143">
        <v>38</v>
      </c>
      <c r="B53" s="144" t="s">
        <v>548</v>
      </c>
      <c r="C53" s="152">
        <f>'38'!E16</f>
        <v>40320000</v>
      </c>
      <c r="D53" s="125"/>
      <c r="E53" s="125"/>
      <c r="F53" s="125"/>
      <c r="G53" s="125"/>
      <c r="H53" s="125"/>
      <c r="I53" s="125"/>
      <c r="J53" s="123"/>
      <c r="K53" s="128"/>
      <c r="L53" s="119"/>
      <c r="M53" s="119"/>
      <c r="N53" s="118"/>
      <c r="O53" s="118"/>
      <c r="P53" s="118"/>
    </row>
    <row r="54" spans="1:16" ht="18" customHeight="1">
      <c r="A54" s="143">
        <v>39</v>
      </c>
      <c r="B54" s="144" t="s">
        <v>633</v>
      </c>
      <c r="C54" s="152">
        <f>'39'!L16</f>
        <v>42036000</v>
      </c>
      <c r="D54" s="125"/>
      <c r="E54" s="125"/>
      <c r="F54" s="125"/>
      <c r="G54" s="125"/>
      <c r="H54" s="125"/>
      <c r="I54" s="125"/>
      <c r="J54" s="123"/>
      <c r="K54" s="128"/>
      <c r="L54" s="119"/>
      <c r="M54" s="119"/>
      <c r="N54" s="118"/>
      <c r="O54" s="118"/>
      <c r="P54" s="118"/>
    </row>
    <row r="55" spans="1:16" ht="18" customHeight="1">
      <c r="A55" s="143">
        <v>40</v>
      </c>
      <c r="B55" s="144" t="s">
        <v>657</v>
      </c>
      <c r="C55" s="152">
        <f>'40'!N16</f>
        <v>2940000</v>
      </c>
      <c r="D55" s="125"/>
      <c r="E55" s="125"/>
      <c r="F55" s="125"/>
      <c r="G55" s="125"/>
      <c r="H55" s="125"/>
      <c r="I55" s="125"/>
      <c r="J55" s="123"/>
      <c r="K55" s="129"/>
      <c r="L55" s="119"/>
      <c r="M55" s="119"/>
      <c r="N55" s="118"/>
      <c r="O55" s="118"/>
      <c r="P55" s="118"/>
    </row>
    <row r="56" spans="1:16" ht="18" customHeight="1">
      <c r="A56" s="143">
        <v>41</v>
      </c>
      <c r="B56" s="144" t="s">
        <v>663</v>
      </c>
      <c r="C56" s="152">
        <f>'8B'!D14</f>
        <v>36000000</v>
      </c>
      <c r="D56" s="125"/>
      <c r="E56" s="125"/>
      <c r="F56" s="125"/>
      <c r="G56" s="125"/>
      <c r="H56" s="125"/>
      <c r="I56" s="125"/>
      <c r="J56" s="123"/>
      <c r="K56" s="129"/>
      <c r="L56" s="119"/>
      <c r="M56" s="119"/>
      <c r="N56" s="118"/>
      <c r="O56" s="118"/>
      <c r="P56" s="118"/>
    </row>
    <row r="57" spans="1:16" ht="18" customHeight="1">
      <c r="A57" s="143">
        <v>42</v>
      </c>
      <c r="B57" s="144" t="s">
        <v>672</v>
      </c>
      <c r="C57" s="152" t="e">
        <f>#REF!</f>
        <v>#REF!</v>
      </c>
      <c r="D57" s="125"/>
      <c r="E57" s="125"/>
      <c r="F57" s="125"/>
      <c r="G57" s="125"/>
      <c r="H57" s="125"/>
      <c r="I57" s="125"/>
      <c r="J57" s="123"/>
      <c r="K57" s="129"/>
      <c r="L57" s="119"/>
      <c r="M57" s="119"/>
      <c r="N57" s="118"/>
      <c r="O57" s="118"/>
      <c r="P57" s="118"/>
    </row>
    <row r="58" spans="1:16" ht="18" customHeight="1" thickBot="1">
      <c r="A58" s="145"/>
      <c r="B58" s="146" t="s">
        <v>401</v>
      </c>
      <c r="C58" s="151"/>
      <c r="D58" s="130"/>
      <c r="E58" s="130"/>
      <c r="F58" s="130"/>
      <c r="G58" s="130"/>
      <c r="H58" s="130"/>
      <c r="I58" s="130"/>
      <c r="J58" s="131"/>
      <c r="K58" s="131"/>
      <c r="L58" s="132"/>
      <c r="M58" s="132"/>
      <c r="N58" s="118"/>
      <c r="O58" s="118"/>
      <c r="P58" s="118"/>
    </row>
    <row r="59" spans="1:16" ht="18" customHeight="1"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</row>
    <row r="60" spans="1:16" ht="18" customHeight="1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</row>
    <row r="61" spans="1:16" ht="18" customHeight="1"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</row>
    <row r="62" spans="1:16" ht="18" customHeight="1"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</row>
    <row r="63" spans="1:16" ht="18" customHeight="1"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</row>
    <row r="64" spans="1:16" ht="18" customHeight="1"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</row>
    <row r="65" spans="4:16" ht="18" customHeight="1"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</row>
    <row r="66" spans="4:16" ht="18" customHeight="1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</row>
    <row r="67" spans="4:16" ht="18" customHeight="1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</row>
    <row r="68" spans="4:16" ht="18" customHeight="1"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</row>
    <row r="69" spans="4:16" ht="18" customHeight="1"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</row>
    <row r="70" spans="4:16" ht="18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</row>
    <row r="71" spans="4:16" ht="18" customHeight="1"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</row>
    <row r="72" spans="4:16" ht="18" customHeight="1"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</row>
    <row r="73" spans="4:16" ht="18" customHeight="1"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</row>
    <row r="74" spans="4:16" ht="18" customHeight="1"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</row>
    <row r="75" spans="4:16" ht="18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</row>
    <row r="76" spans="4:16" ht="18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</row>
    <row r="77" spans="4:16" ht="18" customHeight="1"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</row>
    <row r="78" spans="4:16" ht="18" customHeight="1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</row>
    <row r="79" spans="4:16" ht="18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</row>
    <row r="80" spans="4:16" ht="18" customHeight="1"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</row>
    <row r="81" spans="4:16" ht="18" customHeight="1"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</row>
    <row r="82" spans="4:16" ht="18" customHeight="1"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</row>
    <row r="83" spans="4:16" ht="18" customHeight="1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</row>
    <row r="84" spans="4:16" ht="18" customHeight="1"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</row>
    <row r="85" spans="4:16" ht="18" customHeight="1"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</row>
    <row r="86" spans="4:16" ht="18" customHeight="1"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</row>
    <row r="87" spans="4:16" ht="18" customHeight="1"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</row>
    <row r="88" spans="4:16" ht="18" customHeight="1"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</row>
    <row r="89" spans="4:16" ht="18" customHeight="1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</row>
    <row r="90" spans="4:16" ht="18" customHeight="1"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</row>
    <row r="91" spans="4:16" ht="18" customHeight="1"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</row>
    <row r="92" spans="4:16" ht="18" customHeight="1"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</row>
    <row r="93" spans="4:16" ht="18" customHeight="1"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</row>
    <row r="94" spans="4:16" ht="18" customHeight="1"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</row>
    <row r="95" spans="4:16" ht="18" customHeight="1"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</row>
    <row r="96" spans="4:16" ht="18" customHeight="1"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</row>
    <row r="97" spans="4:16" ht="18" customHeight="1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</row>
    <row r="98" spans="4:16" ht="18" customHeight="1"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</row>
    <row r="99" spans="4:16" ht="18" customHeight="1"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</row>
    <row r="100" spans="4:16" ht="18" customHeight="1"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</row>
    <row r="101" spans="4:16" ht="18" customHeight="1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</row>
    <row r="102" spans="4:16" ht="18" customHeight="1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</row>
    <row r="103" spans="4:16" ht="18" customHeight="1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</row>
    <row r="104" spans="4:16" ht="18" customHeight="1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</row>
    <row r="105" spans="4:16" ht="18" customHeight="1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</row>
    <row r="106" spans="4:16" ht="18" customHeight="1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</row>
    <row r="107" spans="4:16" ht="18" customHeight="1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</row>
    <row r="108" spans="4:16" ht="18" customHeight="1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</row>
    <row r="109" spans="4:16" ht="18" customHeight="1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</row>
    <row r="110" spans="4:16" ht="18" customHeight="1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4:16" ht="18" customHeight="1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4:16" ht="18" customHeight="1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4:16" ht="18" customHeight="1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4:16" ht="18" customHeight="1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</sheetData>
  <pageMargins left="0.7" right="0.7" top="0.75" bottom="0.75" header="0.3" footer="0.3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O441"/>
  <sheetViews>
    <sheetView view="pageBreakPreview" zoomScale="60" workbookViewId="0">
      <selection activeCell="M15" sqref="M15"/>
    </sheetView>
  </sheetViews>
  <sheetFormatPr defaultRowHeight="23.1" customHeight="1"/>
  <cols>
    <col min="1" max="1" width="16.6640625" style="399" bestFit="1" customWidth="1"/>
    <col min="2" max="2" width="79" style="399" bestFit="1" customWidth="1"/>
    <col min="3" max="3" width="23.1640625" style="399" hidden="1" customWidth="1"/>
    <col min="4" max="4" width="0.5" style="399" hidden="1" customWidth="1"/>
    <col min="5" max="5" width="0.83203125" style="399" hidden="1" customWidth="1"/>
    <col min="6" max="6" width="19.33203125" style="399" hidden="1" customWidth="1"/>
    <col min="7" max="7" width="0.33203125" style="399" hidden="1" customWidth="1"/>
    <col min="8" max="8" width="3.1640625" style="399" hidden="1" customWidth="1"/>
    <col min="9" max="10" width="1.6640625" style="399" hidden="1" customWidth="1"/>
    <col min="11" max="11" width="27.5" style="399" hidden="1" customWidth="1"/>
    <col min="12" max="12" width="29.83203125" style="399" hidden="1" customWidth="1"/>
    <col min="13" max="14" width="28.6640625" style="399" customWidth="1"/>
    <col min="15" max="15" width="27.6640625" style="409" bestFit="1" customWidth="1"/>
    <col min="16" max="16384" width="9.33203125" style="399"/>
  </cols>
  <sheetData>
    <row r="1" spans="1:15" ht="24" customHeight="1">
      <c r="A1" s="371" t="s">
        <v>44</v>
      </c>
      <c r="B1" s="372" t="s">
        <v>876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24" customHeight="1">
      <c r="A2" s="371" t="s">
        <v>28</v>
      </c>
      <c r="B2" s="371" t="s">
        <v>29</v>
      </c>
      <c r="C2" s="292" t="s">
        <v>43</v>
      </c>
      <c r="D2" s="292" t="s">
        <v>2</v>
      </c>
      <c r="E2" s="292" t="s">
        <v>48</v>
      </c>
      <c r="F2" s="292" t="s">
        <v>52</v>
      </c>
      <c r="G2" s="292" t="s">
        <v>62</v>
      </c>
      <c r="H2" s="271" t="s">
        <v>70</v>
      </c>
      <c r="I2" s="271" t="s">
        <v>130</v>
      </c>
      <c r="J2" s="271" t="s">
        <v>135</v>
      </c>
      <c r="K2" s="271" t="s">
        <v>166</v>
      </c>
      <c r="L2" s="271" t="s">
        <v>300</v>
      </c>
      <c r="M2" s="271" t="s">
        <v>643</v>
      </c>
      <c r="N2" s="271" t="s">
        <v>1102</v>
      </c>
      <c r="O2" s="271" t="s">
        <v>63</v>
      </c>
    </row>
    <row r="3" spans="1:15" ht="24" customHeight="1">
      <c r="A3" s="292" t="s">
        <v>248</v>
      </c>
      <c r="B3" s="292" t="s">
        <v>165</v>
      </c>
      <c r="C3" s="284"/>
      <c r="D3" s="284"/>
      <c r="E3" s="284"/>
      <c r="F3" s="284"/>
      <c r="G3" s="284"/>
      <c r="H3" s="400"/>
      <c r="I3" s="400"/>
      <c r="J3" s="401"/>
      <c r="K3" s="400"/>
      <c r="L3" s="400"/>
      <c r="M3" s="400"/>
      <c r="N3" s="400"/>
      <c r="O3" s="284"/>
    </row>
    <row r="4" spans="1:15" ht="24" customHeight="1">
      <c r="A4" s="292" t="s">
        <v>249</v>
      </c>
      <c r="B4" s="292" t="s">
        <v>250</v>
      </c>
      <c r="C4" s="284">
        <v>61545000</v>
      </c>
      <c r="D4" s="284">
        <v>74124000</v>
      </c>
      <c r="E4" s="284">
        <v>64128000</v>
      </c>
      <c r="F4" s="284">
        <v>72660000</v>
      </c>
      <c r="G4" s="284">
        <v>72660000</v>
      </c>
      <c r="H4" s="284">
        <f>72660000+42936000</f>
        <v>115596000</v>
      </c>
      <c r="I4" s="284">
        <f>150274800+4149600+13104000+3198000</f>
        <v>170726400</v>
      </c>
      <c r="J4" s="334">
        <f>170726400+3198000</f>
        <v>173924400</v>
      </c>
      <c r="K4" s="284"/>
      <c r="L4" s="284"/>
      <c r="M4" s="284"/>
      <c r="N4" s="284"/>
      <c r="O4" s="284"/>
    </row>
    <row r="5" spans="1:15" ht="24" customHeight="1">
      <c r="A5" s="284" t="s">
        <v>247</v>
      </c>
      <c r="B5" s="284" t="s">
        <v>32</v>
      </c>
      <c r="C5" s="284">
        <v>1180900</v>
      </c>
      <c r="D5" s="284"/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334">
        <v>0</v>
      </c>
      <c r="K5" s="284">
        <v>177621600</v>
      </c>
      <c r="L5" s="284">
        <f>404570400+25000000</f>
        <v>429570400</v>
      </c>
      <c r="M5" s="284">
        <v>486470400</v>
      </c>
      <c r="N5" s="284">
        <v>486127200</v>
      </c>
      <c r="O5" s="284">
        <f>N5-M5</f>
        <v>-343200</v>
      </c>
    </row>
    <row r="6" spans="1:15" ht="24" customHeight="1">
      <c r="A6" s="284" t="s">
        <v>251</v>
      </c>
      <c r="B6" s="284" t="s">
        <v>565</v>
      </c>
      <c r="C6" s="284">
        <v>1123486000</v>
      </c>
      <c r="D6" s="284">
        <v>1227036000</v>
      </c>
      <c r="E6" s="284">
        <v>1192428000</v>
      </c>
      <c r="F6" s="284">
        <f>1935276000+1200000</f>
        <v>1936476000</v>
      </c>
      <c r="G6" s="284">
        <f>1936476000+600000000</f>
        <v>2536476000</v>
      </c>
      <c r="H6" s="284">
        <f>2529276000+54000000</f>
        <v>2583276000</v>
      </c>
      <c r="I6" s="284">
        <f>2530476000+4800000</f>
        <v>2535276000</v>
      </c>
      <c r="J6" s="334">
        <f>2535276000+2400000</f>
        <v>2537676000</v>
      </c>
      <c r="K6" s="284">
        <v>0</v>
      </c>
      <c r="L6" s="284">
        <v>6396000000</v>
      </c>
      <c r="M6" s="284">
        <v>6396000000</v>
      </c>
      <c r="N6" s="284">
        <v>6396000000</v>
      </c>
      <c r="O6" s="284">
        <f t="shared" ref="O6:O52" si="0">N6-M6</f>
        <v>0</v>
      </c>
    </row>
    <row r="7" spans="1:15" ht="24" customHeight="1">
      <c r="A7" s="284" t="s">
        <v>252</v>
      </c>
      <c r="B7" s="284" t="s">
        <v>1105</v>
      </c>
      <c r="C7" s="284"/>
      <c r="D7" s="284"/>
      <c r="E7" s="284"/>
      <c r="F7" s="284"/>
      <c r="G7" s="284"/>
      <c r="H7" s="284"/>
      <c r="I7" s="284"/>
      <c r="J7" s="334"/>
      <c r="K7" s="284">
        <v>2537676000</v>
      </c>
      <c r="L7" s="284">
        <f>1742100000+7200000</f>
        <v>1749300000</v>
      </c>
      <c r="M7" s="284">
        <v>1851300000</v>
      </c>
      <c r="N7" s="284">
        <v>1847700000</v>
      </c>
      <c r="O7" s="284">
        <f t="shared" si="0"/>
        <v>-3600000</v>
      </c>
    </row>
    <row r="8" spans="1:15" s="387" customFormat="1" ht="24" customHeight="1">
      <c r="A8" s="284" t="s">
        <v>253</v>
      </c>
      <c r="B8" s="284" t="s">
        <v>168</v>
      </c>
      <c r="C8" s="284">
        <f t="shared" ref="C8:I8" si="1">SUM(C4:C6)</f>
        <v>1186211900</v>
      </c>
      <c r="D8" s="284">
        <f t="shared" si="1"/>
        <v>1301160000</v>
      </c>
      <c r="E8" s="284">
        <f t="shared" si="1"/>
        <v>1256556000</v>
      </c>
      <c r="F8" s="284">
        <f t="shared" si="1"/>
        <v>2009136000</v>
      </c>
      <c r="G8" s="284">
        <f t="shared" si="1"/>
        <v>2609136000</v>
      </c>
      <c r="H8" s="284">
        <f t="shared" si="1"/>
        <v>2698872000</v>
      </c>
      <c r="I8" s="292">
        <f t="shared" si="1"/>
        <v>2706002400</v>
      </c>
      <c r="J8" s="334"/>
      <c r="K8" s="284">
        <v>0</v>
      </c>
      <c r="L8" s="284">
        <v>0</v>
      </c>
      <c r="M8" s="284">
        <v>0</v>
      </c>
      <c r="N8" s="284">
        <v>0</v>
      </c>
      <c r="O8" s="284">
        <f t="shared" si="0"/>
        <v>0</v>
      </c>
    </row>
    <row r="9" spans="1:15" s="387" customFormat="1" ht="24" customHeight="1">
      <c r="A9" s="284" t="s">
        <v>254</v>
      </c>
      <c r="B9" s="284" t="s">
        <v>704</v>
      </c>
      <c r="C9" s="284">
        <v>2500000</v>
      </c>
      <c r="D9" s="284">
        <v>2000000</v>
      </c>
      <c r="E9" s="284">
        <v>2000000</v>
      </c>
      <c r="F9" s="284">
        <v>2000000</v>
      </c>
      <c r="G9" s="284">
        <v>1600000</v>
      </c>
      <c r="H9" s="284">
        <v>41000000</v>
      </c>
      <c r="I9" s="284">
        <v>41000000</v>
      </c>
      <c r="J9" s="334"/>
      <c r="K9" s="284">
        <v>90864000</v>
      </c>
      <c r="L9" s="284">
        <v>150864000</v>
      </c>
      <c r="M9" s="284">
        <f>L9*70%</f>
        <v>105604800</v>
      </c>
      <c r="N9" s="284">
        <v>105604800</v>
      </c>
      <c r="O9" s="284">
        <f t="shared" si="0"/>
        <v>0</v>
      </c>
    </row>
    <row r="10" spans="1:15" ht="24" customHeight="1">
      <c r="A10" s="292" t="s">
        <v>255</v>
      </c>
      <c r="B10" s="292" t="s">
        <v>256</v>
      </c>
      <c r="C10" s="284"/>
      <c r="D10" s="284"/>
      <c r="E10" s="284"/>
      <c r="F10" s="284"/>
      <c r="G10" s="284"/>
      <c r="H10" s="284"/>
      <c r="I10" s="284"/>
      <c r="J10" s="334"/>
      <c r="K10" s="292">
        <v>0</v>
      </c>
      <c r="L10" s="292">
        <v>0</v>
      </c>
      <c r="M10" s="292">
        <v>0</v>
      </c>
      <c r="N10" s="292">
        <v>0</v>
      </c>
      <c r="O10" s="284">
        <f t="shared" si="0"/>
        <v>0</v>
      </c>
    </row>
    <row r="11" spans="1:15" ht="24" customHeight="1">
      <c r="A11" s="284" t="s">
        <v>258</v>
      </c>
      <c r="B11" s="284" t="s">
        <v>261</v>
      </c>
      <c r="C11" s="284">
        <v>18000000</v>
      </c>
      <c r="D11" s="284">
        <f>25000000-2000000</f>
        <v>23000000</v>
      </c>
      <c r="E11" s="284">
        <v>23000000</v>
      </c>
      <c r="F11" s="284">
        <v>23000000</v>
      </c>
      <c r="G11" s="284">
        <v>18400000</v>
      </c>
      <c r="H11" s="284">
        <v>56000000</v>
      </c>
      <c r="I11" s="284">
        <v>100000000</v>
      </c>
      <c r="J11" s="334">
        <v>80000000</v>
      </c>
      <c r="K11" s="284">
        <v>0</v>
      </c>
      <c r="L11" s="284">
        <v>0</v>
      </c>
      <c r="M11" s="284">
        <v>0</v>
      </c>
      <c r="N11" s="284">
        <v>0</v>
      </c>
      <c r="O11" s="284">
        <f t="shared" si="0"/>
        <v>0</v>
      </c>
    </row>
    <row r="12" spans="1:15" ht="24" customHeight="1">
      <c r="A12" s="284"/>
      <c r="B12" s="292" t="s">
        <v>119</v>
      </c>
      <c r="C12" s="284">
        <v>11878000</v>
      </c>
      <c r="D12" s="284">
        <f>2000000+2000000</f>
        <v>4000000</v>
      </c>
      <c r="E12" s="284">
        <v>2000000</v>
      </c>
      <c r="F12" s="284">
        <v>2000000</v>
      </c>
      <c r="G12" s="284">
        <v>1600000</v>
      </c>
      <c r="H12" s="284">
        <v>30000000</v>
      </c>
      <c r="I12" s="284">
        <v>60000000</v>
      </c>
      <c r="J12" s="334">
        <v>50000000</v>
      </c>
      <c r="K12" s="292">
        <f>SUM(K5:K11)</f>
        <v>2806161600</v>
      </c>
      <c r="L12" s="292">
        <f>SUM(L5:L11)</f>
        <v>8725734400</v>
      </c>
      <c r="M12" s="292">
        <f>SUM(M5:M11)</f>
        <v>8839375200</v>
      </c>
      <c r="N12" s="292">
        <f>SUM(N5:N11)</f>
        <v>8835432000</v>
      </c>
      <c r="O12" s="284">
        <f t="shared" si="0"/>
        <v>-3943200</v>
      </c>
    </row>
    <row r="13" spans="1:15" ht="24" customHeight="1">
      <c r="A13" s="292" t="s">
        <v>262</v>
      </c>
      <c r="B13" s="292" t="s">
        <v>263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200000000</v>
      </c>
      <c r="I13" s="284">
        <v>200000000</v>
      </c>
      <c r="J13" s="334">
        <v>280000000</v>
      </c>
      <c r="K13" s="284"/>
      <c r="L13" s="284"/>
      <c r="M13" s="284"/>
      <c r="N13" s="284"/>
      <c r="O13" s="284">
        <f t="shared" si="0"/>
        <v>0</v>
      </c>
    </row>
    <row r="14" spans="1:15" ht="24" customHeight="1">
      <c r="A14" s="292" t="s">
        <v>265</v>
      </c>
      <c r="B14" s="292" t="s">
        <v>264</v>
      </c>
      <c r="C14" s="284"/>
      <c r="D14" s="284"/>
      <c r="E14" s="284"/>
      <c r="F14" s="284"/>
      <c r="G14" s="284"/>
      <c r="H14" s="284"/>
      <c r="I14" s="284"/>
      <c r="J14" s="334"/>
      <c r="K14" s="284"/>
      <c r="L14" s="284"/>
      <c r="M14" s="284"/>
      <c r="N14" s="284"/>
      <c r="O14" s="284">
        <f t="shared" si="0"/>
        <v>0</v>
      </c>
    </row>
    <row r="15" spans="1:15" ht="24" customHeight="1">
      <c r="A15" s="284" t="s">
        <v>266</v>
      </c>
      <c r="B15" s="284" t="s">
        <v>38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356850000</v>
      </c>
      <c r="I15" s="284">
        <v>0</v>
      </c>
      <c r="J15" s="334">
        <v>84000000</v>
      </c>
      <c r="K15" s="284">
        <v>200000000</v>
      </c>
      <c r="L15" s="284">
        <v>150000000</v>
      </c>
      <c r="M15" s="284">
        <v>0</v>
      </c>
      <c r="N15" s="284">
        <v>0</v>
      </c>
      <c r="O15" s="284">
        <f t="shared" si="0"/>
        <v>0</v>
      </c>
    </row>
    <row r="16" spans="1:15" ht="24" customHeight="1">
      <c r="A16" s="284" t="s">
        <v>267</v>
      </c>
      <c r="B16" s="284" t="s">
        <v>152</v>
      </c>
      <c r="C16" s="284">
        <v>1500000</v>
      </c>
      <c r="D16" s="284">
        <v>5500000</v>
      </c>
      <c r="E16" s="284">
        <v>500000</v>
      </c>
      <c r="F16" s="284">
        <v>500000</v>
      </c>
      <c r="G16" s="284">
        <v>400000</v>
      </c>
      <c r="H16" s="284">
        <v>12000000</v>
      </c>
      <c r="I16" s="284">
        <v>20000000</v>
      </c>
      <c r="J16" s="334">
        <v>20000000</v>
      </c>
      <c r="K16" s="284">
        <v>150000000</v>
      </c>
      <c r="L16" s="284">
        <v>150000000</v>
      </c>
      <c r="M16" s="284">
        <v>0</v>
      </c>
      <c r="N16" s="284">
        <v>0</v>
      </c>
      <c r="O16" s="284">
        <f t="shared" si="0"/>
        <v>0</v>
      </c>
    </row>
    <row r="17" spans="1:15" ht="24" customHeight="1">
      <c r="A17" s="284" t="s">
        <v>268</v>
      </c>
      <c r="B17" s="284" t="s">
        <v>153</v>
      </c>
      <c r="C17" s="284"/>
      <c r="D17" s="284"/>
      <c r="E17" s="284"/>
      <c r="F17" s="284"/>
      <c r="G17" s="284"/>
      <c r="H17" s="284"/>
      <c r="I17" s="284"/>
      <c r="J17" s="334"/>
      <c r="K17" s="284">
        <v>140000000</v>
      </c>
      <c r="L17" s="284">
        <f>140000000+500000000</f>
        <v>640000000</v>
      </c>
      <c r="M17" s="284">
        <v>538000000</v>
      </c>
      <c r="N17" s="284">
        <v>668000000</v>
      </c>
      <c r="O17" s="284">
        <f t="shared" si="0"/>
        <v>130000000</v>
      </c>
    </row>
    <row r="18" spans="1:15" ht="24" customHeight="1">
      <c r="A18" s="284" t="s">
        <v>269</v>
      </c>
      <c r="B18" s="284" t="s">
        <v>186</v>
      </c>
      <c r="C18" s="284"/>
      <c r="D18" s="284"/>
      <c r="E18" s="284"/>
      <c r="F18" s="284"/>
      <c r="G18" s="284"/>
      <c r="H18" s="284"/>
      <c r="I18" s="284"/>
      <c r="J18" s="334"/>
      <c r="K18" s="284">
        <v>180000000</v>
      </c>
      <c r="L18" s="284">
        <f>180000000+50000000</f>
        <v>230000000</v>
      </c>
      <c r="M18" s="284">
        <f>180000000+50000000</f>
        <v>230000000</v>
      </c>
      <c r="N18" s="284">
        <f>180000000+50000000</f>
        <v>230000000</v>
      </c>
      <c r="O18" s="284">
        <f t="shared" si="0"/>
        <v>0</v>
      </c>
    </row>
    <row r="19" spans="1:15" ht="24" customHeight="1">
      <c r="A19" s="284" t="s">
        <v>270</v>
      </c>
      <c r="B19" s="284" t="s">
        <v>163</v>
      </c>
      <c r="C19" s="284"/>
      <c r="D19" s="284"/>
      <c r="E19" s="284"/>
      <c r="F19" s="284"/>
      <c r="G19" s="284"/>
      <c r="H19" s="284"/>
      <c r="I19" s="284"/>
      <c r="J19" s="334"/>
      <c r="K19" s="284">
        <v>93600000</v>
      </c>
      <c r="L19" s="284">
        <v>11700000</v>
      </c>
      <c r="M19" s="284">
        <v>11700000</v>
      </c>
      <c r="N19" s="284">
        <v>11700000</v>
      </c>
      <c r="O19" s="284">
        <f t="shared" si="0"/>
        <v>0</v>
      </c>
    </row>
    <row r="20" spans="1:15" ht="24" customHeight="1">
      <c r="A20" s="284" t="s">
        <v>271</v>
      </c>
      <c r="B20" s="284" t="s">
        <v>154</v>
      </c>
      <c r="C20" s="284">
        <v>2500000</v>
      </c>
      <c r="D20" s="284">
        <v>2000000</v>
      </c>
      <c r="E20" s="284">
        <v>2000000</v>
      </c>
      <c r="F20" s="284">
        <v>2000000</v>
      </c>
      <c r="G20" s="284">
        <v>1600000</v>
      </c>
      <c r="H20" s="284">
        <v>41000000</v>
      </c>
      <c r="I20" s="284">
        <v>41000000</v>
      </c>
      <c r="J20" s="334">
        <v>31000000</v>
      </c>
      <c r="K20" s="284">
        <v>0</v>
      </c>
      <c r="L20" s="284">
        <v>0</v>
      </c>
      <c r="M20" s="284">
        <v>0</v>
      </c>
      <c r="N20" s="284">
        <v>0</v>
      </c>
      <c r="O20" s="284">
        <f t="shared" si="0"/>
        <v>0</v>
      </c>
    </row>
    <row r="21" spans="1:15" s="387" customFormat="1" ht="24" customHeight="1">
      <c r="A21" s="284" t="s">
        <v>272</v>
      </c>
      <c r="B21" s="284" t="s">
        <v>54</v>
      </c>
      <c r="C21" s="284">
        <f t="shared" ref="C21:J21" si="2">SUM(C15:C20)</f>
        <v>4000000</v>
      </c>
      <c r="D21" s="284">
        <f t="shared" si="2"/>
        <v>7500000</v>
      </c>
      <c r="E21" s="284">
        <f t="shared" si="2"/>
        <v>2500000</v>
      </c>
      <c r="F21" s="284">
        <f t="shared" si="2"/>
        <v>2500000</v>
      </c>
      <c r="G21" s="284">
        <f t="shared" si="2"/>
        <v>2000000</v>
      </c>
      <c r="H21" s="284">
        <f t="shared" si="2"/>
        <v>409850000</v>
      </c>
      <c r="I21" s="292">
        <f t="shared" si="2"/>
        <v>61000000</v>
      </c>
      <c r="J21" s="402">
        <f t="shared" si="2"/>
        <v>135000000</v>
      </c>
      <c r="K21" s="284">
        <v>90000000</v>
      </c>
      <c r="L21" s="284">
        <f>90000000+50000000</f>
        <v>140000000</v>
      </c>
      <c r="M21" s="284">
        <f>L21*70%</f>
        <v>98000000</v>
      </c>
      <c r="N21" s="284">
        <v>98000000</v>
      </c>
      <c r="O21" s="284">
        <f t="shared" si="0"/>
        <v>0</v>
      </c>
    </row>
    <row r="22" spans="1:15" ht="24" customHeight="1">
      <c r="A22" s="284" t="s">
        <v>273</v>
      </c>
      <c r="B22" s="284" t="s">
        <v>120</v>
      </c>
      <c r="C22" s="284"/>
      <c r="D22" s="284"/>
      <c r="E22" s="284"/>
      <c r="F22" s="284"/>
      <c r="G22" s="284"/>
      <c r="H22" s="284"/>
      <c r="I22" s="284"/>
      <c r="J22" s="334"/>
      <c r="K22" s="292">
        <v>0</v>
      </c>
      <c r="L22" s="292">
        <v>0</v>
      </c>
      <c r="M22" s="284">
        <v>269954400</v>
      </c>
      <c r="N22" s="284">
        <v>269954400</v>
      </c>
      <c r="O22" s="284">
        <f t="shared" si="0"/>
        <v>0</v>
      </c>
    </row>
    <row r="23" spans="1:15" ht="24" customHeight="1">
      <c r="A23" s="284" t="s">
        <v>274</v>
      </c>
      <c r="B23" s="284" t="s">
        <v>164</v>
      </c>
      <c r="C23" s="284">
        <v>23000000</v>
      </c>
      <c r="D23" s="284">
        <v>15000000</v>
      </c>
      <c r="E23" s="284">
        <v>8949700</v>
      </c>
      <c r="F23" s="284">
        <v>8949700</v>
      </c>
      <c r="G23" s="284">
        <v>12000000</v>
      </c>
      <c r="H23" s="284">
        <v>80000000</v>
      </c>
      <c r="I23" s="284">
        <v>80000000</v>
      </c>
      <c r="J23" s="334">
        <v>80000000</v>
      </c>
      <c r="K23" s="284">
        <v>63256000</v>
      </c>
      <c r="L23" s="284">
        <f>63256000+20000000</f>
        <v>83256000</v>
      </c>
      <c r="M23" s="284">
        <f>63256000+20000000</f>
        <v>83256000</v>
      </c>
      <c r="N23" s="284">
        <f>63256000+20000000</f>
        <v>83256000</v>
      </c>
      <c r="O23" s="284">
        <f t="shared" si="0"/>
        <v>0</v>
      </c>
    </row>
    <row r="24" spans="1:15" ht="24" customHeight="1">
      <c r="A24" s="284" t="s">
        <v>275</v>
      </c>
      <c r="B24" s="284" t="s">
        <v>40</v>
      </c>
      <c r="C24" s="284">
        <v>10061000</v>
      </c>
      <c r="D24" s="284">
        <v>2000000</v>
      </c>
      <c r="E24" s="284">
        <v>0</v>
      </c>
      <c r="F24" s="284">
        <v>0</v>
      </c>
      <c r="G24" s="284">
        <v>0</v>
      </c>
      <c r="H24" s="284">
        <v>30000000</v>
      </c>
      <c r="I24" s="284">
        <v>40000000</v>
      </c>
      <c r="J24" s="334">
        <v>30000000</v>
      </c>
      <c r="K24" s="284">
        <v>80000000</v>
      </c>
      <c r="L24" s="284">
        <f>80000000+60000000</f>
        <v>140000000</v>
      </c>
      <c r="M24" s="284">
        <v>100000000</v>
      </c>
      <c r="N24" s="284">
        <v>100000000</v>
      </c>
      <c r="O24" s="284">
        <f t="shared" si="0"/>
        <v>0</v>
      </c>
    </row>
    <row r="25" spans="1:15" ht="24" customHeight="1">
      <c r="A25" s="284" t="s">
        <v>350</v>
      </c>
      <c r="B25" s="284" t="s">
        <v>566</v>
      </c>
      <c r="C25" s="284"/>
      <c r="D25" s="284"/>
      <c r="E25" s="284"/>
      <c r="F25" s="284"/>
      <c r="G25" s="284"/>
      <c r="H25" s="284"/>
      <c r="I25" s="284"/>
      <c r="J25" s="334"/>
      <c r="K25" s="284">
        <v>0</v>
      </c>
      <c r="L25" s="284">
        <f>30000000+50000000</f>
        <v>80000000</v>
      </c>
      <c r="M25" s="284">
        <v>0</v>
      </c>
      <c r="N25" s="284">
        <v>0</v>
      </c>
      <c r="O25" s="284">
        <f t="shared" si="0"/>
        <v>0</v>
      </c>
    </row>
    <row r="26" spans="1:15" ht="24" customHeight="1">
      <c r="A26" s="284" t="s">
        <v>277</v>
      </c>
      <c r="B26" s="284" t="s">
        <v>218</v>
      </c>
      <c r="C26" s="284">
        <v>3000000</v>
      </c>
      <c r="D26" s="284">
        <v>1500000</v>
      </c>
      <c r="E26" s="284">
        <v>0</v>
      </c>
      <c r="F26" s="284">
        <v>0</v>
      </c>
      <c r="G26" s="284">
        <v>0</v>
      </c>
      <c r="H26" s="284">
        <v>15000000</v>
      </c>
      <c r="I26" s="284">
        <v>20000000</v>
      </c>
      <c r="J26" s="334">
        <v>20000000</v>
      </c>
      <c r="K26" s="284">
        <v>900000000</v>
      </c>
      <c r="L26" s="284">
        <f>600000000+606200000</f>
        <v>1206200000</v>
      </c>
      <c r="M26" s="284">
        <v>0</v>
      </c>
      <c r="N26" s="284">
        <v>0</v>
      </c>
      <c r="O26" s="284">
        <f t="shared" si="0"/>
        <v>0</v>
      </c>
    </row>
    <row r="27" spans="1:15" ht="24" customHeight="1">
      <c r="A27" s="284" t="s">
        <v>276</v>
      </c>
      <c r="B27" s="284" t="s">
        <v>170</v>
      </c>
      <c r="C27" s="284">
        <v>0</v>
      </c>
      <c r="D27" s="284">
        <v>0</v>
      </c>
      <c r="E27" s="284">
        <v>0</v>
      </c>
      <c r="F27" s="284">
        <v>0</v>
      </c>
      <c r="G27" s="284">
        <v>0</v>
      </c>
      <c r="H27" s="284">
        <v>40000000</v>
      </c>
      <c r="I27" s="284">
        <v>70000000</v>
      </c>
      <c r="J27" s="334">
        <v>70000000</v>
      </c>
      <c r="K27" s="284">
        <v>756200000</v>
      </c>
      <c r="L27" s="284">
        <v>1000000000</v>
      </c>
      <c r="M27" s="284">
        <v>1276200000</v>
      </c>
      <c r="N27" s="284">
        <v>2126200000</v>
      </c>
      <c r="O27" s="284">
        <f t="shared" si="0"/>
        <v>850000000</v>
      </c>
    </row>
    <row r="28" spans="1:15" ht="24" customHeight="1">
      <c r="A28" s="284" t="s">
        <v>321</v>
      </c>
      <c r="B28" s="284" t="s">
        <v>802</v>
      </c>
      <c r="C28" s="284"/>
      <c r="D28" s="284"/>
      <c r="E28" s="284"/>
      <c r="F28" s="284"/>
      <c r="G28" s="284"/>
      <c r="H28" s="284"/>
      <c r="I28" s="284"/>
      <c r="J28" s="334"/>
      <c r="K28" s="284"/>
      <c r="L28" s="284"/>
      <c r="M28" s="284">
        <v>480000000</v>
      </c>
      <c r="N28" s="284">
        <v>630000000</v>
      </c>
      <c r="O28" s="284">
        <f t="shared" si="0"/>
        <v>150000000</v>
      </c>
    </row>
    <row r="29" spans="1:15" ht="24" customHeight="1">
      <c r="A29" s="284" t="s">
        <v>733</v>
      </c>
      <c r="B29" s="284" t="s">
        <v>751</v>
      </c>
      <c r="C29" s="284"/>
      <c r="D29" s="284"/>
      <c r="E29" s="284"/>
      <c r="F29" s="284"/>
      <c r="G29" s="284"/>
      <c r="H29" s="284"/>
      <c r="I29" s="284"/>
      <c r="J29" s="334"/>
      <c r="K29" s="284"/>
      <c r="L29" s="284"/>
      <c r="M29" s="284">
        <v>135000000</v>
      </c>
      <c r="N29" s="284">
        <v>160000000</v>
      </c>
      <c r="O29" s="284">
        <f t="shared" si="0"/>
        <v>25000000</v>
      </c>
    </row>
    <row r="30" spans="1:15" ht="24" customHeight="1">
      <c r="A30" s="284"/>
      <c r="B30" s="292" t="s">
        <v>119</v>
      </c>
      <c r="C30" s="284">
        <v>0</v>
      </c>
      <c r="D30" s="284">
        <v>0</v>
      </c>
      <c r="E30" s="284">
        <v>0</v>
      </c>
      <c r="F30" s="284">
        <v>0</v>
      </c>
      <c r="G30" s="284">
        <v>16000000</v>
      </c>
      <c r="H30" s="284">
        <v>360113000</v>
      </c>
      <c r="I30" s="284">
        <v>208212162</v>
      </c>
      <c r="J30" s="334">
        <v>330000000</v>
      </c>
      <c r="K30" s="292">
        <f>SUM(K15:K27)</f>
        <v>2653056000</v>
      </c>
      <c r="L30" s="292">
        <f>SUM(L15:L27)</f>
        <v>3831156000</v>
      </c>
      <c r="M30" s="292">
        <f>SUM(M15:M29)</f>
        <v>3222110400</v>
      </c>
      <c r="N30" s="292">
        <f>SUM(N15:N29)</f>
        <v>4377110400</v>
      </c>
      <c r="O30" s="292">
        <f t="shared" si="0"/>
        <v>1155000000</v>
      </c>
    </row>
    <row r="31" spans="1:15" ht="24" customHeight="1">
      <c r="A31" s="292" t="s">
        <v>279</v>
      </c>
      <c r="B31" s="292" t="s">
        <v>278</v>
      </c>
      <c r="C31" s="284"/>
      <c r="D31" s="284"/>
      <c r="E31" s="284"/>
      <c r="F31" s="284"/>
      <c r="G31" s="284"/>
      <c r="H31" s="284"/>
      <c r="I31" s="284">
        <v>0</v>
      </c>
      <c r="J31" s="334">
        <v>35000000</v>
      </c>
      <c r="K31" s="292"/>
      <c r="L31" s="292"/>
      <c r="M31" s="292"/>
      <c r="N31" s="292"/>
      <c r="O31" s="284">
        <f t="shared" si="0"/>
        <v>0</v>
      </c>
    </row>
    <row r="32" spans="1:15" ht="24" customHeight="1">
      <c r="A32" s="284" t="s">
        <v>280</v>
      </c>
      <c r="B32" s="284" t="s">
        <v>160</v>
      </c>
      <c r="C32" s="292" t="e">
        <f>#REF!+#REF!+#REF!+#REF!+#REF!</f>
        <v>#REF!</v>
      </c>
      <c r="D32" s="292" t="e">
        <f>#REF!+#REF!+#REF!+#REF!+#REF!</f>
        <v>#REF!</v>
      </c>
      <c r="E32" s="292" t="e">
        <f>#REF!+#REF!+#REF!+#REF!+#REF!</f>
        <v>#REF!</v>
      </c>
      <c r="F32" s="292" t="e">
        <f>#REF!+#REF!+#REF!+#REF!+#REF!</f>
        <v>#REF!</v>
      </c>
      <c r="G32" s="292" t="e">
        <f>#REF!+#REF!+#REF!+#REF!+#REF!</f>
        <v>#REF!</v>
      </c>
      <c r="H32" s="292" t="e">
        <f>#REF!+#REF!+#REF!+#REF!+#REF!</f>
        <v>#REF!</v>
      </c>
      <c r="I32" s="292" t="e">
        <f>#REF!+#REF!+#REF!+#REF!+#REF!</f>
        <v>#REF!</v>
      </c>
      <c r="J32" s="402" t="e">
        <f>#REF!+#REF!+#REF!+#REF!+#REF!</f>
        <v>#REF!</v>
      </c>
      <c r="K32" s="284">
        <v>0</v>
      </c>
      <c r="L32" s="284">
        <v>0</v>
      </c>
      <c r="M32" s="284">
        <v>0</v>
      </c>
      <c r="N32" s="284">
        <v>0</v>
      </c>
      <c r="O32" s="284">
        <f t="shared" si="0"/>
        <v>0</v>
      </c>
    </row>
    <row r="33" spans="1:15" s="387" customFormat="1" ht="24" customHeight="1">
      <c r="A33" s="284" t="s">
        <v>281</v>
      </c>
      <c r="B33" s="284" t="s">
        <v>161</v>
      </c>
      <c r="C33" s="335"/>
      <c r="D33" s="335"/>
      <c r="E33" s="335"/>
      <c r="F33" s="336">
        <v>0</v>
      </c>
      <c r="G33" s="336" t="s">
        <v>4</v>
      </c>
      <c r="H33" s="336"/>
      <c r="I33" s="336"/>
      <c r="J33" s="403"/>
      <c r="K33" s="284">
        <v>300000000</v>
      </c>
      <c r="L33" s="284">
        <f>300000000+100000000</f>
        <v>400000000</v>
      </c>
      <c r="M33" s="284">
        <f>L33*80%</f>
        <v>320000000</v>
      </c>
      <c r="N33" s="284">
        <v>730000000</v>
      </c>
      <c r="O33" s="284">
        <f t="shared" si="0"/>
        <v>410000000</v>
      </c>
    </row>
    <row r="34" spans="1:15" s="387" customFormat="1" ht="24" customHeight="1">
      <c r="A34" s="284" t="s">
        <v>282</v>
      </c>
      <c r="B34" s="284" t="s">
        <v>155</v>
      </c>
      <c r="C34" s="335"/>
      <c r="D34" s="335"/>
      <c r="E34" s="335"/>
      <c r="F34" s="336"/>
      <c r="G34" s="336"/>
      <c r="H34" s="336"/>
      <c r="I34" s="336"/>
      <c r="J34" s="403"/>
      <c r="K34" s="284">
        <v>100000000</v>
      </c>
      <c r="L34" s="284">
        <f>100000000+50000000</f>
        <v>150000000</v>
      </c>
      <c r="M34" s="284">
        <f>100000000+50000000</f>
        <v>150000000</v>
      </c>
      <c r="N34" s="284">
        <f>100000000+50000000</f>
        <v>150000000</v>
      </c>
      <c r="O34" s="284">
        <f t="shared" si="0"/>
        <v>0</v>
      </c>
    </row>
    <row r="35" spans="1:15" ht="24" customHeight="1">
      <c r="A35" s="284" t="s">
        <v>283</v>
      </c>
      <c r="B35" s="284" t="s">
        <v>156</v>
      </c>
      <c r="C35" s="284"/>
      <c r="D35" s="284"/>
      <c r="E35" s="284"/>
      <c r="F35" s="284"/>
      <c r="G35" s="284"/>
      <c r="H35" s="284"/>
      <c r="I35" s="284"/>
      <c r="J35" s="334"/>
      <c r="K35" s="336">
        <v>60000000</v>
      </c>
      <c r="L35" s="336">
        <f>60000000</f>
        <v>60000000</v>
      </c>
      <c r="M35" s="336">
        <f>60000000</f>
        <v>60000000</v>
      </c>
      <c r="N35" s="336">
        <f>60000000</f>
        <v>60000000</v>
      </c>
      <c r="O35" s="284">
        <f t="shared" si="0"/>
        <v>0</v>
      </c>
    </row>
    <row r="36" spans="1:15" ht="24" customHeight="1">
      <c r="A36" s="284" t="s">
        <v>298</v>
      </c>
      <c r="B36" s="284" t="s">
        <v>219</v>
      </c>
      <c r="C36" s="284">
        <v>0</v>
      </c>
      <c r="D36" s="284">
        <v>0</v>
      </c>
      <c r="E36" s="284">
        <v>0</v>
      </c>
      <c r="F36" s="284">
        <v>0</v>
      </c>
      <c r="G36" s="284">
        <v>0</v>
      </c>
      <c r="H36" s="284">
        <v>150000000</v>
      </c>
      <c r="I36" s="284">
        <v>150000000</v>
      </c>
      <c r="J36" s="334">
        <v>150000000</v>
      </c>
      <c r="K36" s="284">
        <v>200000000</v>
      </c>
      <c r="L36" s="284">
        <v>300000000</v>
      </c>
      <c r="M36" s="284">
        <v>0</v>
      </c>
      <c r="N36" s="284">
        <v>0</v>
      </c>
      <c r="O36" s="284">
        <f t="shared" si="0"/>
        <v>0</v>
      </c>
    </row>
    <row r="37" spans="1:15" ht="24" customHeight="1">
      <c r="A37" s="284"/>
      <c r="B37" s="292" t="s">
        <v>119</v>
      </c>
      <c r="C37" s="284">
        <v>10089000</v>
      </c>
      <c r="D37" s="284">
        <v>10004000</v>
      </c>
      <c r="E37" s="284">
        <v>20004000</v>
      </c>
      <c r="F37" s="284">
        <v>20004000</v>
      </c>
      <c r="G37" s="284">
        <v>40003200</v>
      </c>
      <c r="H37" s="284">
        <v>100000000</v>
      </c>
      <c r="I37" s="284">
        <v>100000000</v>
      </c>
      <c r="J37" s="334">
        <v>100000000</v>
      </c>
      <c r="K37" s="292">
        <f>SUM(K32:K36)</f>
        <v>660000000</v>
      </c>
      <c r="L37" s="292">
        <f>SUM(L32:L36)</f>
        <v>910000000</v>
      </c>
      <c r="M37" s="292">
        <f>SUM(M32:M36)</f>
        <v>530000000</v>
      </c>
      <c r="N37" s="292">
        <f>SUM(N32:N36)</f>
        <v>940000000</v>
      </c>
      <c r="O37" s="284">
        <f t="shared" si="0"/>
        <v>410000000</v>
      </c>
    </row>
    <row r="38" spans="1:15" ht="24" customHeight="1">
      <c r="A38" s="292" t="s">
        <v>285</v>
      </c>
      <c r="B38" s="292" t="s">
        <v>158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616200000</v>
      </c>
      <c r="I38" s="284">
        <v>616200000</v>
      </c>
      <c r="J38" s="334">
        <v>616200000</v>
      </c>
      <c r="K38" s="284"/>
      <c r="L38" s="284"/>
      <c r="M38" s="284"/>
      <c r="N38" s="284"/>
      <c r="O38" s="284">
        <f t="shared" si="0"/>
        <v>0</v>
      </c>
    </row>
    <row r="39" spans="1:15" ht="24" customHeight="1">
      <c r="A39" s="284" t="s">
        <v>286</v>
      </c>
      <c r="B39" s="284" t="s">
        <v>55</v>
      </c>
      <c r="C39" s="284">
        <v>13333000</v>
      </c>
      <c r="D39" s="284">
        <v>5000000</v>
      </c>
      <c r="E39" s="284">
        <v>0</v>
      </c>
      <c r="F39" s="284">
        <v>0</v>
      </c>
      <c r="G39" s="284">
        <v>0</v>
      </c>
      <c r="H39" s="284">
        <v>100000000</v>
      </c>
      <c r="I39" s="284">
        <v>70000000</v>
      </c>
      <c r="J39" s="334">
        <v>70000000</v>
      </c>
      <c r="K39" s="284">
        <v>120000000</v>
      </c>
      <c r="L39" s="284">
        <f>120000000+75000000</f>
        <v>195000000</v>
      </c>
      <c r="M39" s="284">
        <v>200000000</v>
      </c>
      <c r="N39" s="284">
        <v>200000000</v>
      </c>
      <c r="O39" s="284">
        <f t="shared" si="0"/>
        <v>0</v>
      </c>
    </row>
    <row r="40" spans="1:15" ht="24" customHeight="1">
      <c r="A40" s="284" t="s">
        <v>288</v>
      </c>
      <c r="B40" s="284" t="s">
        <v>287</v>
      </c>
      <c r="C40" s="284">
        <v>0</v>
      </c>
      <c r="D40" s="284">
        <v>0</v>
      </c>
      <c r="E40" s="284">
        <v>0</v>
      </c>
      <c r="F40" s="284">
        <v>0</v>
      </c>
      <c r="G40" s="284">
        <v>0</v>
      </c>
      <c r="H40" s="284">
        <v>0</v>
      </c>
      <c r="I40" s="284">
        <v>0</v>
      </c>
      <c r="J40" s="334">
        <v>0</v>
      </c>
      <c r="K40" s="284">
        <v>40000000</v>
      </c>
      <c r="L40" s="284">
        <f>40000000+50000000</f>
        <v>90000000</v>
      </c>
      <c r="M40" s="284">
        <v>0</v>
      </c>
      <c r="N40" s="284">
        <v>0</v>
      </c>
      <c r="O40" s="284">
        <f t="shared" si="0"/>
        <v>0</v>
      </c>
    </row>
    <row r="41" spans="1:15" ht="24" customHeight="1">
      <c r="A41" s="284" t="s">
        <v>289</v>
      </c>
      <c r="B41" s="284" t="s">
        <v>290</v>
      </c>
      <c r="C41" s="292">
        <f t="shared" ref="C41:J41" si="3">SUM(C39:C40)</f>
        <v>13333000</v>
      </c>
      <c r="D41" s="292">
        <f t="shared" si="3"/>
        <v>5000000</v>
      </c>
      <c r="E41" s="292">
        <f t="shared" si="3"/>
        <v>0</v>
      </c>
      <c r="F41" s="292">
        <f t="shared" si="3"/>
        <v>0</v>
      </c>
      <c r="G41" s="292">
        <f t="shared" si="3"/>
        <v>0</v>
      </c>
      <c r="H41" s="292">
        <f t="shared" si="3"/>
        <v>100000000</v>
      </c>
      <c r="I41" s="292">
        <f t="shared" si="3"/>
        <v>70000000</v>
      </c>
      <c r="J41" s="402">
        <f t="shared" si="3"/>
        <v>70000000</v>
      </c>
      <c r="K41" s="284">
        <v>20000000</v>
      </c>
      <c r="L41" s="284">
        <f>20000000+20000000</f>
        <v>40000000</v>
      </c>
      <c r="M41" s="284">
        <v>0</v>
      </c>
      <c r="N41" s="284">
        <v>0</v>
      </c>
      <c r="O41" s="284">
        <f t="shared" si="0"/>
        <v>0</v>
      </c>
    </row>
    <row r="42" spans="1:15" ht="24" customHeight="1">
      <c r="A42" s="284"/>
      <c r="B42" s="292" t="s">
        <v>119</v>
      </c>
      <c r="C42" s="292" t="e">
        <f>C41+#REF!+C35+C21+#REF!</f>
        <v>#REF!</v>
      </c>
      <c r="D42" s="292" t="e">
        <f>D41+#REF!+D35+D21+#REF!</f>
        <v>#REF!</v>
      </c>
      <c r="E42" s="292" t="e">
        <f>E41+#REF!+E35+E21+#REF!</f>
        <v>#REF!</v>
      </c>
      <c r="F42" s="292" t="e">
        <f>F41+#REF!+F35+F21+#REF!</f>
        <v>#REF!</v>
      </c>
      <c r="G42" s="292" t="e">
        <f>G41+#REF!+G21+G35+#REF!</f>
        <v>#REF!</v>
      </c>
      <c r="H42" s="292" t="e">
        <f>H41+#REF!+H35+H21+#REF!</f>
        <v>#REF!</v>
      </c>
      <c r="I42" s="292" t="e">
        <f>I41+#REF!+I35+I21+#REF!</f>
        <v>#REF!</v>
      </c>
      <c r="J42" s="402" t="e">
        <f>SUM(#REF!+J21+J35+J41)</f>
        <v>#REF!</v>
      </c>
      <c r="K42" s="292">
        <f>SUM(K39:K41)</f>
        <v>180000000</v>
      </c>
      <c r="L42" s="292">
        <f>SUM(L39:L41)</f>
        <v>325000000</v>
      </c>
      <c r="M42" s="292">
        <f>SUM(M39:M41)</f>
        <v>200000000</v>
      </c>
      <c r="N42" s="292">
        <f>SUM(N39:N41)</f>
        <v>200000000</v>
      </c>
      <c r="O42" s="284">
        <f t="shared" si="0"/>
        <v>0</v>
      </c>
    </row>
    <row r="43" spans="1:15" ht="24" customHeight="1">
      <c r="A43" s="292" t="s">
        <v>293</v>
      </c>
      <c r="B43" s="292" t="s">
        <v>292</v>
      </c>
      <c r="C43" s="395"/>
      <c r="D43" s="395"/>
      <c r="E43" s="395"/>
      <c r="F43" s="395"/>
      <c r="G43" s="395"/>
      <c r="H43" s="395"/>
      <c r="I43" s="395"/>
      <c r="J43" s="395"/>
      <c r="K43" s="292"/>
      <c r="L43" s="292"/>
      <c r="M43" s="292"/>
      <c r="N43" s="292"/>
      <c r="O43" s="284">
        <f t="shared" si="0"/>
        <v>0</v>
      </c>
    </row>
    <row r="44" spans="1:15" ht="24" customHeight="1">
      <c r="A44" s="292" t="s">
        <v>294</v>
      </c>
      <c r="B44" s="292" t="s">
        <v>291</v>
      </c>
      <c r="C44" s="395"/>
      <c r="D44" s="395"/>
      <c r="E44" s="395"/>
      <c r="F44" s="395"/>
      <c r="G44" s="395"/>
      <c r="H44" s="395"/>
      <c r="I44" s="395"/>
      <c r="J44" s="395"/>
      <c r="K44" s="292"/>
      <c r="L44" s="292"/>
      <c r="M44" s="292"/>
      <c r="N44" s="292"/>
      <c r="O44" s="284">
        <f t="shared" si="0"/>
        <v>0</v>
      </c>
    </row>
    <row r="45" spans="1:15" ht="24" customHeight="1">
      <c r="A45" s="284" t="s">
        <v>499</v>
      </c>
      <c r="B45" s="284" t="s">
        <v>568</v>
      </c>
      <c r="C45" s="395"/>
      <c r="D45" s="395"/>
      <c r="E45" s="395"/>
      <c r="F45" s="395"/>
      <c r="G45" s="395"/>
      <c r="H45" s="395"/>
      <c r="I45" s="395"/>
      <c r="J45" s="395"/>
      <c r="K45" s="292">
        <v>0</v>
      </c>
      <c r="L45" s="284">
        <f>50000000+50000000</f>
        <v>100000000</v>
      </c>
      <c r="M45" s="284">
        <v>100000000</v>
      </c>
      <c r="N45" s="284">
        <v>200000000</v>
      </c>
      <c r="O45" s="284">
        <f t="shared" si="0"/>
        <v>100000000</v>
      </c>
    </row>
    <row r="46" spans="1:15" ht="24" customHeight="1">
      <c r="A46" s="284" t="s">
        <v>567</v>
      </c>
      <c r="B46" s="284" t="s">
        <v>528</v>
      </c>
      <c r="C46" s="395"/>
      <c r="D46" s="395"/>
      <c r="E46" s="395"/>
      <c r="F46" s="395"/>
      <c r="G46" s="395"/>
      <c r="H46" s="395"/>
      <c r="I46" s="395"/>
      <c r="J46" s="395"/>
      <c r="K46" s="292">
        <v>0</v>
      </c>
      <c r="L46" s="284">
        <f>117000000</f>
        <v>117000000</v>
      </c>
      <c r="M46" s="284">
        <v>324000000</v>
      </c>
      <c r="N46" s="284">
        <v>216000000</v>
      </c>
      <c r="O46" s="284">
        <f t="shared" si="0"/>
        <v>-108000000</v>
      </c>
    </row>
    <row r="47" spans="1:15" ht="24" customHeight="1">
      <c r="A47" s="284" t="s">
        <v>295</v>
      </c>
      <c r="B47" s="284" t="s">
        <v>176</v>
      </c>
      <c r="C47" s="395"/>
      <c r="D47" s="395"/>
      <c r="E47" s="395"/>
      <c r="F47" s="395"/>
      <c r="G47" s="395"/>
      <c r="H47" s="395"/>
      <c r="I47" s="395"/>
      <c r="J47" s="395"/>
      <c r="K47" s="284">
        <v>20000000</v>
      </c>
      <c r="L47" s="284">
        <f>20000000</f>
        <v>20000000</v>
      </c>
      <c r="M47" s="284">
        <v>0</v>
      </c>
      <c r="N47" s="284">
        <v>50000000</v>
      </c>
      <c r="O47" s="284">
        <f t="shared" si="0"/>
        <v>50000000</v>
      </c>
    </row>
    <row r="48" spans="1:15" ht="24" customHeight="1">
      <c r="A48" s="284" t="s">
        <v>296</v>
      </c>
      <c r="B48" s="284" t="s">
        <v>177</v>
      </c>
      <c r="C48" s="395"/>
      <c r="D48" s="395"/>
      <c r="E48" s="395"/>
      <c r="F48" s="395"/>
      <c r="G48" s="395"/>
      <c r="H48" s="395"/>
      <c r="I48" s="395"/>
      <c r="J48" s="395"/>
      <c r="K48" s="284">
        <v>21000000</v>
      </c>
      <c r="L48" s="284">
        <f>21000000</f>
        <v>21000000</v>
      </c>
      <c r="M48" s="284">
        <f>L48</f>
        <v>21000000</v>
      </c>
      <c r="N48" s="284">
        <f>M48</f>
        <v>21000000</v>
      </c>
      <c r="O48" s="284">
        <f t="shared" si="0"/>
        <v>0</v>
      </c>
    </row>
    <row r="49" spans="1:15" ht="24" customHeight="1">
      <c r="A49" s="389"/>
      <c r="B49" s="394" t="s">
        <v>119</v>
      </c>
      <c r="C49" s="395"/>
      <c r="D49" s="395"/>
      <c r="E49" s="395"/>
      <c r="F49" s="395"/>
      <c r="G49" s="395"/>
      <c r="H49" s="395"/>
      <c r="I49" s="395"/>
      <c r="J49" s="395"/>
      <c r="K49" s="394">
        <f>SUM(K47:K48)</f>
        <v>41000000</v>
      </c>
      <c r="L49" s="394">
        <f>SUM(L45:L48)</f>
        <v>258000000</v>
      </c>
      <c r="M49" s="394">
        <f>SUM(M45:M48)</f>
        <v>445000000</v>
      </c>
      <c r="N49" s="394">
        <f>SUM(N45:N48)</f>
        <v>487000000</v>
      </c>
      <c r="O49" s="292">
        <f t="shared" si="0"/>
        <v>42000000</v>
      </c>
    </row>
    <row r="50" spans="1:15" ht="24" customHeight="1">
      <c r="A50" s="394" t="s">
        <v>381</v>
      </c>
      <c r="B50" s="394" t="s">
        <v>157</v>
      </c>
      <c r="C50" s="395"/>
      <c r="D50" s="395"/>
      <c r="E50" s="395"/>
      <c r="F50" s="395"/>
      <c r="G50" s="395"/>
      <c r="H50" s="395"/>
      <c r="I50" s="395"/>
      <c r="J50" s="395"/>
      <c r="K50" s="394"/>
      <c r="L50" s="394"/>
      <c r="M50" s="394"/>
      <c r="N50" s="394"/>
      <c r="O50" s="284">
        <f t="shared" si="0"/>
        <v>0</v>
      </c>
    </row>
    <row r="51" spans="1:15" ht="24" customHeight="1">
      <c r="A51" s="389" t="s">
        <v>382</v>
      </c>
      <c r="B51" s="389" t="s">
        <v>383</v>
      </c>
      <c r="C51" s="395"/>
      <c r="D51" s="395"/>
      <c r="E51" s="395"/>
      <c r="F51" s="395"/>
      <c r="G51" s="395"/>
      <c r="H51" s="395"/>
      <c r="I51" s="395"/>
      <c r="J51" s="395"/>
      <c r="K51" s="389">
        <v>210000000</v>
      </c>
      <c r="L51" s="389">
        <f>100000000+300000000</f>
        <v>400000000</v>
      </c>
      <c r="M51" s="389">
        <v>100000000</v>
      </c>
      <c r="N51" s="389">
        <v>800000000</v>
      </c>
      <c r="O51" s="284">
        <f t="shared" si="0"/>
        <v>700000000</v>
      </c>
    </row>
    <row r="52" spans="1:15" ht="24" customHeight="1">
      <c r="A52" s="389"/>
      <c r="B52" s="394" t="s">
        <v>119</v>
      </c>
      <c r="C52" s="395"/>
      <c r="D52" s="395"/>
      <c r="E52" s="395"/>
      <c r="F52" s="395"/>
      <c r="G52" s="395"/>
      <c r="H52" s="395"/>
      <c r="I52" s="395"/>
      <c r="J52" s="395"/>
      <c r="K52" s="394">
        <f>SUM(K51)</f>
        <v>210000000</v>
      </c>
      <c r="L52" s="394">
        <f>SUM(L51)</f>
        <v>400000000</v>
      </c>
      <c r="M52" s="394">
        <f>SUM(M51)</f>
        <v>100000000</v>
      </c>
      <c r="N52" s="394">
        <f>SUM(N51)</f>
        <v>800000000</v>
      </c>
      <c r="O52" s="284">
        <f t="shared" si="0"/>
        <v>700000000</v>
      </c>
    </row>
    <row r="53" spans="1:15" ht="24" customHeight="1" thickBot="1">
      <c r="A53" s="404"/>
      <c r="B53" s="405" t="s">
        <v>42</v>
      </c>
      <c r="C53" s="406"/>
      <c r="D53" s="406"/>
      <c r="E53" s="406"/>
      <c r="F53" s="406"/>
      <c r="G53" s="406"/>
      <c r="H53" s="406"/>
      <c r="I53" s="406"/>
      <c r="J53" s="406"/>
      <c r="K53" s="405">
        <f>K52+K49+K42+K37+K30+K12</f>
        <v>6550217600</v>
      </c>
      <c r="L53" s="405">
        <f>L52+L49+L42+L37+L30+L12</f>
        <v>14449890400</v>
      </c>
      <c r="M53" s="405">
        <f>M52+M49+M42+M37+M30+M12</f>
        <v>13336485600</v>
      </c>
      <c r="N53" s="405">
        <f>N52+N49+N42+N37+N30+N12</f>
        <v>15639542400</v>
      </c>
      <c r="O53" s="292">
        <f>N53-M53</f>
        <v>2303056800</v>
      </c>
    </row>
    <row r="54" spans="1:15" ht="23.1" customHeight="1">
      <c r="A54" s="407"/>
      <c r="B54" s="407"/>
      <c r="C54" s="407"/>
      <c r="D54" s="407"/>
      <c r="E54" s="407"/>
      <c r="F54" s="407"/>
      <c r="G54" s="407"/>
      <c r="H54" s="407"/>
      <c r="I54" s="407"/>
      <c r="J54" s="407"/>
      <c r="K54" s="408"/>
      <c r="L54" s="408"/>
      <c r="M54" s="408"/>
      <c r="N54" s="408"/>
    </row>
    <row r="55" spans="1:15" ht="23.1" customHeight="1">
      <c r="A55" s="407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</row>
    <row r="56" spans="1:15" ht="23.1" customHeight="1">
      <c r="A56" s="407"/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</row>
    <row r="57" spans="1:15" ht="23.1" customHeight="1">
      <c r="A57" s="407"/>
      <c r="B57" s="407"/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</row>
    <row r="58" spans="1:15" ht="23.1" customHeight="1">
      <c r="A58" s="407"/>
      <c r="B58" s="407"/>
      <c r="C58" s="407"/>
      <c r="D58" s="407"/>
      <c r="E58" s="407"/>
      <c r="F58" s="407"/>
      <c r="G58" s="407"/>
      <c r="H58" s="407"/>
      <c r="I58" s="407"/>
      <c r="J58" s="407"/>
      <c r="K58" s="407"/>
      <c r="L58" s="407"/>
      <c r="M58" s="407"/>
      <c r="N58" s="407"/>
    </row>
    <row r="59" spans="1:15" ht="23.1" customHeight="1">
      <c r="A59" s="407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</row>
    <row r="60" spans="1:15" ht="23.1" customHeight="1">
      <c r="A60" s="407"/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</row>
    <row r="61" spans="1:15" ht="23.1" customHeight="1">
      <c r="A61" s="407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</row>
    <row r="62" spans="1:15" ht="23.1" customHeight="1">
      <c r="A62" s="407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</row>
    <row r="63" spans="1:15" ht="23.1" customHeight="1">
      <c r="A63" s="407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</row>
    <row r="64" spans="1:15" ht="23.1" customHeight="1">
      <c r="A64" s="407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</row>
    <row r="65" spans="1:14" ht="23.1" customHeight="1">
      <c r="A65" s="407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</row>
    <row r="66" spans="1:14" ht="23.1" customHeight="1">
      <c r="A66" s="407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</row>
    <row r="67" spans="1:14" ht="23.1" customHeight="1">
      <c r="A67" s="407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</row>
    <row r="68" spans="1:14" ht="23.1" customHeight="1">
      <c r="A68" s="407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</row>
    <row r="69" spans="1:14" ht="23.1" customHeight="1">
      <c r="A69" s="407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</row>
    <row r="70" spans="1:14" ht="23.1" customHeight="1">
      <c r="A70" s="407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</row>
    <row r="71" spans="1:14" ht="23.1" customHeight="1">
      <c r="A71" s="407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</row>
    <row r="72" spans="1:14" ht="23.1" customHeight="1">
      <c r="A72" s="407"/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7"/>
      <c r="N72" s="407"/>
    </row>
    <row r="73" spans="1:14" ht="23.1" customHeight="1">
      <c r="A73" s="407"/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</row>
    <row r="74" spans="1:14" ht="23.1" customHeight="1">
      <c r="A74" s="407"/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</row>
    <row r="75" spans="1:14" ht="23.1" customHeight="1">
      <c r="A75" s="407"/>
      <c r="B75" s="407"/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407"/>
      <c r="N75" s="407"/>
    </row>
    <row r="76" spans="1:14" ht="23.1" customHeight="1">
      <c r="A76" s="407"/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</row>
    <row r="77" spans="1:14" ht="23.1" customHeight="1">
      <c r="A77" s="407"/>
      <c r="B77" s="407"/>
      <c r="C77" s="407"/>
      <c r="D77" s="407"/>
      <c r="E77" s="407"/>
      <c r="F77" s="407"/>
      <c r="G77" s="407"/>
      <c r="H77" s="407"/>
      <c r="I77" s="407"/>
      <c r="J77" s="407"/>
      <c r="K77" s="407"/>
      <c r="L77" s="407"/>
      <c r="M77" s="407"/>
      <c r="N77" s="407"/>
    </row>
    <row r="78" spans="1:14" ht="23.1" customHeight="1">
      <c r="A78" s="407"/>
      <c r="B78" s="407"/>
      <c r="C78" s="407"/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</row>
    <row r="79" spans="1:14" ht="23.1" customHeight="1">
      <c r="A79" s="407"/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</row>
    <row r="80" spans="1:14" ht="23.1" customHeight="1">
      <c r="A80" s="407"/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</row>
    <row r="81" spans="1:14" ht="23.1" customHeight="1">
      <c r="A81" s="407"/>
      <c r="B81" s="407"/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407"/>
      <c r="N81" s="407"/>
    </row>
    <row r="82" spans="1:14" ht="23.1" customHeight="1">
      <c r="A82" s="407"/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</row>
    <row r="83" spans="1:14" ht="23.1" customHeight="1">
      <c r="A83" s="407"/>
      <c r="B83" s="407"/>
      <c r="C83" s="407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</row>
    <row r="84" spans="1:14" ht="23.1" customHeight="1">
      <c r="A84" s="407"/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</row>
    <row r="85" spans="1:14" ht="23.1" customHeight="1">
      <c r="A85" s="407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</row>
    <row r="86" spans="1:14" ht="23.1" customHeight="1">
      <c r="A86" s="407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</row>
    <row r="87" spans="1:14" ht="23.1" customHeight="1">
      <c r="A87" s="407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</row>
    <row r="88" spans="1:14" ht="23.1" customHeight="1">
      <c r="A88" s="407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</row>
    <row r="89" spans="1:14" ht="23.1" customHeight="1">
      <c r="A89" s="407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</row>
    <row r="90" spans="1:14" ht="23.1" customHeight="1">
      <c r="A90" s="407"/>
      <c r="B90" s="407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</row>
    <row r="91" spans="1:14" ht="23.1" customHeight="1">
      <c r="A91" s="407"/>
      <c r="B91" s="407"/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</row>
    <row r="92" spans="1:14" ht="23.1" customHeight="1">
      <c r="A92" s="407"/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</row>
    <row r="93" spans="1:14" ht="23.1" customHeight="1">
      <c r="A93" s="407"/>
      <c r="B93" s="407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</row>
    <row r="94" spans="1:14" ht="23.1" customHeight="1">
      <c r="A94" s="407"/>
      <c r="B94" s="407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</row>
    <row r="95" spans="1:14" ht="23.1" customHeight="1">
      <c r="A95" s="407"/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</row>
    <row r="96" spans="1:14" ht="23.1" customHeight="1">
      <c r="A96" s="407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</row>
    <row r="97" spans="1:14" ht="23.1" customHeight="1">
      <c r="A97" s="407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</row>
    <row r="98" spans="1:14" ht="23.1" customHeight="1">
      <c r="A98" s="407"/>
      <c r="B98" s="407"/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</row>
    <row r="99" spans="1:14" ht="23.1" customHeight="1">
      <c r="A99" s="407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</row>
    <row r="100" spans="1:14" ht="23.1" customHeight="1">
      <c r="A100" s="407"/>
      <c r="B100" s="407"/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</row>
    <row r="101" spans="1:14" ht="23.1" customHeight="1">
      <c r="A101" s="407"/>
      <c r="B101" s="407"/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</row>
    <row r="102" spans="1:14" ht="23.1" customHeight="1">
      <c r="A102" s="407"/>
      <c r="B102" s="407"/>
      <c r="C102" s="407"/>
      <c r="D102" s="407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</row>
    <row r="103" spans="1:14" ht="23.1" customHeight="1">
      <c r="A103" s="407"/>
      <c r="B103" s="407"/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</row>
    <row r="104" spans="1:14" ht="23.1" customHeight="1">
      <c r="A104" s="407"/>
      <c r="B104" s="407"/>
      <c r="C104" s="407"/>
      <c r="D104" s="407"/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</row>
    <row r="105" spans="1:14" ht="23.1" customHeight="1">
      <c r="A105" s="407"/>
      <c r="B105" s="407"/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</row>
    <row r="106" spans="1:14" ht="23.1" customHeight="1">
      <c r="A106" s="407"/>
      <c r="B106" s="407"/>
      <c r="C106" s="407"/>
      <c r="D106" s="407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</row>
    <row r="107" spans="1:14" ht="23.1" customHeight="1">
      <c r="A107" s="407"/>
      <c r="B107" s="407"/>
      <c r="C107" s="407"/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</row>
    <row r="108" spans="1:14" ht="23.1" customHeight="1">
      <c r="A108" s="407"/>
      <c r="B108" s="407"/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</row>
    <row r="109" spans="1:14" ht="23.1" customHeight="1">
      <c r="A109" s="407"/>
      <c r="B109" s="407"/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</row>
    <row r="110" spans="1:14" ht="23.1" customHeight="1">
      <c r="A110" s="407"/>
      <c r="B110" s="407"/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</row>
    <row r="111" spans="1:14" ht="23.1" customHeight="1">
      <c r="A111" s="407"/>
      <c r="B111" s="407"/>
      <c r="C111" s="407"/>
      <c r="D111" s="407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</row>
    <row r="112" spans="1:14" ht="23.1" customHeight="1">
      <c r="A112" s="407"/>
      <c r="B112" s="407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</row>
    <row r="113" spans="1:14" ht="23.1" customHeight="1">
      <c r="A113" s="407"/>
      <c r="B113" s="407"/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</row>
    <row r="114" spans="1:14" ht="23.1" customHeight="1">
      <c r="A114" s="407"/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</row>
    <row r="115" spans="1:14" ht="23.1" customHeight="1">
      <c r="A115" s="407"/>
      <c r="B115" s="407"/>
      <c r="C115" s="407"/>
      <c r="D115" s="407"/>
      <c r="E115" s="407"/>
      <c r="F115" s="407"/>
      <c r="G115" s="407"/>
      <c r="H115" s="407"/>
      <c r="I115" s="407"/>
      <c r="J115" s="407"/>
      <c r="K115" s="407"/>
      <c r="L115" s="407"/>
      <c r="M115" s="407"/>
      <c r="N115" s="407"/>
    </row>
    <row r="116" spans="1:14" ht="23.1" customHeight="1">
      <c r="A116" s="407"/>
      <c r="B116" s="407"/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</row>
    <row r="117" spans="1:14" ht="23.1" customHeight="1">
      <c r="A117" s="407"/>
      <c r="B117" s="407"/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</row>
    <row r="118" spans="1:14" ht="23.1" customHeight="1">
      <c r="A118" s="407"/>
      <c r="B118" s="407"/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</row>
    <row r="119" spans="1:14" ht="23.1" customHeight="1">
      <c r="A119" s="407"/>
      <c r="B119" s="407"/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</row>
    <row r="120" spans="1:14" ht="23.1" customHeight="1">
      <c r="A120" s="407"/>
      <c r="B120" s="407"/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</row>
    <row r="121" spans="1:14" ht="23.1" customHeight="1">
      <c r="A121" s="407"/>
      <c r="B121" s="407"/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</row>
    <row r="122" spans="1:14" ht="23.1" customHeight="1">
      <c r="A122" s="407"/>
      <c r="B122" s="407"/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</row>
    <row r="123" spans="1:14" ht="23.1" customHeight="1">
      <c r="A123" s="407"/>
      <c r="B123" s="407"/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</row>
    <row r="124" spans="1:14" ht="23.1" customHeight="1">
      <c r="A124" s="407"/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</row>
    <row r="125" spans="1:14" ht="23.1" customHeight="1">
      <c r="A125" s="407"/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</row>
    <row r="126" spans="1:14" ht="23.1" customHeight="1">
      <c r="A126" s="407"/>
      <c r="B126" s="407"/>
      <c r="C126" s="407"/>
      <c r="D126" s="407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</row>
    <row r="127" spans="1:14" ht="23.1" customHeight="1">
      <c r="A127" s="407"/>
      <c r="B127" s="407"/>
      <c r="C127" s="407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</row>
    <row r="128" spans="1:14" ht="23.1" customHeight="1">
      <c r="A128" s="407"/>
      <c r="B128" s="407"/>
      <c r="C128" s="407"/>
      <c r="D128" s="407"/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</row>
    <row r="129" spans="1:14" ht="23.1" customHeight="1">
      <c r="A129" s="407"/>
      <c r="B129" s="407"/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</row>
    <row r="130" spans="1:14" ht="23.1" customHeight="1">
      <c r="A130" s="407"/>
      <c r="B130" s="407"/>
      <c r="C130" s="407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</row>
    <row r="131" spans="1:14" ht="23.1" customHeight="1">
      <c r="A131" s="407"/>
      <c r="B131" s="407"/>
      <c r="C131" s="407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</row>
    <row r="132" spans="1:14" ht="23.1" customHeight="1">
      <c r="A132" s="407"/>
      <c r="B132" s="407"/>
      <c r="C132" s="407"/>
      <c r="D132" s="407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</row>
    <row r="133" spans="1:14" ht="23.1" customHeight="1">
      <c r="A133" s="407"/>
      <c r="B133" s="407"/>
      <c r="C133" s="407"/>
      <c r="D133" s="407"/>
      <c r="E133" s="407"/>
      <c r="F133" s="407"/>
      <c r="G133" s="407"/>
      <c r="H133" s="407"/>
      <c r="I133" s="407"/>
      <c r="J133" s="407"/>
      <c r="K133" s="407"/>
      <c r="L133" s="407"/>
      <c r="M133" s="407"/>
      <c r="N133" s="407"/>
    </row>
    <row r="134" spans="1:14" ht="23.1" customHeight="1">
      <c r="A134" s="407"/>
      <c r="B134" s="407"/>
      <c r="C134" s="407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</row>
    <row r="135" spans="1:14" ht="23.1" customHeight="1">
      <c r="A135" s="407"/>
      <c r="B135" s="407"/>
      <c r="C135" s="407"/>
      <c r="D135" s="407"/>
      <c r="E135" s="407"/>
      <c r="F135" s="407"/>
      <c r="G135" s="407"/>
      <c r="H135" s="407"/>
      <c r="I135" s="407"/>
      <c r="J135" s="407"/>
      <c r="K135" s="407"/>
      <c r="L135" s="407"/>
      <c r="M135" s="407"/>
      <c r="N135" s="407"/>
    </row>
    <row r="136" spans="1:14" ht="23.1" customHeight="1">
      <c r="A136" s="407"/>
      <c r="B136" s="407"/>
      <c r="C136" s="407"/>
      <c r="D136" s="407"/>
      <c r="E136" s="407"/>
      <c r="F136" s="407"/>
      <c r="G136" s="407"/>
      <c r="H136" s="407"/>
      <c r="I136" s="407"/>
      <c r="J136" s="407"/>
      <c r="K136" s="407"/>
      <c r="L136" s="407"/>
      <c r="M136" s="407"/>
      <c r="N136" s="407"/>
    </row>
    <row r="137" spans="1:14" ht="23.1" customHeight="1">
      <c r="A137" s="407"/>
      <c r="B137" s="407"/>
      <c r="C137" s="407"/>
      <c r="D137" s="407"/>
      <c r="E137" s="407"/>
      <c r="F137" s="407"/>
      <c r="G137" s="407"/>
      <c r="H137" s="407"/>
      <c r="I137" s="407"/>
      <c r="J137" s="407"/>
      <c r="K137" s="407"/>
      <c r="L137" s="407"/>
      <c r="M137" s="407"/>
      <c r="N137" s="407"/>
    </row>
    <row r="138" spans="1:14" ht="23.1" customHeight="1">
      <c r="A138" s="407"/>
      <c r="B138" s="407"/>
      <c r="C138" s="407"/>
      <c r="D138" s="407"/>
      <c r="E138" s="407"/>
      <c r="F138" s="407"/>
      <c r="G138" s="407"/>
      <c r="H138" s="407"/>
      <c r="I138" s="407"/>
      <c r="J138" s="407"/>
      <c r="K138" s="407"/>
      <c r="L138" s="407"/>
      <c r="M138" s="407"/>
      <c r="N138" s="407"/>
    </row>
    <row r="139" spans="1:14" ht="23.1" customHeight="1">
      <c r="A139" s="407"/>
      <c r="B139" s="407"/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</row>
    <row r="140" spans="1:14" ht="23.1" customHeight="1">
      <c r="A140" s="407"/>
      <c r="B140" s="407"/>
      <c r="C140" s="407"/>
      <c r="D140" s="407"/>
      <c r="E140" s="407"/>
      <c r="F140" s="407"/>
      <c r="G140" s="407"/>
      <c r="H140" s="407"/>
      <c r="I140" s="407"/>
      <c r="J140" s="407"/>
      <c r="K140" s="407"/>
      <c r="L140" s="407"/>
      <c r="M140" s="407"/>
      <c r="N140" s="407"/>
    </row>
    <row r="141" spans="1:14" ht="23.1" customHeight="1">
      <c r="A141" s="407"/>
      <c r="B141" s="407"/>
      <c r="C141" s="407"/>
      <c r="D141" s="407"/>
      <c r="E141" s="407"/>
      <c r="F141" s="407"/>
      <c r="G141" s="407"/>
      <c r="H141" s="407"/>
      <c r="I141" s="407"/>
      <c r="J141" s="407"/>
      <c r="K141" s="407"/>
      <c r="L141" s="407"/>
      <c r="M141" s="407"/>
      <c r="N141" s="407"/>
    </row>
    <row r="142" spans="1:14" ht="23.1" customHeight="1">
      <c r="A142" s="407"/>
      <c r="B142" s="407"/>
      <c r="C142" s="407"/>
      <c r="D142" s="407"/>
      <c r="E142" s="407"/>
      <c r="F142" s="407"/>
      <c r="G142" s="407"/>
      <c r="H142" s="407"/>
      <c r="I142" s="407"/>
      <c r="J142" s="407"/>
      <c r="K142" s="407"/>
      <c r="L142" s="407"/>
      <c r="M142" s="407"/>
      <c r="N142" s="407"/>
    </row>
    <row r="143" spans="1:14" ht="23.1" customHeight="1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</row>
    <row r="144" spans="1:14" ht="23.1" customHeight="1">
      <c r="A144" s="407"/>
      <c r="B144" s="407"/>
      <c r="C144" s="407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</row>
    <row r="145" spans="1:14" ht="23.1" customHeight="1">
      <c r="A145" s="407"/>
      <c r="B145" s="407"/>
      <c r="C145" s="407"/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</row>
    <row r="146" spans="1:14" ht="23.1" customHeight="1">
      <c r="A146" s="407"/>
      <c r="B146" s="407"/>
      <c r="C146" s="407"/>
      <c r="D146" s="407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</row>
    <row r="147" spans="1:14" ht="23.1" customHeight="1">
      <c r="A147" s="407"/>
      <c r="B147" s="407"/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</row>
    <row r="148" spans="1:14" ht="23.1" customHeight="1">
      <c r="A148" s="407"/>
      <c r="B148" s="407"/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</row>
    <row r="149" spans="1:14" ht="23.1" customHeight="1">
      <c r="A149" s="407"/>
      <c r="B149" s="407"/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</row>
    <row r="150" spans="1:14" ht="23.1" customHeight="1">
      <c r="A150" s="407"/>
      <c r="B150" s="407"/>
      <c r="C150" s="407"/>
      <c r="D150" s="407"/>
      <c r="E150" s="407"/>
      <c r="F150" s="407"/>
      <c r="G150" s="407"/>
      <c r="H150" s="407"/>
      <c r="I150" s="407"/>
      <c r="J150" s="407"/>
      <c r="K150" s="407"/>
      <c r="L150" s="407"/>
      <c r="M150" s="407"/>
      <c r="N150" s="407"/>
    </row>
    <row r="151" spans="1:14" ht="23.1" customHeight="1">
      <c r="A151" s="407"/>
      <c r="B151" s="407"/>
      <c r="C151" s="407"/>
      <c r="D151" s="407"/>
      <c r="E151" s="407"/>
      <c r="F151" s="407"/>
      <c r="G151" s="407"/>
      <c r="H151" s="407"/>
      <c r="I151" s="407"/>
      <c r="J151" s="407"/>
      <c r="K151" s="407"/>
      <c r="L151" s="407"/>
      <c r="M151" s="407"/>
      <c r="N151" s="407"/>
    </row>
    <row r="152" spans="1:14" ht="23.1" customHeight="1">
      <c r="A152" s="407"/>
      <c r="B152" s="407"/>
      <c r="C152" s="407"/>
      <c r="D152" s="407"/>
      <c r="E152" s="407"/>
      <c r="F152" s="407"/>
      <c r="G152" s="407"/>
      <c r="H152" s="407"/>
      <c r="I152" s="407"/>
      <c r="J152" s="407"/>
      <c r="K152" s="407"/>
      <c r="L152" s="407"/>
      <c r="M152" s="407"/>
      <c r="N152" s="407"/>
    </row>
    <row r="153" spans="1:14" ht="23.1" customHeight="1">
      <c r="A153" s="407"/>
      <c r="B153" s="407"/>
      <c r="C153" s="407"/>
      <c r="D153" s="407"/>
      <c r="E153" s="407"/>
      <c r="F153" s="407"/>
      <c r="G153" s="407"/>
      <c r="H153" s="407"/>
      <c r="I153" s="407"/>
      <c r="J153" s="407"/>
      <c r="K153" s="407"/>
      <c r="L153" s="407"/>
      <c r="M153" s="407"/>
      <c r="N153" s="407"/>
    </row>
    <row r="154" spans="1:14" ht="23.1" customHeight="1">
      <c r="A154" s="407"/>
      <c r="B154" s="407"/>
      <c r="C154" s="407"/>
      <c r="D154" s="407"/>
      <c r="E154" s="407"/>
      <c r="F154" s="407"/>
      <c r="G154" s="407"/>
      <c r="H154" s="407"/>
      <c r="I154" s="407"/>
      <c r="J154" s="407"/>
      <c r="K154" s="407"/>
      <c r="L154" s="407"/>
      <c r="M154" s="407"/>
      <c r="N154" s="407"/>
    </row>
    <row r="155" spans="1:14" ht="23.1" customHeight="1">
      <c r="A155" s="407"/>
      <c r="B155" s="407"/>
      <c r="C155" s="407"/>
      <c r="D155" s="407"/>
      <c r="E155" s="407"/>
      <c r="F155" s="407"/>
      <c r="G155" s="407"/>
      <c r="H155" s="407"/>
      <c r="I155" s="407"/>
      <c r="J155" s="407"/>
      <c r="K155" s="407"/>
      <c r="L155" s="407"/>
      <c r="M155" s="407"/>
      <c r="N155" s="407"/>
    </row>
    <row r="156" spans="1:14" ht="23.1" customHeight="1">
      <c r="A156" s="407"/>
      <c r="B156" s="407"/>
      <c r="C156" s="407"/>
      <c r="D156" s="407"/>
      <c r="E156" s="407"/>
      <c r="F156" s="407"/>
      <c r="G156" s="407"/>
      <c r="H156" s="407"/>
      <c r="I156" s="407"/>
      <c r="J156" s="407"/>
      <c r="K156" s="407"/>
      <c r="L156" s="407"/>
      <c r="M156" s="407"/>
      <c r="N156" s="407"/>
    </row>
    <row r="157" spans="1:14" ht="23.1" customHeight="1">
      <c r="A157" s="407"/>
      <c r="B157" s="407"/>
      <c r="C157" s="407"/>
      <c r="D157" s="407"/>
      <c r="E157" s="407"/>
      <c r="F157" s="407"/>
      <c r="G157" s="407"/>
      <c r="H157" s="407"/>
      <c r="I157" s="407"/>
      <c r="J157" s="407"/>
      <c r="K157" s="407"/>
      <c r="L157" s="407"/>
      <c r="M157" s="407"/>
      <c r="N157" s="407"/>
    </row>
    <row r="158" spans="1:14" ht="23.1" customHeight="1">
      <c r="A158" s="407"/>
      <c r="B158" s="407"/>
      <c r="C158" s="407"/>
      <c r="D158" s="407"/>
      <c r="E158" s="407"/>
      <c r="F158" s="407"/>
      <c r="G158" s="407"/>
      <c r="H158" s="407"/>
      <c r="I158" s="407"/>
      <c r="J158" s="407"/>
      <c r="K158" s="407"/>
      <c r="L158" s="407"/>
      <c r="M158" s="407"/>
      <c r="N158" s="407"/>
    </row>
    <row r="159" spans="1:14" ht="23.1" customHeight="1">
      <c r="A159" s="407"/>
      <c r="B159" s="407"/>
      <c r="C159" s="407"/>
      <c r="D159" s="407"/>
      <c r="E159" s="407"/>
      <c r="F159" s="407"/>
      <c r="G159" s="407"/>
      <c r="H159" s="407"/>
      <c r="I159" s="407"/>
      <c r="J159" s="407"/>
      <c r="K159" s="407"/>
      <c r="L159" s="407"/>
      <c r="M159" s="407"/>
      <c r="N159" s="407"/>
    </row>
    <row r="160" spans="1:14" ht="23.1" customHeight="1">
      <c r="A160" s="407"/>
      <c r="B160" s="407"/>
      <c r="C160" s="407"/>
      <c r="D160" s="407"/>
      <c r="E160" s="407"/>
      <c r="F160" s="407"/>
      <c r="G160" s="407"/>
      <c r="H160" s="407"/>
      <c r="I160" s="407"/>
      <c r="J160" s="407"/>
      <c r="K160" s="407"/>
      <c r="L160" s="407"/>
      <c r="M160" s="407"/>
      <c r="N160" s="407"/>
    </row>
    <row r="161" spans="1:14" ht="23.1" customHeight="1">
      <c r="A161" s="407"/>
      <c r="B161" s="407"/>
      <c r="C161" s="407"/>
      <c r="D161" s="407"/>
      <c r="E161" s="407"/>
      <c r="F161" s="407"/>
      <c r="G161" s="407"/>
      <c r="H161" s="407"/>
      <c r="I161" s="407"/>
      <c r="J161" s="407"/>
      <c r="K161" s="407"/>
      <c r="L161" s="407"/>
      <c r="M161" s="407"/>
      <c r="N161" s="407"/>
    </row>
    <row r="162" spans="1:14" ht="23.1" customHeight="1">
      <c r="A162" s="407"/>
      <c r="B162" s="407"/>
      <c r="C162" s="407"/>
      <c r="D162" s="407"/>
      <c r="E162" s="407"/>
      <c r="F162" s="407"/>
      <c r="G162" s="407"/>
      <c r="H162" s="407"/>
      <c r="I162" s="407"/>
      <c r="J162" s="407"/>
      <c r="K162" s="407"/>
      <c r="L162" s="407"/>
      <c r="M162" s="407"/>
      <c r="N162" s="407"/>
    </row>
    <row r="163" spans="1:14" ht="23.1" customHeight="1">
      <c r="A163" s="407"/>
      <c r="B163" s="407"/>
      <c r="C163" s="407"/>
      <c r="D163" s="407"/>
      <c r="E163" s="407"/>
      <c r="F163" s="407"/>
      <c r="G163" s="407"/>
      <c r="H163" s="407"/>
      <c r="I163" s="407"/>
      <c r="J163" s="407"/>
      <c r="K163" s="407"/>
      <c r="L163" s="407"/>
      <c r="M163" s="407"/>
      <c r="N163" s="407"/>
    </row>
    <row r="164" spans="1:14" ht="23.1" customHeight="1">
      <c r="A164" s="407"/>
      <c r="B164" s="407"/>
      <c r="C164" s="407"/>
      <c r="D164" s="407"/>
      <c r="E164" s="407"/>
      <c r="F164" s="407"/>
      <c r="G164" s="407"/>
      <c r="H164" s="407"/>
      <c r="I164" s="407"/>
      <c r="J164" s="407"/>
      <c r="K164" s="407"/>
      <c r="L164" s="407"/>
      <c r="M164" s="407"/>
      <c r="N164" s="407"/>
    </row>
    <row r="165" spans="1:14" ht="23.1" customHeight="1">
      <c r="A165" s="407"/>
      <c r="B165" s="407"/>
      <c r="C165" s="407"/>
      <c r="D165" s="407"/>
      <c r="E165" s="407"/>
      <c r="F165" s="407"/>
      <c r="G165" s="407"/>
      <c r="H165" s="407"/>
      <c r="I165" s="407"/>
      <c r="J165" s="407"/>
      <c r="K165" s="407"/>
      <c r="L165" s="407"/>
      <c r="M165" s="407"/>
      <c r="N165" s="407"/>
    </row>
    <row r="166" spans="1:14" ht="23.1" customHeight="1">
      <c r="A166" s="407"/>
      <c r="B166" s="407"/>
      <c r="C166" s="407"/>
      <c r="D166" s="407"/>
      <c r="E166" s="407"/>
      <c r="F166" s="407"/>
      <c r="G166" s="407"/>
      <c r="H166" s="407"/>
      <c r="I166" s="407"/>
      <c r="J166" s="407"/>
      <c r="K166" s="407"/>
      <c r="L166" s="407"/>
      <c r="M166" s="407"/>
      <c r="N166" s="407"/>
    </row>
    <row r="167" spans="1:14" ht="23.1" customHeight="1">
      <c r="A167" s="407"/>
      <c r="B167" s="407"/>
      <c r="C167" s="407"/>
      <c r="D167" s="407"/>
      <c r="E167" s="407"/>
      <c r="F167" s="407"/>
      <c r="G167" s="407"/>
      <c r="H167" s="407"/>
      <c r="I167" s="407"/>
      <c r="J167" s="407"/>
      <c r="K167" s="407"/>
      <c r="L167" s="407"/>
      <c r="M167" s="407"/>
      <c r="N167" s="407"/>
    </row>
    <row r="168" spans="1:14" ht="23.1" customHeight="1">
      <c r="A168" s="407"/>
      <c r="B168" s="407"/>
      <c r="C168" s="407"/>
      <c r="D168" s="407"/>
      <c r="E168" s="407"/>
      <c r="F168" s="407"/>
      <c r="G168" s="407"/>
      <c r="H168" s="407"/>
      <c r="I168" s="407"/>
      <c r="J168" s="407"/>
      <c r="K168" s="407"/>
      <c r="L168" s="407"/>
      <c r="M168" s="407"/>
      <c r="N168" s="407"/>
    </row>
    <row r="169" spans="1:14" ht="23.1" customHeight="1">
      <c r="A169" s="407"/>
      <c r="B169" s="407"/>
      <c r="C169" s="407"/>
      <c r="D169" s="407"/>
      <c r="E169" s="407"/>
      <c r="F169" s="407"/>
      <c r="G169" s="407"/>
      <c r="H169" s="407"/>
      <c r="I169" s="407"/>
      <c r="J169" s="407"/>
      <c r="K169" s="407"/>
      <c r="L169" s="407"/>
      <c r="M169" s="407"/>
      <c r="N169" s="407"/>
    </row>
    <row r="170" spans="1:14" ht="23.1" customHeight="1">
      <c r="A170" s="407"/>
      <c r="B170" s="407"/>
      <c r="C170" s="407"/>
      <c r="D170" s="407"/>
      <c r="E170" s="407"/>
      <c r="F170" s="407"/>
      <c r="G170" s="407"/>
      <c r="H170" s="407"/>
      <c r="I170" s="407"/>
      <c r="J170" s="407"/>
      <c r="K170" s="407"/>
      <c r="L170" s="407"/>
      <c r="M170" s="407"/>
      <c r="N170" s="407"/>
    </row>
    <row r="171" spans="1:14" ht="23.1" customHeight="1">
      <c r="A171" s="407"/>
      <c r="B171" s="407"/>
      <c r="C171" s="407"/>
      <c r="D171" s="407"/>
      <c r="E171" s="407"/>
      <c r="F171" s="407"/>
      <c r="G171" s="407"/>
      <c r="H171" s="407"/>
      <c r="I171" s="407"/>
      <c r="J171" s="407"/>
      <c r="K171" s="407"/>
      <c r="L171" s="407"/>
      <c r="M171" s="407"/>
      <c r="N171" s="407"/>
    </row>
    <row r="172" spans="1:14" ht="23.1" customHeight="1">
      <c r="A172" s="407"/>
      <c r="B172" s="407"/>
      <c r="C172" s="407"/>
      <c r="D172" s="407"/>
      <c r="E172" s="407"/>
      <c r="F172" s="407"/>
      <c r="G172" s="407"/>
      <c r="H172" s="407"/>
      <c r="I172" s="407"/>
      <c r="J172" s="407"/>
      <c r="K172" s="407"/>
      <c r="L172" s="407"/>
      <c r="M172" s="407"/>
      <c r="N172" s="407"/>
    </row>
    <row r="173" spans="1:14" ht="23.1" customHeight="1">
      <c r="A173" s="407"/>
      <c r="B173" s="407"/>
      <c r="C173" s="407"/>
      <c r="D173" s="407"/>
      <c r="E173" s="407"/>
      <c r="F173" s="407"/>
      <c r="G173" s="407"/>
      <c r="H173" s="407"/>
      <c r="I173" s="407"/>
      <c r="J173" s="407"/>
      <c r="K173" s="407"/>
      <c r="L173" s="407"/>
      <c r="M173" s="407"/>
      <c r="N173" s="407"/>
    </row>
    <row r="174" spans="1:14" ht="23.1" customHeight="1">
      <c r="A174" s="407"/>
      <c r="B174" s="407"/>
      <c r="C174" s="407"/>
      <c r="D174" s="407"/>
      <c r="E174" s="407"/>
      <c r="F174" s="407"/>
      <c r="G174" s="407"/>
      <c r="H174" s="407"/>
      <c r="I174" s="407"/>
      <c r="J174" s="407"/>
      <c r="K174" s="407"/>
      <c r="L174" s="407"/>
      <c r="M174" s="407"/>
      <c r="N174" s="407"/>
    </row>
    <row r="175" spans="1:14" ht="23.1" customHeight="1">
      <c r="A175" s="407"/>
      <c r="B175" s="407"/>
      <c r="C175" s="407"/>
      <c r="D175" s="407"/>
      <c r="E175" s="407"/>
      <c r="F175" s="407"/>
      <c r="G175" s="407"/>
      <c r="H175" s="407"/>
      <c r="I175" s="407"/>
      <c r="J175" s="407"/>
      <c r="K175" s="407"/>
      <c r="L175" s="407"/>
      <c r="M175" s="407"/>
      <c r="N175" s="407"/>
    </row>
    <row r="176" spans="1:14" ht="23.1" customHeight="1">
      <c r="A176" s="407"/>
      <c r="B176" s="407"/>
      <c r="C176" s="407"/>
      <c r="D176" s="407"/>
      <c r="E176" s="407"/>
      <c r="F176" s="407"/>
      <c r="G176" s="407"/>
      <c r="H176" s="407"/>
      <c r="I176" s="407"/>
      <c r="J176" s="407"/>
      <c r="K176" s="407"/>
      <c r="L176" s="407"/>
      <c r="M176" s="407"/>
      <c r="N176" s="407"/>
    </row>
    <row r="177" spans="1:14" ht="23.1" customHeight="1">
      <c r="A177" s="407"/>
      <c r="B177" s="407"/>
      <c r="C177" s="407"/>
      <c r="D177" s="407"/>
      <c r="E177" s="407"/>
      <c r="F177" s="407"/>
      <c r="G177" s="407"/>
      <c r="H177" s="407"/>
      <c r="I177" s="407"/>
      <c r="J177" s="407"/>
      <c r="K177" s="407"/>
      <c r="L177" s="407"/>
      <c r="M177" s="407"/>
      <c r="N177" s="407"/>
    </row>
    <row r="178" spans="1:14" ht="23.1" customHeight="1">
      <c r="A178" s="407"/>
      <c r="B178" s="407"/>
      <c r="C178" s="407"/>
      <c r="D178" s="407"/>
      <c r="E178" s="407"/>
      <c r="F178" s="407"/>
      <c r="G178" s="407"/>
      <c r="H178" s="407"/>
      <c r="I178" s="407"/>
      <c r="J178" s="407"/>
      <c r="K178" s="407"/>
      <c r="L178" s="407"/>
      <c r="M178" s="407"/>
      <c r="N178" s="407"/>
    </row>
    <row r="179" spans="1:14" ht="23.1" customHeight="1">
      <c r="A179" s="407"/>
      <c r="B179" s="407"/>
      <c r="C179" s="407"/>
      <c r="D179" s="407"/>
      <c r="E179" s="407"/>
      <c r="F179" s="407"/>
      <c r="G179" s="407"/>
      <c r="H179" s="407"/>
      <c r="I179" s="407"/>
      <c r="J179" s="407"/>
      <c r="K179" s="407"/>
      <c r="L179" s="407"/>
      <c r="M179" s="407"/>
      <c r="N179" s="407"/>
    </row>
    <row r="180" spans="1:14" ht="23.1" customHeight="1">
      <c r="A180" s="407"/>
      <c r="B180" s="407"/>
      <c r="C180" s="407"/>
      <c r="D180" s="407"/>
      <c r="E180" s="407"/>
      <c r="F180" s="407"/>
      <c r="G180" s="407"/>
      <c r="H180" s="407"/>
      <c r="I180" s="407"/>
      <c r="J180" s="407"/>
      <c r="K180" s="407"/>
      <c r="L180" s="407"/>
      <c r="M180" s="407"/>
      <c r="N180" s="407"/>
    </row>
    <row r="181" spans="1:14" ht="23.1" customHeight="1">
      <c r="A181" s="407"/>
      <c r="B181" s="407"/>
      <c r="C181" s="407"/>
      <c r="D181" s="407"/>
      <c r="E181" s="407"/>
      <c r="F181" s="407"/>
      <c r="G181" s="407"/>
      <c r="H181" s="407"/>
      <c r="I181" s="407"/>
      <c r="J181" s="407"/>
      <c r="K181" s="407"/>
      <c r="L181" s="407"/>
      <c r="M181" s="407"/>
      <c r="N181" s="407"/>
    </row>
    <row r="182" spans="1:14" ht="23.1" customHeight="1">
      <c r="A182" s="407"/>
      <c r="B182" s="407"/>
      <c r="C182" s="407"/>
      <c r="D182" s="407"/>
      <c r="E182" s="407"/>
      <c r="F182" s="407"/>
      <c r="G182" s="407"/>
      <c r="H182" s="407"/>
      <c r="I182" s="407"/>
      <c r="J182" s="407"/>
      <c r="K182" s="407"/>
      <c r="L182" s="407"/>
      <c r="M182" s="407"/>
      <c r="N182" s="407"/>
    </row>
    <row r="183" spans="1:14" ht="23.1" customHeight="1">
      <c r="A183" s="407"/>
      <c r="B183" s="407"/>
      <c r="C183" s="407"/>
      <c r="D183" s="407"/>
      <c r="E183" s="407"/>
      <c r="F183" s="407"/>
      <c r="G183" s="407"/>
      <c r="H183" s="407"/>
      <c r="I183" s="407"/>
      <c r="J183" s="407"/>
      <c r="K183" s="407"/>
      <c r="L183" s="407"/>
      <c r="M183" s="407"/>
      <c r="N183" s="407"/>
    </row>
    <row r="184" spans="1:14" ht="23.1" customHeight="1">
      <c r="A184" s="407"/>
      <c r="B184" s="407"/>
      <c r="C184" s="407"/>
      <c r="D184" s="407"/>
      <c r="E184" s="407"/>
      <c r="F184" s="407"/>
      <c r="G184" s="407"/>
      <c r="H184" s="407"/>
      <c r="I184" s="407"/>
      <c r="J184" s="407"/>
      <c r="K184" s="407"/>
      <c r="L184" s="407"/>
      <c r="M184" s="407"/>
      <c r="N184" s="407"/>
    </row>
    <row r="185" spans="1:14" ht="23.1" customHeight="1">
      <c r="A185" s="407"/>
      <c r="B185" s="407"/>
      <c r="C185" s="407"/>
      <c r="D185" s="407"/>
      <c r="E185" s="407"/>
      <c r="F185" s="407"/>
      <c r="G185" s="407"/>
      <c r="H185" s="407"/>
      <c r="I185" s="407"/>
      <c r="J185" s="407"/>
      <c r="K185" s="407"/>
      <c r="L185" s="407"/>
      <c r="M185" s="407"/>
      <c r="N185" s="407"/>
    </row>
    <row r="186" spans="1:14" ht="23.1" customHeight="1">
      <c r="A186" s="407"/>
      <c r="B186" s="407"/>
      <c r="C186" s="407"/>
      <c r="D186" s="407"/>
      <c r="E186" s="407"/>
      <c r="F186" s="407"/>
      <c r="G186" s="407"/>
      <c r="H186" s="407"/>
      <c r="I186" s="407"/>
      <c r="J186" s="407"/>
      <c r="K186" s="407"/>
      <c r="L186" s="407"/>
      <c r="M186" s="407"/>
      <c r="N186" s="407"/>
    </row>
    <row r="187" spans="1:14" ht="23.1" customHeight="1">
      <c r="A187" s="407"/>
      <c r="B187" s="407"/>
      <c r="C187" s="407"/>
      <c r="D187" s="407"/>
      <c r="E187" s="407"/>
      <c r="F187" s="407"/>
      <c r="G187" s="407"/>
      <c r="H187" s="407"/>
      <c r="I187" s="407"/>
      <c r="J187" s="407"/>
      <c r="K187" s="407"/>
      <c r="L187" s="407"/>
      <c r="M187" s="407"/>
      <c r="N187" s="407"/>
    </row>
    <row r="188" spans="1:14" ht="23.1" customHeight="1">
      <c r="A188" s="407"/>
      <c r="B188" s="407"/>
      <c r="C188" s="407"/>
      <c r="D188" s="407"/>
      <c r="E188" s="407"/>
      <c r="F188" s="407"/>
      <c r="G188" s="407"/>
      <c r="H188" s="407"/>
      <c r="I188" s="407"/>
      <c r="J188" s="407"/>
      <c r="K188" s="407"/>
      <c r="L188" s="407"/>
      <c r="M188" s="407"/>
      <c r="N188" s="407"/>
    </row>
    <row r="189" spans="1:14" ht="23.1" customHeight="1">
      <c r="A189" s="407"/>
      <c r="B189" s="407"/>
      <c r="C189" s="407"/>
      <c r="D189" s="407"/>
      <c r="E189" s="407"/>
      <c r="F189" s="407"/>
      <c r="G189" s="407"/>
      <c r="H189" s="407"/>
      <c r="I189" s="407"/>
      <c r="J189" s="407"/>
      <c r="K189" s="407"/>
      <c r="L189" s="407"/>
      <c r="M189" s="407"/>
      <c r="N189" s="407"/>
    </row>
    <row r="190" spans="1:14" ht="23.1" customHeight="1">
      <c r="A190" s="407"/>
      <c r="B190" s="407"/>
      <c r="C190" s="407"/>
      <c r="D190" s="407"/>
      <c r="E190" s="407"/>
      <c r="F190" s="407"/>
      <c r="G190" s="407"/>
      <c r="H190" s="407"/>
      <c r="I190" s="407"/>
      <c r="J190" s="407"/>
      <c r="K190" s="407"/>
      <c r="L190" s="407"/>
      <c r="M190" s="407"/>
      <c r="N190" s="407"/>
    </row>
    <row r="191" spans="1:14" ht="23.1" customHeight="1">
      <c r="A191" s="407"/>
      <c r="B191" s="407"/>
      <c r="C191" s="407"/>
      <c r="D191" s="407"/>
      <c r="E191" s="407"/>
      <c r="F191" s="407"/>
      <c r="G191" s="407"/>
      <c r="H191" s="407"/>
      <c r="I191" s="407"/>
      <c r="J191" s="407"/>
      <c r="K191" s="407"/>
      <c r="L191" s="407"/>
      <c r="M191" s="407"/>
      <c r="N191" s="407"/>
    </row>
    <row r="192" spans="1:14" ht="23.1" customHeight="1">
      <c r="A192" s="407"/>
      <c r="B192" s="407"/>
      <c r="C192" s="407"/>
      <c r="D192" s="407"/>
      <c r="E192" s="407"/>
      <c r="F192" s="407"/>
      <c r="G192" s="407"/>
      <c r="H192" s="407"/>
      <c r="I192" s="407"/>
      <c r="J192" s="407"/>
      <c r="K192" s="407"/>
      <c r="L192" s="407"/>
      <c r="M192" s="407"/>
      <c r="N192" s="407"/>
    </row>
    <row r="193" spans="1:14" ht="23.1" customHeight="1">
      <c r="A193" s="407"/>
      <c r="B193" s="407"/>
      <c r="C193" s="407"/>
      <c r="D193" s="407"/>
      <c r="E193" s="407"/>
      <c r="F193" s="407"/>
      <c r="G193" s="407"/>
      <c r="H193" s="407"/>
      <c r="I193" s="407"/>
      <c r="J193" s="407"/>
      <c r="K193" s="407"/>
      <c r="L193" s="407"/>
      <c r="M193" s="407"/>
      <c r="N193" s="407"/>
    </row>
    <row r="194" spans="1:14" ht="23.1" customHeight="1">
      <c r="A194" s="407"/>
      <c r="B194" s="407"/>
      <c r="C194" s="407"/>
      <c r="D194" s="407"/>
      <c r="E194" s="407"/>
      <c r="F194" s="407"/>
      <c r="G194" s="407"/>
      <c r="H194" s="407"/>
      <c r="I194" s="407"/>
      <c r="J194" s="407"/>
      <c r="K194" s="407"/>
      <c r="L194" s="407"/>
      <c r="M194" s="407"/>
      <c r="N194" s="407"/>
    </row>
    <row r="195" spans="1:14" ht="23.1" customHeight="1">
      <c r="A195" s="407"/>
      <c r="B195" s="407"/>
      <c r="C195" s="407"/>
      <c r="D195" s="407"/>
      <c r="E195" s="407"/>
      <c r="F195" s="407"/>
      <c r="G195" s="407"/>
      <c r="H195" s="407"/>
      <c r="I195" s="407"/>
      <c r="J195" s="407"/>
      <c r="K195" s="407"/>
      <c r="L195" s="407"/>
      <c r="M195" s="407"/>
      <c r="N195" s="407"/>
    </row>
    <row r="196" spans="1:14" ht="23.1" customHeight="1">
      <c r="A196" s="407"/>
      <c r="B196" s="407"/>
      <c r="C196" s="407"/>
      <c r="D196" s="407"/>
      <c r="E196" s="407"/>
      <c r="F196" s="407"/>
      <c r="G196" s="407"/>
      <c r="H196" s="407"/>
      <c r="I196" s="407"/>
      <c r="J196" s="407"/>
      <c r="K196" s="407"/>
      <c r="L196" s="407"/>
      <c r="M196" s="407"/>
      <c r="N196" s="407"/>
    </row>
    <row r="197" spans="1:14" ht="23.1" customHeight="1">
      <c r="A197" s="407"/>
      <c r="B197" s="407"/>
      <c r="C197" s="407"/>
      <c r="D197" s="407"/>
      <c r="E197" s="407"/>
      <c r="F197" s="407"/>
      <c r="G197" s="407"/>
      <c r="H197" s="407"/>
      <c r="I197" s="407"/>
      <c r="J197" s="407"/>
      <c r="K197" s="407"/>
      <c r="L197" s="407"/>
      <c r="M197" s="407"/>
      <c r="N197" s="407"/>
    </row>
    <row r="198" spans="1:14" ht="23.1" customHeight="1">
      <c r="A198" s="407"/>
      <c r="B198" s="407"/>
      <c r="C198" s="407"/>
      <c r="D198" s="407"/>
      <c r="E198" s="407"/>
      <c r="F198" s="407"/>
      <c r="G198" s="407"/>
      <c r="H198" s="407"/>
      <c r="I198" s="407"/>
      <c r="J198" s="407"/>
      <c r="K198" s="407"/>
      <c r="L198" s="407"/>
      <c r="M198" s="407"/>
      <c r="N198" s="407"/>
    </row>
    <row r="199" spans="1:14" ht="23.1" customHeight="1">
      <c r="A199" s="407"/>
      <c r="B199" s="407"/>
      <c r="C199" s="407"/>
      <c r="D199" s="407"/>
      <c r="E199" s="407"/>
      <c r="F199" s="407"/>
      <c r="G199" s="407"/>
      <c r="H199" s="407"/>
      <c r="I199" s="407"/>
      <c r="J199" s="407"/>
      <c r="K199" s="407"/>
      <c r="L199" s="407"/>
      <c r="M199" s="407"/>
      <c r="N199" s="407"/>
    </row>
    <row r="200" spans="1:14" ht="23.1" customHeight="1">
      <c r="A200" s="407"/>
      <c r="B200" s="407"/>
      <c r="C200" s="407"/>
      <c r="D200" s="407"/>
      <c r="E200" s="407"/>
      <c r="F200" s="407"/>
      <c r="G200" s="407"/>
      <c r="H200" s="407"/>
      <c r="I200" s="407"/>
      <c r="J200" s="407"/>
      <c r="K200" s="407"/>
      <c r="L200" s="407"/>
      <c r="M200" s="407"/>
      <c r="N200" s="407"/>
    </row>
    <row r="201" spans="1:14" ht="23.1" customHeight="1">
      <c r="A201" s="407"/>
      <c r="B201" s="407"/>
      <c r="C201" s="407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</row>
    <row r="202" spans="1:14" ht="23.1" customHeight="1">
      <c r="A202" s="407"/>
      <c r="B202" s="407"/>
      <c r="C202" s="407"/>
      <c r="D202" s="407"/>
      <c r="E202" s="407"/>
      <c r="F202" s="407"/>
      <c r="G202" s="407"/>
      <c r="H202" s="407"/>
      <c r="I202" s="407"/>
      <c r="J202" s="407"/>
      <c r="K202" s="407"/>
      <c r="L202" s="407"/>
      <c r="M202" s="407"/>
      <c r="N202" s="407"/>
    </row>
    <row r="203" spans="1:14" ht="23.1" customHeight="1">
      <c r="A203" s="407"/>
      <c r="B203" s="407"/>
      <c r="C203" s="407"/>
      <c r="D203" s="407"/>
      <c r="E203" s="407"/>
      <c r="F203" s="407"/>
      <c r="G203" s="407"/>
      <c r="H203" s="407"/>
      <c r="I203" s="407"/>
      <c r="J203" s="407"/>
      <c r="K203" s="407"/>
      <c r="L203" s="407"/>
      <c r="M203" s="407"/>
      <c r="N203" s="407"/>
    </row>
    <row r="204" spans="1:14" ht="23.1" customHeight="1">
      <c r="A204" s="407"/>
      <c r="B204" s="407"/>
      <c r="C204" s="407"/>
      <c r="D204" s="407"/>
      <c r="E204" s="407"/>
      <c r="F204" s="407"/>
      <c r="G204" s="407"/>
      <c r="H204" s="407"/>
      <c r="I204" s="407"/>
      <c r="J204" s="407"/>
      <c r="K204" s="407"/>
      <c r="L204" s="407"/>
      <c r="M204" s="407"/>
      <c r="N204" s="407"/>
    </row>
    <row r="205" spans="1:14" ht="23.1" customHeight="1">
      <c r="A205" s="407"/>
      <c r="B205" s="407"/>
      <c r="C205" s="407"/>
      <c r="D205" s="407"/>
      <c r="E205" s="407"/>
      <c r="F205" s="407"/>
      <c r="G205" s="407"/>
      <c r="H205" s="407"/>
      <c r="I205" s="407"/>
      <c r="J205" s="407"/>
      <c r="K205" s="407"/>
      <c r="L205" s="407"/>
      <c r="M205" s="407"/>
      <c r="N205" s="407"/>
    </row>
    <row r="206" spans="1:14" ht="23.1" customHeight="1">
      <c r="A206" s="407"/>
      <c r="B206" s="407"/>
      <c r="C206" s="407"/>
      <c r="D206" s="407"/>
      <c r="E206" s="407"/>
      <c r="F206" s="407"/>
      <c r="G206" s="407"/>
      <c r="H206" s="407"/>
      <c r="I206" s="407"/>
      <c r="J206" s="407"/>
      <c r="K206" s="407"/>
      <c r="L206" s="407"/>
      <c r="M206" s="407"/>
      <c r="N206" s="407"/>
    </row>
    <row r="207" spans="1:14" ht="23.1" customHeight="1">
      <c r="A207" s="407"/>
      <c r="B207" s="407"/>
      <c r="C207" s="407"/>
      <c r="D207" s="407"/>
      <c r="E207" s="407"/>
      <c r="F207" s="407"/>
      <c r="G207" s="407"/>
      <c r="H207" s="407"/>
      <c r="I207" s="407"/>
      <c r="J207" s="407"/>
      <c r="K207" s="407"/>
      <c r="L207" s="407"/>
      <c r="M207" s="407"/>
      <c r="N207" s="407"/>
    </row>
    <row r="208" spans="1:14" ht="23.1" customHeight="1">
      <c r="A208" s="407"/>
      <c r="B208" s="407"/>
      <c r="C208" s="407"/>
      <c r="D208" s="407"/>
      <c r="E208" s="407"/>
      <c r="F208" s="407"/>
      <c r="G208" s="407"/>
      <c r="H208" s="407"/>
      <c r="I208" s="407"/>
      <c r="J208" s="407"/>
      <c r="K208" s="407"/>
      <c r="L208" s="407"/>
      <c r="M208" s="407"/>
      <c r="N208" s="407"/>
    </row>
    <row r="209" spans="1:14" ht="23.1" customHeight="1">
      <c r="A209" s="407"/>
      <c r="B209" s="407"/>
      <c r="C209" s="407"/>
      <c r="D209" s="407"/>
      <c r="E209" s="407"/>
      <c r="F209" s="407"/>
      <c r="G209" s="407"/>
      <c r="H209" s="407"/>
      <c r="I209" s="407"/>
      <c r="J209" s="407"/>
      <c r="K209" s="407"/>
      <c r="L209" s="407"/>
      <c r="M209" s="407"/>
      <c r="N209" s="407"/>
    </row>
    <row r="210" spans="1:14" ht="23.1" customHeight="1">
      <c r="A210" s="407"/>
      <c r="B210" s="407"/>
      <c r="C210" s="407"/>
      <c r="D210" s="407"/>
      <c r="E210" s="407"/>
      <c r="F210" s="407"/>
      <c r="G210" s="407"/>
      <c r="H210" s="407"/>
      <c r="I210" s="407"/>
      <c r="J210" s="407"/>
      <c r="K210" s="407"/>
      <c r="L210" s="407"/>
      <c r="M210" s="407"/>
      <c r="N210" s="407"/>
    </row>
    <row r="211" spans="1:14" ht="23.1" customHeight="1">
      <c r="A211" s="407"/>
      <c r="B211" s="407"/>
      <c r="C211" s="407"/>
      <c r="D211" s="407"/>
      <c r="E211" s="407"/>
      <c r="F211" s="407"/>
      <c r="G211" s="407"/>
      <c r="H211" s="407"/>
      <c r="I211" s="407"/>
      <c r="J211" s="407"/>
      <c r="K211" s="407"/>
      <c r="L211" s="407"/>
      <c r="M211" s="407"/>
      <c r="N211" s="407"/>
    </row>
    <row r="212" spans="1:14" ht="23.1" customHeight="1">
      <c r="A212" s="407"/>
      <c r="B212" s="407"/>
      <c r="C212" s="407"/>
      <c r="D212" s="407"/>
      <c r="E212" s="407"/>
      <c r="F212" s="407"/>
      <c r="G212" s="407"/>
      <c r="H212" s="407"/>
      <c r="I212" s="407"/>
      <c r="J212" s="407"/>
      <c r="K212" s="407"/>
      <c r="L212" s="407"/>
      <c r="M212" s="407"/>
      <c r="N212" s="407"/>
    </row>
    <row r="213" spans="1:14" ht="23.1" customHeight="1">
      <c r="A213" s="407"/>
      <c r="B213" s="407"/>
      <c r="C213" s="407"/>
      <c r="D213" s="407"/>
      <c r="E213" s="407"/>
      <c r="F213" s="407"/>
      <c r="G213" s="407"/>
      <c r="H213" s="407"/>
      <c r="I213" s="407"/>
      <c r="J213" s="407"/>
      <c r="K213" s="407"/>
      <c r="L213" s="407"/>
      <c r="M213" s="407"/>
      <c r="N213" s="407"/>
    </row>
    <row r="214" spans="1:14" ht="23.1" customHeight="1">
      <c r="A214" s="407"/>
      <c r="B214" s="407"/>
      <c r="C214" s="407"/>
      <c r="D214" s="407"/>
      <c r="E214" s="407"/>
      <c r="F214" s="407"/>
      <c r="G214" s="407"/>
      <c r="H214" s="407"/>
      <c r="I214" s="407"/>
      <c r="J214" s="407"/>
      <c r="K214" s="407"/>
      <c r="L214" s="407"/>
      <c r="M214" s="407"/>
      <c r="N214" s="407"/>
    </row>
    <row r="215" spans="1:14" ht="23.1" customHeight="1">
      <c r="A215" s="407"/>
      <c r="B215" s="407"/>
      <c r="C215" s="407"/>
      <c r="D215" s="407"/>
      <c r="E215" s="407"/>
      <c r="F215" s="407"/>
      <c r="G215" s="407"/>
      <c r="H215" s="407"/>
      <c r="I215" s="407"/>
      <c r="J215" s="407"/>
      <c r="K215" s="407"/>
      <c r="L215" s="407"/>
      <c r="M215" s="407"/>
      <c r="N215" s="407"/>
    </row>
    <row r="216" spans="1:14" ht="23.1" customHeight="1">
      <c r="A216" s="407"/>
      <c r="B216" s="407"/>
      <c r="C216" s="407"/>
      <c r="D216" s="407"/>
      <c r="E216" s="407"/>
      <c r="F216" s="407"/>
      <c r="G216" s="407"/>
      <c r="H216" s="407"/>
      <c r="I216" s="407"/>
      <c r="J216" s="407"/>
      <c r="K216" s="407"/>
      <c r="L216" s="407"/>
      <c r="M216" s="407"/>
      <c r="N216" s="407"/>
    </row>
    <row r="217" spans="1:14" ht="23.1" customHeight="1">
      <c r="A217" s="407"/>
      <c r="B217" s="407"/>
      <c r="C217" s="407"/>
      <c r="D217" s="407"/>
      <c r="E217" s="407"/>
      <c r="F217" s="407"/>
      <c r="G217" s="407"/>
      <c r="H217" s="407"/>
      <c r="I217" s="407"/>
      <c r="J217" s="407"/>
      <c r="K217" s="407"/>
      <c r="L217" s="407"/>
      <c r="M217" s="407"/>
      <c r="N217" s="407"/>
    </row>
    <row r="218" spans="1:14" ht="23.1" customHeight="1">
      <c r="A218" s="407"/>
      <c r="B218" s="407"/>
      <c r="C218" s="407"/>
      <c r="D218" s="407"/>
      <c r="E218" s="407"/>
      <c r="F218" s="407"/>
      <c r="G218" s="407"/>
      <c r="H218" s="407"/>
      <c r="I218" s="407"/>
      <c r="J218" s="407"/>
      <c r="K218" s="407"/>
      <c r="L218" s="407"/>
      <c r="M218" s="407"/>
      <c r="N218" s="407"/>
    </row>
    <row r="219" spans="1:14" ht="23.1" customHeight="1">
      <c r="A219" s="407"/>
      <c r="B219" s="407"/>
      <c r="C219" s="407"/>
      <c r="D219" s="407"/>
      <c r="E219" s="407"/>
      <c r="F219" s="407"/>
      <c r="G219" s="407"/>
      <c r="H219" s="407"/>
      <c r="I219" s="407"/>
      <c r="J219" s="407"/>
      <c r="K219" s="407"/>
      <c r="L219" s="407"/>
      <c r="M219" s="407"/>
      <c r="N219" s="407"/>
    </row>
    <row r="220" spans="1:14" ht="23.1" customHeight="1">
      <c r="A220" s="407"/>
      <c r="B220" s="407"/>
      <c r="C220" s="407"/>
      <c r="D220" s="407"/>
      <c r="E220" s="407"/>
      <c r="F220" s="407"/>
      <c r="G220" s="407"/>
      <c r="H220" s="407"/>
      <c r="I220" s="407"/>
      <c r="J220" s="407"/>
      <c r="K220" s="407"/>
      <c r="L220" s="407"/>
      <c r="M220" s="407"/>
      <c r="N220" s="407"/>
    </row>
    <row r="221" spans="1:14" ht="23.1" customHeight="1">
      <c r="A221" s="407"/>
      <c r="B221" s="407"/>
      <c r="C221" s="407"/>
      <c r="D221" s="407"/>
      <c r="E221" s="407"/>
      <c r="F221" s="407"/>
      <c r="G221" s="407"/>
      <c r="H221" s="407"/>
      <c r="I221" s="407"/>
      <c r="J221" s="407"/>
      <c r="K221" s="407"/>
      <c r="L221" s="407"/>
      <c r="M221" s="407"/>
      <c r="N221" s="407"/>
    </row>
    <row r="222" spans="1:14" ht="23.1" customHeight="1">
      <c r="A222" s="407"/>
      <c r="B222" s="407"/>
      <c r="C222" s="407"/>
      <c r="D222" s="407"/>
      <c r="E222" s="407"/>
      <c r="F222" s="407"/>
      <c r="G222" s="407"/>
      <c r="H222" s="407"/>
      <c r="I222" s="407"/>
      <c r="J222" s="407"/>
      <c r="K222" s="407"/>
      <c r="L222" s="407"/>
      <c r="M222" s="407"/>
      <c r="N222" s="407"/>
    </row>
    <row r="223" spans="1:14" ht="23.1" customHeight="1">
      <c r="A223" s="407"/>
      <c r="B223" s="407"/>
      <c r="C223" s="407"/>
      <c r="D223" s="407"/>
      <c r="E223" s="407"/>
      <c r="F223" s="407"/>
      <c r="G223" s="407"/>
      <c r="H223" s="407"/>
      <c r="I223" s="407"/>
      <c r="J223" s="407"/>
      <c r="K223" s="407"/>
      <c r="L223" s="407"/>
      <c r="M223" s="407"/>
      <c r="N223" s="407"/>
    </row>
    <row r="224" spans="1:14" ht="23.1" customHeight="1">
      <c r="A224" s="407"/>
      <c r="B224" s="407"/>
      <c r="C224" s="407"/>
      <c r="D224" s="407"/>
      <c r="E224" s="407"/>
      <c r="F224" s="407"/>
      <c r="G224" s="407"/>
      <c r="H224" s="407"/>
      <c r="I224" s="407"/>
      <c r="J224" s="407"/>
      <c r="K224" s="407"/>
      <c r="L224" s="407"/>
      <c r="M224" s="407"/>
      <c r="N224" s="407"/>
    </row>
    <row r="225" spans="1:14" ht="23.1" customHeight="1">
      <c r="A225" s="407"/>
      <c r="B225" s="407"/>
      <c r="C225" s="407"/>
      <c r="D225" s="407"/>
      <c r="E225" s="407"/>
      <c r="F225" s="407"/>
      <c r="G225" s="407"/>
      <c r="H225" s="407"/>
      <c r="I225" s="407"/>
      <c r="J225" s="407"/>
      <c r="K225" s="407"/>
      <c r="L225" s="407"/>
      <c r="M225" s="407"/>
      <c r="N225" s="407"/>
    </row>
    <row r="226" spans="1:14" ht="23.1" customHeight="1">
      <c r="A226" s="407"/>
      <c r="B226" s="407"/>
      <c r="C226" s="407"/>
      <c r="D226" s="407"/>
      <c r="E226" s="407"/>
      <c r="F226" s="407"/>
      <c r="G226" s="407"/>
      <c r="H226" s="407"/>
      <c r="I226" s="407"/>
      <c r="J226" s="407"/>
      <c r="K226" s="407"/>
      <c r="L226" s="407"/>
      <c r="M226" s="407"/>
      <c r="N226" s="407"/>
    </row>
    <row r="227" spans="1:14" ht="23.1" customHeight="1">
      <c r="A227" s="407"/>
      <c r="B227" s="407"/>
      <c r="C227" s="407"/>
      <c r="D227" s="407"/>
      <c r="E227" s="407"/>
      <c r="F227" s="407"/>
      <c r="G227" s="407"/>
      <c r="H227" s="407"/>
      <c r="I227" s="407"/>
      <c r="J227" s="407"/>
      <c r="K227" s="407"/>
      <c r="L227" s="407"/>
      <c r="M227" s="407"/>
      <c r="N227" s="407"/>
    </row>
    <row r="228" spans="1:14" ht="23.1" customHeight="1">
      <c r="A228" s="407"/>
      <c r="B228" s="407"/>
      <c r="C228" s="407"/>
      <c r="D228" s="407"/>
      <c r="E228" s="407"/>
      <c r="F228" s="407"/>
      <c r="G228" s="407"/>
      <c r="H228" s="407"/>
      <c r="I228" s="407"/>
      <c r="J228" s="407"/>
      <c r="K228" s="407"/>
      <c r="L228" s="407"/>
      <c r="M228" s="407"/>
      <c r="N228" s="407"/>
    </row>
    <row r="229" spans="1:14" ht="23.1" customHeight="1">
      <c r="A229" s="407"/>
      <c r="B229" s="407"/>
      <c r="C229" s="407"/>
      <c r="D229" s="407"/>
      <c r="E229" s="407"/>
      <c r="F229" s="407"/>
      <c r="G229" s="407"/>
      <c r="H229" s="407"/>
      <c r="I229" s="407"/>
      <c r="J229" s="407"/>
      <c r="K229" s="407"/>
      <c r="L229" s="407"/>
      <c r="M229" s="407"/>
      <c r="N229" s="407"/>
    </row>
    <row r="230" spans="1:14" ht="23.1" customHeight="1">
      <c r="A230" s="407"/>
      <c r="B230" s="407"/>
      <c r="C230" s="407"/>
      <c r="D230" s="407"/>
      <c r="E230" s="407"/>
      <c r="F230" s="407"/>
      <c r="G230" s="407"/>
      <c r="H230" s="407"/>
      <c r="I230" s="407"/>
      <c r="J230" s="407"/>
      <c r="K230" s="407"/>
      <c r="L230" s="407"/>
      <c r="M230" s="407"/>
      <c r="N230" s="407"/>
    </row>
    <row r="231" spans="1:14" ht="23.1" customHeight="1">
      <c r="A231" s="407"/>
      <c r="B231" s="407"/>
      <c r="C231" s="407"/>
      <c r="D231" s="407"/>
      <c r="E231" s="407"/>
      <c r="F231" s="407"/>
      <c r="G231" s="407"/>
      <c r="H231" s="407"/>
      <c r="I231" s="407"/>
      <c r="J231" s="407"/>
      <c r="K231" s="407"/>
      <c r="L231" s="407"/>
      <c r="M231" s="407"/>
      <c r="N231" s="407"/>
    </row>
    <row r="232" spans="1:14" ht="23.1" customHeight="1">
      <c r="A232" s="407"/>
      <c r="B232" s="407"/>
      <c r="C232" s="407"/>
      <c r="D232" s="407"/>
      <c r="E232" s="407"/>
      <c r="F232" s="407"/>
      <c r="G232" s="407"/>
      <c r="H232" s="407"/>
      <c r="I232" s="407"/>
      <c r="J232" s="407"/>
      <c r="K232" s="407"/>
      <c r="L232" s="407"/>
      <c r="M232" s="407"/>
      <c r="N232" s="407"/>
    </row>
    <row r="233" spans="1:14" ht="23.1" customHeight="1">
      <c r="A233" s="407"/>
      <c r="B233" s="407"/>
      <c r="C233" s="407"/>
      <c r="D233" s="407"/>
      <c r="E233" s="407"/>
      <c r="F233" s="407"/>
      <c r="G233" s="407"/>
      <c r="H233" s="407"/>
      <c r="I233" s="407"/>
      <c r="J233" s="407"/>
      <c r="K233" s="407"/>
      <c r="L233" s="407"/>
      <c r="M233" s="407"/>
      <c r="N233" s="407"/>
    </row>
    <row r="234" spans="1:14" ht="23.1" customHeight="1">
      <c r="A234" s="407"/>
      <c r="B234" s="407"/>
      <c r="C234" s="407"/>
      <c r="D234" s="407"/>
      <c r="E234" s="407"/>
      <c r="F234" s="407"/>
      <c r="G234" s="407"/>
      <c r="H234" s="407"/>
      <c r="I234" s="407"/>
      <c r="J234" s="407"/>
      <c r="K234" s="407"/>
      <c r="L234" s="407"/>
      <c r="M234" s="407"/>
      <c r="N234" s="407"/>
    </row>
    <row r="235" spans="1:14" ht="23.1" customHeight="1">
      <c r="A235" s="407"/>
      <c r="B235" s="407"/>
      <c r="C235" s="407"/>
      <c r="D235" s="407"/>
      <c r="E235" s="407"/>
      <c r="F235" s="407"/>
      <c r="G235" s="407"/>
      <c r="H235" s="407"/>
      <c r="I235" s="407"/>
      <c r="J235" s="407"/>
      <c r="K235" s="407"/>
      <c r="L235" s="407"/>
      <c r="M235" s="407"/>
      <c r="N235" s="407"/>
    </row>
    <row r="236" spans="1:14" ht="23.1" customHeight="1">
      <c r="A236" s="407"/>
      <c r="B236" s="407"/>
      <c r="C236" s="407"/>
      <c r="D236" s="407"/>
      <c r="E236" s="407"/>
      <c r="F236" s="407"/>
      <c r="G236" s="407"/>
      <c r="H236" s="407"/>
      <c r="I236" s="407"/>
      <c r="J236" s="407"/>
      <c r="K236" s="407"/>
      <c r="L236" s="407"/>
      <c r="M236" s="407"/>
      <c r="N236" s="407"/>
    </row>
    <row r="237" spans="1:14" ht="23.1" customHeight="1">
      <c r="A237" s="407"/>
      <c r="B237" s="407"/>
      <c r="C237" s="407"/>
      <c r="D237" s="407"/>
      <c r="E237" s="407"/>
      <c r="F237" s="407"/>
      <c r="G237" s="407"/>
      <c r="H237" s="407"/>
      <c r="I237" s="407"/>
      <c r="J237" s="407"/>
      <c r="K237" s="407"/>
      <c r="L237" s="407"/>
      <c r="M237" s="407"/>
      <c r="N237" s="407"/>
    </row>
    <row r="238" spans="1:14" ht="23.1" customHeight="1">
      <c r="A238" s="407"/>
      <c r="B238" s="407"/>
      <c r="C238" s="407"/>
      <c r="D238" s="407"/>
      <c r="E238" s="407"/>
      <c r="F238" s="407"/>
      <c r="G238" s="407"/>
      <c r="H238" s="407"/>
      <c r="I238" s="407"/>
      <c r="J238" s="407"/>
      <c r="K238" s="407"/>
      <c r="L238" s="407"/>
      <c r="M238" s="407"/>
      <c r="N238" s="407"/>
    </row>
    <row r="239" spans="1:14" ht="23.1" customHeight="1">
      <c r="A239" s="407"/>
      <c r="B239" s="407"/>
      <c r="C239" s="407"/>
      <c r="D239" s="407"/>
      <c r="E239" s="407"/>
      <c r="F239" s="407"/>
      <c r="G239" s="407"/>
      <c r="H239" s="407"/>
      <c r="I239" s="407"/>
      <c r="J239" s="407"/>
      <c r="K239" s="407"/>
      <c r="L239" s="407"/>
      <c r="M239" s="407"/>
      <c r="N239" s="407"/>
    </row>
    <row r="240" spans="1:14" ht="23.1" customHeight="1">
      <c r="A240" s="407"/>
      <c r="B240" s="407"/>
      <c r="C240" s="407"/>
      <c r="D240" s="407"/>
      <c r="E240" s="407"/>
      <c r="F240" s="407"/>
      <c r="G240" s="407"/>
      <c r="H240" s="407"/>
      <c r="I240" s="407"/>
      <c r="J240" s="407"/>
      <c r="K240" s="407"/>
      <c r="L240" s="407"/>
      <c r="M240" s="407"/>
      <c r="N240" s="407"/>
    </row>
    <row r="241" spans="1:14" ht="23.1" customHeight="1">
      <c r="A241" s="407"/>
      <c r="B241" s="407"/>
      <c r="C241" s="407"/>
      <c r="D241" s="407"/>
      <c r="E241" s="407"/>
      <c r="F241" s="407"/>
      <c r="G241" s="407"/>
      <c r="H241" s="407"/>
      <c r="I241" s="407"/>
      <c r="J241" s="407"/>
      <c r="K241" s="407"/>
      <c r="L241" s="407"/>
      <c r="M241" s="407"/>
      <c r="N241" s="407"/>
    </row>
    <row r="242" spans="1:14" ht="23.1" customHeight="1">
      <c r="A242" s="407"/>
      <c r="B242" s="407"/>
      <c r="C242" s="407"/>
      <c r="D242" s="407"/>
      <c r="E242" s="407"/>
      <c r="F242" s="407"/>
      <c r="G242" s="407"/>
      <c r="H242" s="407"/>
      <c r="I242" s="407"/>
      <c r="J242" s="407"/>
      <c r="K242" s="407"/>
      <c r="L242" s="407"/>
      <c r="M242" s="407"/>
      <c r="N242" s="407"/>
    </row>
    <row r="243" spans="1:14" ht="23.1" customHeight="1">
      <c r="A243" s="407"/>
      <c r="B243" s="407"/>
      <c r="C243" s="407"/>
      <c r="D243" s="407"/>
      <c r="E243" s="407"/>
      <c r="F243" s="407"/>
      <c r="G243" s="407"/>
      <c r="H243" s="407"/>
      <c r="I243" s="407"/>
      <c r="J243" s="407"/>
      <c r="K243" s="407"/>
      <c r="L243" s="407"/>
      <c r="M243" s="407"/>
      <c r="N243" s="407"/>
    </row>
    <row r="244" spans="1:14" ht="23.1" customHeight="1">
      <c r="A244" s="407"/>
      <c r="B244" s="407"/>
      <c r="C244" s="407"/>
      <c r="D244" s="407"/>
      <c r="E244" s="407"/>
      <c r="F244" s="407"/>
      <c r="G244" s="407"/>
      <c r="H244" s="407"/>
      <c r="I244" s="407"/>
      <c r="J244" s="407"/>
      <c r="K244" s="407"/>
      <c r="L244" s="407"/>
      <c r="M244" s="407"/>
      <c r="N244" s="407"/>
    </row>
    <row r="245" spans="1:14" ht="23.1" customHeight="1">
      <c r="A245" s="407"/>
      <c r="B245" s="407"/>
      <c r="C245" s="407"/>
      <c r="D245" s="407"/>
      <c r="E245" s="407"/>
      <c r="F245" s="407"/>
      <c r="G245" s="407"/>
      <c r="H245" s="407"/>
      <c r="I245" s="407"/>
      <c r="J245" s="407"/>
      <c r="K245" s="407"/>
      <c r="L245" s="407"/>
      <c r="M245" s="407"/>
      <c r="N245" s="407"/>
    </row>
    <row r="246" spans="1:14" ht="23.1" customHeight="1">
      <c r="A246" s="407"/>
      <c r="B246" s="407"/>
      <c r="C246" s="407"/>
      <c r="D246" s="407"/>
      <c r="E246" s="407"/>
      <c r="F246" s="407"/>
      <c r="G246" s="407"/>
      <c r="H246" s="407"/>
      <c r="I246" s="407"/>
      <c r="J246" s="407"/>
      <c r="K246" s="407"/>
      <c r="L246" s="407"/>
      <c r="M246" s="407"/>
      <c r="N246" s="407"/>
    </row>
    <row r="247" spans="1:14" ht="23.1" customHeight="1">
      <c r="A247" s="407"/>
      <c r="B247" s="407"/>
      <c r="C247" s="407"/>
      <c r="D247" s="407"/>
      <c r="E247" s="407"/>
      <c r="F247" s="407"/>
      <c r="G247" s="407"/>
      <c r="H247" s="407"/>
      <c r="I247" s="407"/>
      <c r="J247" s="407"/>
      <c r="K247" s="407"/>
      <c r="L247" s="407"/>
      <c r="M247" s="407"/>
      <c r="N247" s="407"/>
    </row>
    <row r="248" spans="1:14" ht="23.1" customHeight="1">
      <c r="A248" s="407"/>
      <c r="B248" s="407"/>
      <c r="C248" s="407"/>
      <c r="D248" s="407"/>
      <c r="E248" s="407"/>
      <c r="F248" s="407"/>
      <c r="G248" s="407"/>
      <c r="H248" s="407"/>
      <c r="I248" s="407"/>
      <c r="J248" s="407"/>
      <c r="K248" s="407"/>
      <c r="L248" s="407"/>
      <c r="M248" s="407"/>
      <c r="N248" s="407"/>
    </row>
    <row r="249" spans="1:14" ht="23.1" customHeight="1">
      <c r="A249" s="407"/>
      <c r="B249" s="407"/>
      <c r="C249" s="407"/>
      <c r="D249" s="407"/>
      <c r="E249" s="407"/>
      <c r="F249" s="407"/>
      <c r="G249" s="407"/>
      <c r="H249" s="407"/>
      <c r="I249" s="407"/>
      <c r="J249" s="407"/>
      <c r="K249" s="407"/>
      <c r="L249" s="407"/>
      <c r="M249" s="407"/>
      <c r="N249" s="407"/>
    </row>
    <row r="250" spans="1:14" ht="23.1" customHeight="1">
      <c r="A250" s="407"/>
      <c r="B250" s="407"/>
      <c r="C250" s="407"/>
      <c r="D250" s="407"/>
      <c r="E250" s="407"/>
      <c r="F250" s="407"/>
      <c r="G250" s="407"/>
      <c r="H250" s="407"/>
      <c r="I250" s="407"/>
      <c r="J250" s="407"/>
      <c r="K250" s="407"/>
      <c r="L250" s="407"/>
      <c r="M250" s="407"/>
      <c r="N250" s="407"/>
    </row>
    <row r="251" spans="1:14" ht="23.1" customHeight="1">
      <c r="A251" s="407"/>
      <c r="B251" s="407"/>
      <c r="C251" s="407"/>
      <c r="D251" s="407"/>
      <c r="E251" s="407"/>
      <c r="F251" s="407"/>
      <c r="G251" s="407"/>
      <c r="H251" s="407"/>
      <c r="I251" s="407"/>
      <c r="J251" s="407"/>
      <c r="K251" s="407"/>
      <c r="L251" s="407"/>
      <c r="M251" s="407"/>
      <c r="N251" s="407"/>
    </row>
    <row r="252" spans="1:14" ht="23.1" customHeight="1">
      <c r="A252" s="407"/>
      <c r="B252" s="407"/>
      <c r="C252" s="407"/>
      <c r="D252" s="407"/>
      <c r="E252" s="407"/>
      <c r="F252" s="407"/>
      <c r="G252" s="407"/>
      <c r="H252" s="407"/>
      <c r="I252" s="407"/>
      <c r="J252" s="407"/>
      <c r="K252" s="407"/>
      <c r="L252" s="407"/>
      <c r="M252" s="407"/>
      <c r="N252" s="407"/>
    </row>
    <row r="253" spans="1:14" ht="23.1" customHeight="1">
      <c r="A253" s="407"/>
      <c r="B253" s="407"/>
      <c r="C253" s="407"/>
      <c r="D253" s="407"/>
      <c r="E253" s="407"/>
      <c r="F253" s="407"/>
      <c r="G253" s="407"/>
      <c r="H253" s="407"/>
      <c r="I253" s="407"/>
      <c r="J253" s="407"/>
      <c r="K253" s="407"/>
      <c r="L253" s="407"/>
      <c r="M253" s="407"/>
      <c r="N253" s="407"/>
    </row>
    <row r="254" spans="1:14" ht="23.1" customHeight="1">
      <c r="A254" s="407"/>
      <c r="B254" s="407"/>
      <c r="C254" s="407"/>
      <c r="D254" s="407"/>
      <c r="E254" s="407"/>
      <c r="F254" s="407"/>
      <c r="G254" s="407"/>
      <c r="H254" s="407"/>
      <c r="I254" s="407"/>
      <c r="J254" s="407"/>
      <c r="K254" s="407"/>
      <c r="L254" s="407"/>
      <c r="M254" s="407"/>
      <c r="N254" s="407"/>
    </row>
    <row r="255" spans="1:14" ht="23.1" customHeight="1">
      <c r="A255" s="407"/>
      <c r="B255" s="407"/>
      <c r="C255" s="407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</row>
    <row r="256" spans="1:14" ht="23.1" customHeight="1">
      <c r="A256" s="407"/>
      <c r="B256" s="407"/>
      <c r="C256" s="407"/>
      <c r="D256" s="407"/>
      <c r="E256" s="407"/>
      <c r="F256" s="407"/>
      <c r="G256" s="407"/>
      <c r="H256" s="407"/>
      <c r="I256" s="407"/>
      <c r="J256" s="407"/>
      <c r="K256" s="407"/>
      <c r="L256" s="407"/>
      <c r="M256" s="407"/>
      <c r="N256" s="407"/>
    </row>
    <row r="257" spans="1:14" ht="23.1" customHeight="1">
      <c r="A257" s="407"/>
      <c r="B257" s="407"/>
      <c r="C257" s="407"/>
      <c r="D257" s="407"/>
      <c r="E257" s="407"/>
      <c r="F257" s="407"/>
      <c r="G257" s="407"/>
      <c r="H257" s="407"/>
      <c r="I257" s="407"/>
      <c r="J257" s="407"/>
      <c r="K257" s="407"/>
      <c r="L257" s="407"/>
      <c r="M257" s="407"/>
      <c r="N257" s="407"/>
    </row>
    <row r="258" spans="1:14" ht="23.1" customHeight="1">
      <c r="A258" s="407"/>
      <c r="B258" s="407"/>
      <c r="C258" s="407"/>
      <c r="D258" s="407"/>
      <c r="E258" s="407"/>
      <c r="F258" s="407"/>
      <c r="G258" s="407"/>
      <c r="H258" s="407"/>
      <c r="I258" s="407"/>
      <c r="J258" s="407"/>
      <c r="K258" s="407"/>
      <c r="L258" s="407"/>
      <c r="M258" s="407"/>
      <c r="N258" s="407"/>
    </row>
    <row r="259" spans="1:14" ht="23.1" customHeight="1">
      <c r="A259" s="407"/>
      <c r="B259" s="407"/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</row>
    <row r="260" spans="1:14" ht="23.1" customHeight="1">
      <c r="A260" s="407"/>
      <c r="B260" s="407"/>
      <c r="C260" s="407"/>
      <c r="D260" s="407"/>
      <c r="E260" s="407"/>
      <c r="F260" s="407"/>
      <c r="G260" s="407"/>
      <c r="H260" s="407"/>
      <c r="I260" s="407"/>
      <c r="J260" s="407"/>
      <c r="K260" s="407"/>
      <c r="L260" s="407"/>
      <c r="M260" s="407"/>
      <c r="N260" s="407"/>
    </row>
    <row r="261" spans="1:14" ht="23.1" customHeight="1">
      <c r="A261" s="407"/>
      <c r="B261" s="407"/>
      <c r="C261" s="407"/>
      <c r="D261" s="407"/>
      <c r="E261" s="407"/>
      <c r="F261" s="407"/>
      <c r="G261" s="407"/>
      <c r="H261" s="407"/>
      <c r="I261" s="407"/>
      <c r="J261" s="407"/>
      <c r="K261" s="407"/>
      <c r="L261" s="407"/>
      <c r="M261" s="407"/>
      <c r="N261" s="407"/>
    </row>
    <row r="262" spans="1:14" ht="23.1" customHeight="1">
      <c r="A262" s="407"/>
      <c r="B262" s="407"/>
      <c r="C262" s="407"/>
      <c r="D262" s="407"/>
      <c r="E262" s="407"/>
      <c r="F262" s="407"/>
      <c r="G262" s="407"/>
      <c r="H262" s="407"/>
      <c r="I262" s="407"/>
      <c r="J262" s="407"/>
      <c r="K262" s="407"/>
      <c r="L262" s="407"/>
      <c r="M262" s="407"/>
      <c r="N262" s="407"/>
    </row>
    <row r="263" spans="1:14" ht="23.1" customHeight="1">
      <c r="A263" s="407"/>
      <c r="B263" s="407"/>
      <c r="C263" s="407"/>
      <c r="D263" s="407"/>
      <c r="E263" s="407"/>
      <c r="F263" s="407"/>
      <c r="G263" s="407"/>
      <c r="H263" s="407"/>
      <c r="I263" s="407"/>
      <c r="J263" s="407"/>
      <c r="K263" s="407"/>
      <c r="L263" s="407"/>
      <c r="M263" s="407"/>
      <c r="N263" s="407"/>
    </row>
    <row r="264" spans="1:14" ht="23.1" customHeight="1">
      <c r="A264" s="407"/>
      <c r="B264" s="407"/>
      <c r="C264" s="407"/>
      <c r="D264" s="407"/>
      <c r="E264" s="407"/>
      <c r="F264" s="407"/>
      <c r="G264" s="407"/>
      <c r="H264" s="407"/>
      <c r="I264" s="407"/>
      <c r="J264" s="407"/>
      <c r="K264" s="407"/>
      <c r="L264" s="407"/>
      <c r="M264" s="407"/>
      <c r="N264" s="407"/>
    </row>
    <row r="265" spans="1:14" ht="23.1" customHeight="1">
      <c r="A265" s="407"/>
      <c r="B265" s="407"/>
      <c r="C265" s="407"/>
      <c r="D265" s="407"/>
      <c r="E265" s="407"/>
      <c r="F265" s="407"/>
      <c r="G265" s="407"/>
      <c r="H265" s="407"/>
      <c r="I265" s="407"/>
      <c r="J265" s="407"/>
      <c r="K265" s="407"/>
      <c r="L265" s="407"/>
      <c r="M265" s="407"/>
      <c r="N265" s="407"/>
    </row>
    <row r="266" spans="1:14" ht="23.1" customHeight="1">
      <c r="A266" s="407"/>
      <c r="B266" s="407"/>
      <c r="C266" s="407"/>
      <c r="D266" s="407"/>
      <c r="E266" s="407"/>
      <c r="F266" s="407"/>
      <c r="G266" s="407"/>
      <c r="H266" s="407"/>
      <c r="I266" s="407"/>
      <c r="J266" s="407"/>
      <c r="K266" s="407"/>
      <c r="L266" s="407"/>
      <c r="M266" s="407"/>
      <c r="N266" s="407"/>
    </row>
    <row r="267" spans="1:14" ht="23.1" customHeight="1">
      <c r="A267" s="407"/>
      <c r="B267" s="407"/>
      <c r="C267" s="407"/>
      <c r="D267" s="407"/>
      <c r="E267" s="407"/>
      <c r="F267" s="407"/>
      <c r="G267" s="407"/>
      <c r="H267" s="407"/>
      <c r="I267" s="407"/>
      <c r="J267" s="407"/>
      <c r="K267" s="407"/>
      <c r="L267" s="407"/>
      <c r="M267" s="407"/>
      <c r="N267" s="407"/>
    </row>
    <row r="268" spans="1:14" ht="23.1" customHeight="1">
      <c r="A268" s="407"/>
      <c r="B268" s="407"/>
      <c r="C268" s="407"/>
      <c r="D268" s="407"/>
      <c r="E268" s="407"/>
      <c r="F268" s="407"/>
      <c r="G268" s="407"/>
      <c r="H268" s="407"/>
      <c r="I268" s="407"/>
      <c r="J268" s="407"/>
      <c r="K268" s="407"/>
      <c r="L268" s="407"/>
      <c r="M268" s="407"/>
      <c r="N268" s="407"/>
    </row>
    <row r="269" spans="1:14" ht="23.1" customHeight="1">
      <c r="A269" s="407"/>
      <c r="B269" s="407"/>
      <c r="C269" s="407"/>
      <c r="D269" s="407"/>
      <c r="E269" s="407"/>
      <c r="F269" s="407"/>
      <c r="G269" s="407"/>
      <c r="H269" s="407"/>
      <c r="I269" s="407"/>
      <c r="J269" s="407"/>
      <c r="K269" s="407"/>
      <c r="L269" s="407"/>
      <c r="M269" s="407"/>
      <c r="N269" s="407"/>
    </row>
    <row r="270" spans="1:14" ht="23.1" customHeight="1">
      <c r="A270" s="407"/>
      <c r="B270" s="407"/>
      <c r="C270" s="407"/>
      <c r="D270" s="407"/>
      <c r="E270" s="407"/>
      <c r="F270" s="407"/>
      <c r="G270" s="407"/>
      <c r="H270" s="407"/>
      <c r="I270" s="407"/>
      <c r="J270" s="407"/>
      <c r="K270" s="407"/>
      <c r="L270" s="407"/>
      <c r="M270" s="407"/>
      <c r="N270" s="407"/>
    </row>
    <row r="271" spans="1:14" ht="23.1" customHeight="1">
      <c r="A271" s="407"/>
      <c r="B271" s="407"/>
      <c r="C271" s="407"/>
      <c r="D271" s="407"/>
      <c r="E271" s="407"/>
      <c r="F271" s="407"/>
      <c r="G271" s="407"/>
      <c r="H271" s="407"/>
      <c r="I271" s="407"/>
      <c r="J271" s="407"/>
      <c r="K271" s="407"/>
      <c r="L271" s="407"/>
      <c r="M271" s="407"/>
      <c r="N271" s="407"/>
    </row>
    <row r="272" spans="1:14" ht="23.1" customHeight="1">
      <c r="A272" s="407"/>
      <c r="B272" s="407"/>
      <c r="C272" s="407"/>
      <c r="D272" s="407"/>
      <c r="E272" s="407"/>
      <c r="F272" s="407"/>
      <c r="G272" s="407"/>
      <c r="H272" s="407"/>
      <c r="I272" s="407"/>
      <c r="J272" s="407"/>
      <c r="K272" s="407"/>
      <c r="L272" s="407"/>
      <c r="M272" s="407"/>
      <c r="N272" s="407"/>
    </row>
    <row r="273" spans="1:14" ht="23.1" customHeight="1">
      <c r="A273" s="407"/>
      <c r="B273" s="407"/>
      <c r="C273" s="407"/>
      <c r="D273" s="407"/>
      <c r="E273" s="407"/>
      <c r="F273" s="407"/>
      <c r="G273" s="407"/>
      <c r="H273" s="407"/>
      <c r="I273" s="407"/>
      <c r="J273" s="407"/>
      <c r="K273" s="407"/>
      <c r="L273" s="407"/>
      <c r="M273" s="407"/>
      <c r="N273" s="407"/>
    </row>
    <row r="274" spans="1:14" ht="23.1" customHeight="1">
      <c r="A274" s="407"/>
      <c r="B274" s="407"/>
      <c r="C274" s="407"/>
      <c r="D274" s="407"/>
      <c r="E274" s="407"/>
      <c r="F274" s="407"/>
      <c r="G274" s="407"/>
      <c r="H274" s="407"/>
      <c r="I274" s="407"/>
      <c r="J274" s="407"/>
      <c r="K274" s="407"/>
      <c r="L274" s="407"/>
      <c r="M274" s="407"/>
      <c r="N274" s="407"/>
    </row>
    <row r="275" spans="1:14" ht="23.1" customHeight="1">
      <c r="A275" s="407"/>
      <c r="B275" s="407"/>
      <c r="C275" s="407"/>
      <c r="D275" s="407"/>
      <c r="E275" s="407"/>
      <c r="F275" s="407"/>
      <c r="G275" s="407"/>
      <c r="H275" s="407"/>
      <c r="I275" s="407"/>
      <c r="J275" s="407"/>
      <c r="K275" s="407"/>
      <c r="L275" s="407"/>
      <c r="M275" s="407"/>
      <c r="N275" s="407"/>
    </row>
    <row r="276" spans="1:14" ht="23.1" customHeight="1">
      <c r="A276" s="407"/>
      <c r="B276" s="407"/>
      <c r="C276" s="407"/>
      <c r="D276" s="407"/>
      <c r="E276" s="407"/>
      <c r="F276" s="407"/>
      <c r="G276" s="407"/>
      <c r="H276" s="407"/>
      <c r="I276" s="407"/>
      <c r="J276" s="407"/>
      <c r="K276" s="407"/>
      <c r="L276" s="407"/>
      <c r="M276" s="407"/>
      <c r="N276" s="407"/>
    </row>
    <row r="277" spans="1:14" ht="23.1" customHeight="1">
      <c r="A277" s="407"/>
      <c r="B277" s="407"/>
      <c r="C277" s="407"/>
      <c r="D277" s="407"/>
      <c r="E277" s="407"/>
      <c r="F277" s="407"/>
      <c r="G277" s="407"/>
      <c r="H277" s="407"/>
      <c r="I277" s="407"/>
      <c r="J277" s="407"/>
      <c r="K277" s="407"/>
      <c r="L277" s="407"/>
      <c r="M277" s="407"/>
      <c r="N277" s="407"/>
    </row>
    <row r="278" spans="1:14" ht="23.1" customHeight="1">
      <c r="A278" s="407"/>
      <c r="B278" s="407"/>
      <c r="C278" s="407"/>
      <c r="D278" s="407"/>
      <c r="E278" s="407"/>
      <c r="F278" s="407"/>
      <c r="G278" s="407"/>
      <c r="H278" s="407"/>
      <c r="I278" s="407"/>
      <c r="J278" s="407"/>
      <c r="K278" s="407"/>
      <c r="L278" s="407"/>
      <c r="M278" s="407"/>
      <c r="N278" s="407"/>
    </row>
    <row r="279" spans="1:14" ht="23.1" customHeight="1">
      <c r="A279" s="407"/>
      <c r="B279" s="407"/>
      <c r="C279" s="407"/>
      <c r="D279" s="407"/>
      <c r="E279" s="407"/>
      <c r="F279" s="407"/>
      <c r="G279" s="407"/>
      <c r="H279" s="407"/>
      <c r="I279" s="407"/>
      <c r="J279" s="407"/>
      <c r="K279" s="407"/>
      <c r="L279" s="407"/>
      <c r="M279" s="407"/>
      <c r="N279" s="407"/>
    </row>
    <row r="280" spans="1:14" ht="23.1" customHeight="1">
      <c r="A280" s="407"/>
      <c r="B280" s="407"/>
      <c r="C280" s="407"/>
      <c r="D280" s="407"/>
      <c r="E280" s="407"/>
      <c r="F280" s="407"/>
      <c r="G280" s="407"/>
      <c r="H280" s="407"/>
      <c r="I280" s="407"/>
      <c r="J280" s="407"/>
      <c r="K280" s="407"/>
      <c r="L280" s="407"/>
      <c r="M280" s="407"/>
      <c r="N280" s="407"/>
    </row>
    <row r="281" spans="1:14" ht="23.1" customHeight="1">
      <c r="A281" s="407"/>
      <c r="B281" s="407"/>
      <c r="C281" s="407"/>
      <c r="D281" s="407"/>
      <c r="E281" s="407"/>
      <c r="F281" s="407"/>
      <c r="G281" s="407"/>
      <c r="H281" s="407"/>
      <c r="I281" s="407"/>
      <c r="J281" s="407"/>
      <c r="K281" s="407"/>
      <c r="L281" s="407"/>
      <c r="M281" s="407"/>
      <c r="N281" s="407"/>
    </row>
    <row r="282" spans="1:14" ht="23.1" customHeight="1">
      <c r="A282" s="407"/>
      <c r="B282" s="407"/>
      <c r="C282" s="407"/>
      <c r="D282" s="407"/>
      <c r="E282" s="407"/>
      <c r="F282" s="407"/>
      <c r="G282" s="407"/>
      <c r="H282" s="407"/>
      <c r="I282" s="407"/>
      <c r="J282" s="407"/>
      <c r="K282" s="407"/>
      <c r="L282" s="407"/>
      <c r="M282" s="407"/>
      <c r="N282" s="407"/>
    </row>
    <row r="283" spans="1:14" ht="23.1" customHeight="1">
      <c r="A283" s="407"/>
      <c r="B283" s="407"/>
      <c r="C283" s="407"/>
      <c r="D283" s="407"/>
      <c r="E283" s="407"/>
      <c r="F283" s="407"/>
      <c r="G283" s="407"/>
      <c r="H283" s="407"/>
      <c r="I283" s="407"/>
      <c r="J283" s="407"/>
      <c r="K283" s="407"/>
      <c r="L283" s="407"/>
      <c r="M283" s="407"/>
      <c r="N283" s="407"/>
    </row>
    <row r="284" spans="1:14" ht="23.1" customHeight="1">
      <c r="A284" s="407"/>
      <c r="B284" s="407"/>
      <c r="C284" s="407"/>
      <c r="D284" s="407"/>
      <c r="E284" s="407"/>
      <c r="F284" s="407"/>
      <c r="G284" s="407"/>
      <c r="H284" s="407"/>
      <c r="I284" s="407"/>
      <c r="J284" s="407"/>
      <c r="K284" s="407"/>
      <c r="L284" s="407"/>
      <c r="M284" s="407"/>
      <c r="N284" s="407"/>
    </row>
    <row r="285" spans="1:14" ht="23.1" customHeight="1">
      <c r="A285" s="407"/>
      <c r="B285" s="407"/>
      <c r="C285" s="407"/>
      <c r="D285" s="407"/>
      <c r="E285" s="407"/>
      <c r="F285" s="407"/>
      <c r="G285" s="407"/>
      <c r="H285" s="407"/>
      <c r="I285" s="407"/>
      <c r="J285" s="407"/>
      <c r="K285" s="407"/>
      <c r="L285" s="407"/>
      <c r="M285" s="407"/>
      <c r="N285" s="407"/>
    </row>
    <row r="286" spans="1:14" ht="23.1" customHeight="1">
      <c r="A286" s="407"/>
      <c r="B286" s="407"/>
      <c r="C286" s="407"/>
      <c r="D286" s="407"/>
      <c r="E286" s="407"/>
      <c r="F286" s="407"/>
      <c r="G286" s="407"/>
      <c r="H286" s="407"/>
      <c r="I286" s="407"/>
      <c r="J286" s="407"/>
      <c r="K286" s="407"/>
      <c r="L286" s="407"/>
      <c r="M286" s="407"/>
      <c r="N286" s="407"/>
    </row>
    <row r="287" spans="1:14" ht="23.1" customHeight="1">
      <c r="A287" s="407"/>
      <c r="B287" s="407"/>
      <c r="C287" s="407"/>
      <c r="D287" s="407"/>
      <c r="E287" s="407"/>
      <c r="F287" s="407"/>
      <c r="G287" s="407"/>
      <c r="H287" s="407"/>
      <c r="I287" s="407"/>
      <c r="J287" s="407"/>
      <c r="K287" s="407"/>
      <c r="L287" s="407"/>
      <c r="M287" s="407"/>
      <c r="N287" s="407"/>
    </row>
    <row r="288" spans="1:14" ht="23.1" customHeight="1">
      <c r="A288" s="407"/>
      <c r="B288" s="407"/>
      <c r="C288" s="407"/>
      <c r="D288" s="407"/>
      <c r="E288" s="407"/>
      <c r="F288" s="407"/>
      <c r="G288" s="407"/>
      <c r="H288" s="407"/>
      <c r="I288" s="407"/>
      <c r="J288" s="407"/>
      <c r="K288" s="407"/>
      <c r="L288" s="407"/>
      <c r="M288" s="407"/>
      <c r="N288" s="407"/>
    </row>
    <row r="289" spans="1:14" ht="23.1" customHeight="1">
      <c r="A289" s="407"/>
      <c r="B289" s="407"/>
      <c r="C289" s="407"/>
      <c r="D289" s="407"/>
      <c r="E289" s="407"/>
      <c r="F289" s="407"/>
      <c r="G289" s="407"/>
      <c r="H289" s="407"/>
      <c r="I289" s="407"/>
      <c r="J289" s="407"/>
      <c r="K289" s="407"/>
      <c r="L289" s="407"/>
      <c r="M289" s="407"/>
      <c r="N289" s="407"/>
    </row>
    <row r="290" spans="1:14" ht="23.1" customHeight="1">
      <c r="A290" s="407"/>
      <c r="B290" s="407"/>
      <c r="C290" s="407"/>
      <c r="D290" s="407"/>
      <c r="E290" s="407"/>
      <c r="F290" s="407"/>
      <c r="G290" s="407"/>
      <c r="H290" s="407"/>
      <c r="I290" s="407"/>
      <c r="J290" s="407"/>
      <c r="K290" s="407"/>
      <c r="L290" s="407"/>
      <c r="M290" s="407"/>
      <c r="N290" s="407"/>
    </row>
    <row r="291" spans="1:14" ht="23.1" customHeight="1">
      <c r="A291" s="407"/>
      <c r="B291" s="407"/>
      <c r="C291" s="407"/>
      <c r="D291" s="407"/>
      <c r="E291" s="407"/>
      <c r="F291" s="407"/>
      <c r="G291" s="407"/>
      <c r="H291" s="407"/>
      <c r="I291" s="407"/>
      <c r="J291" s="407"/>
      <c r="K291" s="407"/>
      <c r="L291" s="407"/>
      <c r="M291" s="407"/>
      <c r="N291" s="407"/>
    </row>
    <row r="292" spans="1:14" ht="23.1" customHeight="1">
      <c r="A292" s="407"/>
      <c r="B292" s="407"/>
      <c r="C292" s="407"/>
      <c r="D292" s="407"/>
      <c r="E292" s="407"/>
      <c r="F292" s="407"/>
      <c r="G292" s="407"/>
      <c r="H292" s="407"/>
      <c r="I292" s="407"/>
      <c r="J292" s="407"/>
      <c r="K292" s="407"/>
      <c r="L292" s="407"/>
      <c r="M292" s="407"/>
      <c r="N292" s="407"/>
    </row>
    <row r="293" spans="1:14" ht="23.1" customHeight="1">
      <c r="A293" s="407"/>
      <c r="B293" s="407"/>
      <c r="C293" s="407"/>
      <c r="D293" s="407"/>
      <c r="E293" s="407"/>
      <c r="F293" s="407"/>
      <c r="G293" s="407"/>
      <c r="H293" s="407"/>
      <c r="I293" s="407"/>
      <c r="J293" s="407"/>
      <c r="K293" s="407"/>
      <c r="L293" s="407"/>
      <c r="M293" s="407"/>
      <c r="N293" s="407"/>
    </row>
    <row r="294" spans="1:14" ht="23.1" customHeight="1">
      <c r="A294" s="407"/>
      <c r="B294" s="407"/>
      <c r="C294" s="407"/>
      <c r="D294" s="407"/>
      <c r="E294" s="407"/>
      <c r="F294" s="407"/>
      <c r="G294" s="407"/>
      <c r="H294" s="407"/>
      <c r="I294" s="407"/>
      <c r="J294" s="407"/>
      <c r="K294" s="407"/>
      <c r="L294" s="407"/>
      <c r="M294" s="407"/>
      <c r="N294" s="407"/>
    </row>
    <row r="295" spans="1:14" ht="23.1" customHeight="1">
      <c r="A295" s="407"/>
      <c r="B295" s="407"/>
      <c r="C295" s="407"/>
      <c r="D295" s="407"/>
      <c r="E295" s="407"/>
      <c r="F295" s="407"/>
      <c r="G295" s="407"/>
      <c r="H295" s="407"/>
      <c r="I295" s="407"/>
      <c r="J295" s="407"/>
      <c r="K295" s="407"/>
      <c r="L295" s="407"/>
      <c r="M295" s="407"/>
      <c r="N295" s="407"/>
    </row>
    <row r="296" spans="1:14" ht="23.1" customHeight="1">
      <c r="A296" s="407"/>
      <c r="B296" s="407"/>
      <c r="C296" s="407"/>
      <c r="D296" s="407"/>
      <c r="E296" s="407"/>
      <c r="F296" s="407"/>
      <c r="G296" s="407"/>
      <c r="H296" s="407"/>
      <c r="I296" s="407"/>
      <c r="J296" s="407"/>
      <c r="K296" s="407"/>
      <c r="L296" s="407"/>
      <c r="M296" s="407"/>
      <c r="N296" s="407"/>
    </row>
    <row r="297" spans="1:14" ht="23.1" customHeight="1">
      <c r="A297" s="407"/>
      <c r="B297" s="407"/>
      <c r="C297" s="407"/>
      <c r="D297" s="407"/>
      <c r="E297" s="407"/>
      <c r="F297" s="407"/>
      <c r="G297" s="407"/>
      <c r="H297" s="407"/>
      <c r="I297" s="407"/>
      <c r="J297" s="407"/>
      <c r="K297" s="407"/>
      <c r="L297" s="407"/>
      <c r="M297" s="407"/>
      <c r="N297" s="407"/>
    </row>
    <row r="298" spans="1:14" ht="23.1" customHeight="1">
      <c r="A298" s="407"/>
      <c r="B298" s="407"/>
      <c r="C298" s="407"/>
      <c r="D298" s="407"/>
      <c r="E298" s="407"/>
      <c r="F298" s="407"/>
      <c r="G298" s="407"/>
      <c r="H298" s="407"/>
      <c r="I298" s="407"/>
      <c r="J298" s="407"/>
      <c r="K298" s="407"/>
      <c r="L298" s="407"/>
      <c r="M298" s="407"/>
      <c r="N298" s="407"/>
    </row>
    <row r="299" spans="1:14" ht="23.1" customHeight="1">
      <c r="A299" s="407"/>
      <c r="B299" s="407"/>
      <c r="C299" s="407"/>
      <c r="D299" s="407"/>
      <c r="E299" s="407"/>
      <c r="F299" s="407"/>
      <c r="G299" s="407"/>
      <c r="H299" s="407"/>
      <c r="I299" s="407"/>
      <c r="J299" s="407"/>
      <c r="K299" s="407"/>
      <c r="L299" s="407"/>
      <c r="M299" s="407"/>
      <c r="N299" s="407"/>
    </row>
    <row r="300" spans="1:14" ht="23.1" customHeight="1">
      <c r="A300" s="407"/>
      <c r="B300" s="407"/>
      <c r="C300" s="407"/>
      <c r="D300" s="407"/>
      <c r="E300" s="407"/>
      <c r="F300" s="407"/>
      <c r="G300" s="407"/>
      <c r="H300" s="407"/>
      <c r="I300" s="407"/>
      <c r="J300" s="407"/>
      <c r="K300" s="407"/>
      <c r="L300" s="407"/>
      <c r="M300" s="407"/>
      <c r="N300" s="407"/>
    </row>
    <row r="301" spans="1:14" ht="23.1" customHeight="1">
      <c r="A301" s="407"/>
      <c r="B301" s="407"/>
      <c r="C301" s="407"/>
      <c r="D301" s="407"/>
      <c r="E301" s="407"/>
      <c r="F301" s="407"/>
      <c r="G301" s="407"/>
      <c r="H301" s="407"/>
      <c r="I301" s="407"/>
      <c r="J301" s="407"/>
      <c r="K301" s="407"/>
      <c r="L301" s="407"/>
      <c r="M301" s="407"/>
      <c r="N301" s="407"/>
    </row>
    <row r="302" spans="1:14" ht="23.1" customHeight="1">
      <c r="A302" s="407"/>
      <c r="B302" s="407"/>
      <c r="C302" s="407"/>
      <c r="D302" s="407"/>
      <c r="E302" s="407"/>
      <c r="F302" s="407"/>
      <c r="G302" s="407"/>
      <c r="H302" s="407"/>
      <c r="I302" s="407"/>
      <c r="J302" s="407"/>
      <c r="K302" s="407"/>
      <c r="L302" s="407"/>
      <c r="M302" s="407"/>
      <c r="N302" s="407"/>
    </row>
    <row r="303" spans="1:14" ht="23.1" customHeight="1">
      <c r="A303" s="407"/>
      <c r="B303" s="407"/>
      <c r="C303" s="407"/>
      <c r="D303" s="407"/>
      <c r="E303" s="407"/>
      <c r="F303" s="407"/>
      <c r="G303" s="407"/>
      <c r="H303" s="407"/>
      <c r="I303" s="407"/>
      <c r="J303" s="407"/>
      <c r="K303" s="407"/>
      <c r="L303" s="407"/>
      <c r="M303" s="407"/>
      <c r="N303" s="407"/>
    </row>
    <row r="304" spans="1:14" ht="23.1" customHeight="1">
      <c r="A304" s="407"/>
      <c r="B304" s="407"/>
      <c r="C304" s="407"/>
      <c r="D304" s="407"/>
      <c r="E304" s="407"/>
      <c r="F304" s="407"/>
      <c r="G304" s="407"/>
      <c r="H304" s="407"/>
      <c r="I304" s="407"/>
      <c r="J304" s="407"/>
      <c r="K304" s="407"/>
      <c r="L304" s="407"/>
      <c r="M304" s="407"/>
      <c r="N304" s="407"/>
    </row>
    <row r="305" spans="1:14" ht="23.1" customHeight="1">
      <c r="A305" s="407"/>
      <c r="B305" s="407"/>
      <c r="C305" s="407"/>
      <c r="D305" s="407"/>
      <c r="E305" s="407"/>
      <c r="F305" s="407"/>
      <c r="G305" s="407"/>
      <c r="H305" s="407"/>
      <c r="I305" s="407"/>
      <c r="J305" s="407"/>
      <c r="K305" s="407"/>
      <c r="L305" s="407"/>
      <c r="M305" s="407"/>
      <c r="N305" s="407"/>
    </row>
    <row r="306" spans="1:14" ht="23.1" customHeight="1">
      <c r="A306" s="407"/>
      <c r="B306" s="407"/>
      <c r="C306" s="407"/>
      <c r="D306" s="407"/>
      <c r="E306" s="407"/>
      <c r="F306" s="407"/>
      <c r="G306" s="407"/>
      <c r="H306" s="407"/>
      <c r="I306" s="407"/>
      <c r="J306" s="407"/>
      <c r="K306" s="407"/>
      <c r="L306" s="407"/>
      <c r="M306" s="407"/>
      <c r="N306" s="407"/>
    </row>
    <row r="307" spans="1:14" ht="23.1" customHeight="1">
      <c r="A307" s="407"/>
      <c r="B307" s="407"/>
      <c r="C307" s="407"/>
      <c r="D307" s="407"/>
      <c r="E307" s="407"/>
      <c r="F307" s="407"/>
      <c r="G307" s="407"/>
      <c r="H307" s="407"/>
      <c r="I307" s="407"/>
      <c r="J307" s="407"/>
      <c r="K307" s="407"/>
      <c r="L307" s="407"/>
      <c r="M307" s="407"/>
      <c r="N307" s="407"/>
    </row>
    <row r="308" spans="1:14" ht="23.1" customHeight="1">
      <c r="A308" s="407"/>
      <c r="B308" s="407"/>
      <c r="C308" s="407"/>
      <c r="D308" s="407"/>
      <c r="E308" s="407"/>
      <c r="F308" s="407"/>
      <c r="G308" s="407"/>
      <c r="H308" s="407"/>
      <c r="I308" s="407"/>
      <c r="J308" s="407"/>
      <c r="K308" s="407"/>
      <c r="L308" s="407"/>
      <c r="M308" s="407"/>
      <c r="N308" s="407"/>
    </row>
    <row r="309" spans="1:14" ht="23.1" customHeight="1">
      <c r="A309" s="407"/>
      <c r="B309" s="407"/>
      <c r="C309" s="407"/>
      <c r="D309" s="407"/>
      <c r="E309" s="407"/>
      <c r="F309" s="407"/>
      <c r="G309" s="407"/>
      <c r="H309" s="407"/>
      <c r="I309" s="407"/>
      <c r="J309" s="407"/>
      <c r="K309" s="407"/>
      <c r="L309" s="407"/>
      <c r="M309" s="407"/>
      <c r="N309" s="407"/>
    </row>
    <row r="310" spans="1:14" ht="23.1" customHeight="1">
      <c r="A310" s="407"/>
      <c r="B310" s="407"/>
      <c r="C310" s="407"/>
      <c r="D310" s="407"/>
      <c r="E310" s="407"/>
      <c r="F310" s="407"/>
      <c r="G310" s="407"/>
      <c r="H310" s="407"/>
      <c r="I310" s="407"/>
      <c r="J310" s="407"/>
      <c r="K310" s="407"/>
      <c r="L310" s="407"/>
      <c r="M310" s="407"/>
      <c r="N310" s="407"/>
    </row>
    <row r="311" spans="1:14" ht="23.1" customHeight="1">
      <c r="A311" s="407"/>
      <c r="B311" s="407"/>
      <c r="C311" s="407"/>
      <c r="D311" s="407"/>
      <c r="E311" s="407"/>
      <c r="F311" s="407"/>
      <c r="G311" s="407"/>
      <c r="H311" s="407"/>
      <c r="I311" s="407"/>
      <c r="J311" s="407"/>
      <c r="K311" s="407"/>
      <c r="L311" s="407"/>
      <c r="M311" s="407"/>
      <c r="N311" s="407"/>
    </row>
    <row r="312" spans="1:14" ht="23.1" customHeight="1">
      <c r="A312" s="407"/>
      <c r="B312" s="407"/>
      <c r="C312" s="407"/>
      <c r="D312" s="407"/>
      <c r="E312" s="407"/>
      <c r="F312" s="407"/>
      <c r="G312" s="407"/>
      <c r="H312" s="407"/>
      <c r="I312" s="407"/>
      <c r="J312" s="407"/>
      <c r="K312" s="407"/>
      <c r="L312" s="407"/>
      <c r="M312" s="407"/>
      <c r="N312" s="407"/>
    </row>
    <row r="313" spans="1:14" ht="23.1" customHeight="1">
      <c r="A313" s="407"/>
      <c r="B313" s="407"/>
      <c r="C313" s="407"/>
      <c r="D313" s="407"/>
      <c r="E313" s="407"/>
      <c r="F313" s="407"/>
      <c r="G313" s="407"/>
      <c r="H313" s="407"/>
      <c r="I313" s="407"/>
      <c r="J313" s="407"/>
      <c r="K313" s="407"/>
      <c r="L313" s="407"/>
      <c r="M313" s="407"/>
      <c r="N313" s="407"/>
    </row>
    <row r="314" spans="1:14" ht="23.1" customHeight="1">
      <c r="A314" s="407"/>
      <c r="B314" s="407"/>
      <c r="C314" s="407"/>
      <c r="D314" s="407"/>
      <c r="E314" s="407"/>
      <c r="F314" s="407"/>
      <c r="G314" s="407"/>
      <c r="H314" s="407"/>
      <c r="I314" s="407"/>
      <c r="J314" s="407"/>
      <c r="K314" s="407"/>
      <c r="L314" s="407"/>
      <c r="M314" s="407"/>
      <c r="N314" s="407"/>
    </row>
    <row r="315" spans="1:14" ht="23.1" customHeight="1">
      <c r="A315" s="407"/>
      <c r="B315" s="407"/>
      <c r="C315" s="407"/>
      <c r="D315" s="407"/>
      <c r="E315" s="407"/>
      <c r="F315" s="407"/>
      <c r="G315" s="407"/>
      <c r="H315" s="407"/>
      <c r="I315" s="407"/>
      <c r="J315" s="407"/>
      <c r="K315" s="407"/>
      <c r="L315" s="407"/>
      <c r="M315" s="407"/>
      <c r="N315" s="407"/>
    </row>
    <row r="316" spans="1:14" ht="23.1" customHeight="1">
      <c r="A316" s="407"/>
      <c r="B316" s="407"/>
      <c r="C316" s="407"/>
      <c r="D316" s="407"/>
      <c r="E316" s="407"/>
      <c r="F316" s="407"/>
      <c r="G316" s="407"/>
      <c r="H316" s="407"/>
      <c r="I316" s="407"/>
      <c r="J316" s="407"/>
      <c r="K316" s="407"/>
      <c r="L316" s="407"/>
      <c r="M316" s="407"/>
      <c r="N316" s="407"/>
    </row>
    <row r="317" spans="1:14" ht="23.1" customHeight="1">
      <c r="A317" s="407"/>
      <c r="B317" s="407"/>
      <c r="C317" s="407"/>
      <c r="D317" s="407"/>
      <c r="E317" s="407"/>
      <c r="F317" s="407"/>
      <c r="G317" s="407"/>
      <c r="H317" s="407"/>
      <c r="I317" s="407"/>
      <c r="J317" s="407"/>
      <c r="K317" s="407"/>
      <c r="L317" s="407"/>
      <c r="M317" s="407"/>
      <c r="N317" s="407"/>
    </row>
    <row r="318" spans="1:14" ht="23.1" customHeight="1">
      <c r="A318" s="407"/>
      <c r="B318" s="407"/>
      <c r="C318" s="407"/>
      <c r="D318" s="407"/>
      <c r="E318" s="407"/>
      <c r="F318" s="407"/>
      <c r="G318" s="407"/>
      <c r="H318" s="407"/>
      <c r="I318" s="407"/>
      <c r="J318" s="407"/>
      <c r="K318" s="407"/>
      <c r="L318" s="407"/>
      <c r="M318" s="407"/>
      <c r="N318" s="407"/>
    </row>
    <row r="319" spans="1:14" ht="23.1" customHeight="1">
      <c r="A319" s="407"/>
      <c r="B319" s="407"/>
      <c r="C319" s="407"/>
      <c r="D319" s="407"/>
      <c r="E319" s="407"/>
      <c r="F319" s="407"/>
      <c r="G319" s="407"/>
      <c r="H319" s="407"/>
      <c r="I319" s="407"/>
      <c r="J319" s="407"/>
      <c r="K319" s="407"/>
      <c r="L319" s="407"/>
      <c r="M319" s="407"/>
      <c r="N319" s="407"/>
    </row>
    <row r="320" spans="1:14" ht="23.1" customHeight="1">
      <c r="A320" s="407"/>
      <c r="B320" s="407"/>
      <c r="C320" s="407"/>
      <c r="D320" s="407"/>
      <c r="E320" s="407"/>
      <c r="F320" s="407"/>
      <c r="G320" s="407"/>
      <c r="H320" s="407"/>
      <c r="I320" s="407"/>
      <c r="J320" s="407"/>
      <c r="K320" s="407"/>
      <c r="L320" s="407"/>
      <c r="M320" s="407"/>
      <c r="N320" s="407"/>
    </row>
    <row r="321" spans="1:14" ht="23.1" customHeight="1">
      <c r="A321" s="407"/>
      <c r="B321" s="407"/>
      <c r="C321" s="407"/>
      <c r="D321" s="407"/>
      <c r="E321" s="407"/>
      <c r="F321" s="407"/>
      <c r="G321" s="407"/>
      <c r="H321" s="407"/>
      <c r="I321" s="407"/>
      <c r="J321" s="407"/>
      <c r="K321" s="407"/>
      <c r="L321" s="407"/>
      <c r="M321" s="407"/>
      <c r="N321" s="407"/>
    </row>
    <row r="322" spans="1:14" ht="23.1" customHeight="1">
      <c r="A322" s="407"/>
      <c r="B322" s="407"/>
      <c r="C322" s="407"/>
      <c r="D322" s="407"/>
      <c r="E322" s="407"/>
      <c r="F322" s="407"/>
      <c r="G322" s="407"/>
      <c r="H322" s="407"/>
      <c r="I322" s="407"/>
      <c r="J322" s="407"/>
      <c r="K322" s="407"/>
      <c r="L322" s="407"/>
      <c r="M322" s="407"/>
      <c r="N322" s="407"/>
    </row>
    <row r="323" spans="1:14" ht="23.1" customHeight="1">
      <c r="A323" s="407"/>
      <c r="B323" s="407"/>
      <c r="C323" s="407"/>
      <c r="D323" s="407"/>
      <c r="E323" s="407"/>
      <c r="F323" s="407"/>
      <c r="G323" s="407"/>
      <c r="H323" s="407"/>
      <c r="I323" s="407"/>
      <c r="J323" s="407"/>
      <c r="K323" s="407"/>
      <c r="L323" s="407"/>
      <c r="M323" s="407"/>
      <c r="N323" s="407"/>
    </row>
    <row r="324" spans="1:14" ht="23.1" customHeight="1">
      <c r="A324" s="407"/>
      <c r="B324" s="407"/>
      <c r="C324" s="407"/>
      <c r="D324" s="407"/>
      <c r="E324" s="407"/>
      <c r="F324" s="407"/>
      <c r="G324" s="407"/>
      <c r="H324" s="407"/>
      <c r="I324" s="407"/>
      <c r="J324" s="407"/>
      <c r="K324" s="407"/>
      <c r="L324" s="407"/>
      <c r="M324" s="407"/>
      <c r="N324" s="407"/>
    </row>
    <row r="325" spans="1:14" ht="23.1" customHeight="1">
      <c r="A325" s="407"/>
      <c r="B325" s="407"/>
      <c r="C325" s="407"/>
      <c r="D325" s="407"/>
      <c r="E325" s="407"/>
      <c r="F325" s="407"/>
      <c r="G325" s="407"/>
      <c r="H325" s="407"/>
      <c r="I325" s="407"/>
      <c r="J325" s="407"/>
      <c r="K325" s="407"/>
      <c r="L325" s="407"/>
      <c r="M325" s="407"/>
      <c r="N325" s="407"/>
    </row>
    <row r="326" spans="1:14" ht="23.1" customHeight="1">
      <c r="A326" s="407"/>
      <c r="B326" s="407"/>
      <c r="C326" s="407"/>
      <c r="D326" s="407"/>
      <c r="E326" s="407"/>
      <c r="F326" s="407"/>
      <c r="G326" s="407"/>
      <c r="H326" s="407"/>
      <c r="I326" s="407"/>
      <c r="J326" s="407"/>
      <c r="K326" s="407"/>
      <c r="L326" s="407"/>
      <c r="M326" s="407"/>
      <c r="N326" s="407"/>
    </row>
    <row r="327" spans="1:14" ht="23.1" customHeight="1">
      <c r="A327" s="407"/>
      <c r="B327" s="407"/>
      <c r="C327" s="407"/>
      <c r="D327" s="407"/>
      <c r="E327" s="407"/>
      <c r="F327" s="407"/>
      <c r="G327" s="407"/>
      <c r="H327" s="407"/>
      <c r="I327" s="407"/>
      <c r="J327" s="407"/>
      <c r="K327" s="407"/>
      <c r="L327" s="407"/>
      <c r="M327" s="407"/>
      <c r="N327" s="407"/>
    </row>
    <row r="328" spans="1:14" ht="23.1" customHeight="1">
      <c r="A328" s="407"/>
      <c r="B328" s="407"/>
      <c r="C328" s="407"/>
      <c r="D328" s="407"/>
      <c r="E328" s="407"/>
      <c r="F328" s="407"/>
      <c r="G328" s="407"/>
      <c r="H328" s="407"/>
      <c r="I328" s="407"/>
      <c r="J328" s="407"/>
      <c r="K328" s="407"/>
      <c r="L328" s="407"/>
      <c r="M328" s="407"/>
      <c r="N328" s="407"/>
    </row>
    <row r="329" spans="1:14" ht="23.1" customHeight="1">
      <c r="A329" s="407"/>
      <c r="B329" s="407"/>
      <c r="C329" s="407"/>
      <c r="D329" s="407"/>
      <c r="E329" s="407"/>
      <c r="F329" s="407"/>
      <c r="G329" s="407"/>
      <c r="H329" s="407"/>
      <c r="I329" s="407"/>
      <c r="J329" s="407"/>
      <c r="K329" s="407"/>
      <c r="L329" s="407"/>
      <c r="M329" s="407"/>
      <c r="N329" s="407"/>
    </row>
    <row r="330" spans="1:14" ht="23.1" customHeight="1">
      <c r="A330" s="407"/>
      <c r="B330" s="407"/>
      <c r="C330" s="407"/>
      <c r="D330" s="407"/>
      <c r="E330" s="407"/>
      <c r="F330" s="407"/>
      <c r="G330" s="407"/>
      <c r="H330" s="407"/>
      <c r="I330" s="407"/>
      <c r="J330" s="407"/>
      <c r="K330" s="407"/>
      <c r="L330" s="407"/>
      <c r="M330" s="407"/>
      <c r="N330" s="407"/>
    </row>
    <row r="331" spans="1:14" ht="23.1" customHeight="1">
      <c r="A331" s="407"/>
      <c r="B331" s="407"/>
      <c r="C331" s="407"/>
      <c r="D331" s="407"/>
      <c r="E331" s="407"/>
      <c r="F331" s="407"/>
      <c r="G331" s="407"/>
      <c r="H331" s="407"/>
      <c r="I331" s="407"/>
      <c r="J331" s="407"/>
      <c r="K331" s="407"/>
      <c r="L331" s="407"/>
      <c r="M331" s="407"/>
      <c r="N331" s="407"/>
    </row>
    <row r="332" spans="1:14" ht="23.1" customHeight="1">
      <c r="A332" s="407"/>
      <c r="B332" s="407"/>
      <c r="C332" s="407"/>
      <c r="D332" s="407"/>
      <c r="E332" s="407"/>
      <c r="F332" s="407"/>
      <c r="G332" s="407"/>
      <c r="H332" s="407"/>
      <c r="I332" s="407"/>
      <c r="J332" s="407"/>
      <c r="K332" s="407"/>
      <c r="L332" s="407"/>
      <c r="M332" s="407"/>
      <c r="N332" s="407"/>
    </row>
    <row r="333" spans="1:14" ht="23.1" customHeight="1">
      <c r="A333" s="407"/>
      <c r="B333" s="407"/>
      <c r="C333" s="407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</row>
    <row r="334" spans="1:14" ht="23.1" customHeight="1">
      <c r="A334" s="407"/>
      <c r="B334" s="407"/>
      <c r="C334" s="407"/>
      <c r="D334" s="407"/>
      <c r="E334" s="407"/>
      <c r="F334" s="407"/>
      <c r="G334" s="407"/>
      <c r="H334" s="407"/>
      <c r="I334" s="407"/>
      <c r="J334" s="407"/>
      <c r="K334" s="407"/>
      <c r="L334" s="407"/>
      <c r="M334" s="407"/>
      <c r="N334" s="407"/>
    </row>
    <row r="335" spans="1:14" ht="23.1" customHeight="1">
      <c r="A335" s="407"/>
      <c r="B335" s="407"/>
      <c r="C335" s="407"/>
      <c r="D335" s="407"/>
      <c r="E335" s="407"/>
      <c r="F335" s="407"/>
      <c r="G335" s="407"/>
      <c r="H335" s="407"/>
      <c r="I335" s="407"/>
      <c r="J335" s="407"/>
      <c r="K335" s="407"/>
      <c r="L335" s="407"/>
      <c r="M335" s="407"/>
      <c r="N335" s="407"/>
    </row>
    <row r="336" spans="1:14" ht="23.1" customHeight="1">
      <c r="A336" s="407"/>
      <c r="B336" s="407"/>
      <c r="C336" s="407"/>
      <c r="D336" s="407"/>
      <c r="E336" s="407"/>
      <c r="F336" s="407"/>
      <c r="G336" s="407"/>
      <c r="H336" s="407"/>
      <c r="I336" s="407"/>
      <c r="J336" s="407"/>
      <c r="K336" s="407"/>
      <c r="L336" s="407"/>
      <c r="M336" s="407"/>
      <c r="N336" s="407"/>
    </row>
    <row r="337" spans="1:14" ht="23.1" customHeight="1">
      <c r="A337" s="407"/>
      <c r="B337" s="407"/>
      <c r="C337" s="407"/>
      <c r="D337" s="407"/>
      <c r="E337" s="407"/>
      <c r="F337" s="407"/>
      <c r="G337" s="407"/>
      <c r="H337" s="407"/>
      <c r="I337" s="407"/>
      <c r="J337" s="407"/>
      <c r="K337" s="407"/>
      <c r="L337" s="407"/>
      <c r="M337" s="407"/>
      <c r="N337" s="407"/>
    </row>
    <row r="338" spans="1:14" ht="23.1" customHeight="1">
      <c r="A338" s="407"/>
      <c r="B338" s="407"/>
      <c r="C338" s="407"/>
      <c r="D338" s="407"/>
      <c r="E338" s="407"/>
      <c r="F338" s="407"/>
      <c r="G338" s="407"/>
      <c r="H338" s="407"/>
      <c r="I338" s="407"/>
      <c r="J338" s="407"/>
      <c r="K338" s="407"/>
      <c r="L338" s="407"/>
      <c r="M338" s="407"/>
      <c r="N338" s="407"/>
    </row>
    <row r="339" spans="1:14" ht="23.1" customHeight="1">
      <c r="A339" s="407"/>
      <c r="B339" s="407"/>
      <c r="C339" s="407"/>
      <c r="D339" s="407"/>
      <c r="E339" s="407"/>
      <c r="F339" s="407"/>
      <c r="G339" s="407"/>
      <c r="H339" s="407"/>
      <c r="I339" s="407"/>
      <c r="J339" s="407"/>
      <c r="K339" s="407"/>
      <c r="L339" s="407"/>
      <c r="M339" s="407"/>
      <c r="N339" s="407"/>
    </row>
    <row r="340" spans="1:14" ht="23.1" customHeight="1">
      <c r="A340" s="407"/>
      <c r="B340" s="407"/>
      <c r="C340" s="407"/>
      <c r="D340" s="407"/>
      <c r="E340" s="407"/>
      <c r="F340" s="407"/>
      <c r="G340" s="407"/>
      <c r="H340" s="407"/>
      <c r="I340" s="407"/>
      <c r="J340" s="407"/>
      <c r="K340" s="407"/>
      <c r="L340" s="407"/>
      <c r="M340" s="407"/>
      <c r="N340" s="407"/>
    </row>
    <row r="341" spans="1:14" ht="23.1" customHeight="1">
      <c r="A341" s="407"/>
      <c r="B341" s="407"/>
      <c r="C341" s="407"/>
      <c r="D341" s="407"/>
      <c r="E341" s="407"/>
      <c r="F341" s="407"/>
      <c r="G341" s="407"/>
      <c r="H341" s="407"/>
      <c r="I341" s="407"/>
      <c r="J341" s="407"/>
      <c r="K341" s="407"/>
      <c r="L341" s="407"/>
      <c r="M341" s="407"/>
      <c r="N341" s="407"/>
    </row>
    <row r="342" spans="1:14" ht="23.1" customHeight="1">
      <c r="A342" s="407"/>
      <c r="B342" s="407"/>
      <c r="C342" s="407"/>
      <c r="D342" s="407"/>
      <c r="E342" s="407"/>
      <c r="F342" s="407"/>
      <c r="G342" s="407"/>
      <c r="H342" s="407"/>
      <c r="I342" s="407"/>
      <c r="J342" s="407"/>
      <c r="K342" s="407"/>
      <c r="L342" s="407"/>
      <c r="M342" s="407"/>
      <c r="N342" s="407"/>
    </row>
    <row r="343" spans="1:14" ht="23.1" customHeight="1">
      <c r="A343" s="407"/>
      <c r="B343" s="407"/>
      <c r="C343" s="407"/>
      <c r="D343" s="407"/>
      <c r="E343" s="407"/>
      <c r="F343" s="407"/>
      <c r="G343" s="407"/>
      <c r="H343" s="407"/>
      <c r="I343" s="407"/>
      <c r="J343" s="407"/>
      <c r="K343" s="407"/>
      <c r="L343" s="407"/>
      <c r="M343" s="407"/>
      <c r="N343" s="407"/>
    </row>
    <row r="344" spans="1:14" ht="23.1" customHeight="1">
      <c r="A344" s="407"/>
      <c r="B344" s="407"/>
      <c r="C344" s="407"/>
      <c r="D344" s="407"/>
      <c r="E344" s="407"/>
      <c r="F344" s="407"/>
      <c r="G344" s="407"/>
      <c r="H344" s="407"/>
      <c r="I344" s="407"/>
      <c r="J344" s="407"/>
      <c r="K344" s="407"/>
      <c r="L344" s="407"/>
      <c r="M344" s="407"/>
      <c r="N344" s="407"/>
    </row>
    <row r="345" spans="1:14" ht="23.1" customHeight="1">
      <c r="A345" s="407"/>
      <c r="B345" s="407"/>
      <c r="C345" s="407"/>
      <c r="D345" s="407"/>
      <c r="E345" s="407"/>
      <c r="F345" s="407"/>
      <c r="G345" s="407"/>
      <c r="H345" s="407"/>
      <c r="I345" s="407"/>
      <c r="J345" s="407"/>
      <c r="K345" s="407"/>
      <c r="L345" s="407"/>
      <c r="M345" s="407"/>
      <c r="N345" s="407"/>
    </row>
    <row r="346" spans="1:14" ht="23.1" customHeight="1">
      <c r="A346" s="407"/>
      <c r="B346" s="407"/>
      <c r="C346" s="407"/>
      <c r="D346" s="407"/>
      <c r="E346" s="407"/>
      <c r="F346" s="407"/>
      <c r="G346" s="407"/>
      <c r="H346" s="407"/>
      <c r="I346" s="407"/>
      <c r="J346" s="407"/>
      <c r="K346" s="407"/>
      <c r="L346" s="407"/>
      <c r="M346" s="407"/>
      <c r="N346" s="407"/>
    </row>
    <row r="347" spans="1:14" ht="23.1" customHeight="1">
      <c r="A347" s="407"/>
      <c r="B347" s="407"/>
      <c r="C347" s="407"/>
      <c r="D347" s="407"/>
      <c r="E347" s="407"/>
      <c r="F347" s="407"/>
      <c r="G347" s="407"/>
      <c r="H347" s="407"/>
      <c r="I347" s="407"/>
      <c r="J347" s="407"/>
      <c r="K347" s="407"/>
      <c r="L347" s="407"/>
      <c r="M347" s="407"/>
      <c r="N347" s="407"/>
    </row>
    <row r="348" spans="1:14" ht="23.1" customHeight="1">
      <c r="A348" s="407"/>
      <c r="B348" s="407"/>
      <c r="C348" s="407"/>
      <c r="D348" s="407"/>
      <c r="E348" s="407"/>
      <c r="F348" s="407"/>
      <c r="G348" s="407"/>
      <c r="H348" s="407"/>
      <c r="I348" s="407"/>
      <c r="J348" s="407"/>
      <c r="K348" s="407"/>
      <c r="L348" s="407"/>
      <c r="M348" s="407"/>
      <c r="N348" s="407"/>
    </row>
    <row r="349" spans="1:14" ht="23.1" customHeight="1">
      <c r="A349" s="407"/>
      <c r="B349" s="407"/>
      <c r="C349" s="407"/>
      <c r="D349" s="407"/>
      <c r="E349" s="407"/>
      <c r="F349" s="407"/>
      <c r="G349" s="407"/>
      <c r="H349" s="407"/>
      <c r="I349" s="407"/>
      <c r="J349" s="407"/>
      <c r="K349" s="407"/>
      <c r="L349" s="407"/>
      <c r="M349" s="407"/>
      <c r="N349" s="407"/>
    </row>
    <row r="350" spans="1:14" ht="23.1" customHeight="1">
      <c r="A350" s="407"/>
      <c r="B350" s="407"/>
      <c r="C350" s="407"/>
      <c r="D350" s="407"/>
      <c r="E350" s="407"/>
      <c r="F350" s="407"/>
      <c r="G350" s="407"/>
      <c r="H350" s="407"/>
      <c r="I350" s="407"/>
      <c r="J350" s="407"/>
      <c r="K350" s="407"/>
      <c r="L350" s="407"/>
      <c r="M350" s="407"/>
      <c r="N350" s="407"/>
    </row>
    <row r="351" spans="1:14" ht="23.1" customHeight="1">
      <c r="A351" s="407"/>
      <c r="B351" s="407"/>
      <c r="C351" s="407"/>
      <c r="D351" s="407"/>
      <c r="E351" s="407"/>
      <c r="F351" s="407"/>
      <c r="G351" s="407"/>
      <c r="H351" s="407"/>
      <c r="I351" s="407"/>
      <c r="J351" s="407"/>
      <c r="K351" s="407"/>
      <c r="L351" s="407"/>
      <c r="M351" s="407"/>
      <c r="N351" s="407"/>
    </row>
    <row r="352" spans="1:14" ht="23.1" customHeight="1">
      <c r="A352" s="407"/>
      <c r="B352" s="407"/>
      <c r="C352" s="407"/>
      <c r="D352" s="407"/>
      <c r="E352" s="407"/>
      <c r="F352" s="407"/>
      <c r="G352" s="407"/>
      <c r="H352" s="407"/>
      <c r="I352" s="407"/>
      <c r="J352" s="407"/>
      <c r="K352" s="407"/>
      <c r="L352" s="407"/>
      <c r="M352" s="407"/>
      <c r="N352" s="407"/>
    </row>
    <row r="353" spans="1:14" ht="23.1" customHeight="1">
      <c r="A353" s="407"/>
      <c r="B353" s="407"/>
      <c r="C353" s="407"/>
      <c r="D353" s="407"/>
      <c r="E353" s="407"/>
      <c r="F353" s="407"/>
      <c r="G353" s="407"/>
      <c r="H353" s="407"/>
      <c r="I353" s="407"/>
      <c r="J353" s="407"/>
      <c r="K353" s="407"/>
      <c r="L353" s="407"/>
      <c r="M353" s="407"/>
      <c r="N353" s="407"/>
    </row>
    <row r="354" spans="1:14" ht="23.1" customHeight="1">
      <c r="A354" s="407"/>
      <c r="B354" s="407"/>
      <c r="C354" s="407"/>
      <c r="D354" s="407"/>
      <c r="E354" s="407"/>
      <c r="F354" s="407"/>
      <c r="G354" s="407"/>
      <c r="H354" s="407"/>
      <c r="I354" s="407"/>
      <c r="J354" s="407"/>
      <c r="K354" s="407"/>
      <c r="L354" s="407"/>
      <c r="M354" s="407"/>
      <c r="N354" s="407"/>
    </row>
    <row r="355" spans="1:14" ht="23.1" customHeight="1">
      <c r="A355" s="407"/>
      <c r="B355" s="407"/>
      <c r="C355" s="407"/>
      <c r="D355" s="407"/>
      <c r="E355" s="407"/>
      <c r="F355" s="407"/>
      <c r="G355" s="407"/>
      <c r="H355" s="407"/>
      <c r="I355" s="407"/>
      <c r="J355" s="407"/>
      <c r="K355" s="407"/>
      <c r="L355" s="407"/>
      <c r="M355" s="407"/>
      <c r="N355" s="407"/>
    </row>
    <row r="356" spans="1:14" ht="23.1" customHeight="1">
      <c r="A356" s="407"/>
      <c r="B356" s="407"/>
      <c r="C356" s="407"/>
      <c r="D356" s="407"/>
      <c r="E356" s="407"/>
      <c r="F356" s="407"/>
      <c r="G356" s="407"/>
      <c r="H356" s="407"/>
      <c r="I356" s="407"/>
      <c r="J356" s="407"/>
      <c r="K356" s="407"/>
      <c r="L356" s="407"/>
      <c r="M356" s="407"/>
      <c r="N356" s="407"/>
    </row>
    <row r="357" spans="1:14" ht="23.1" customHeight="1">
      <c r="A357" s="407"/>
      <c r="B357" s="407"/>
      <c r="C357" s="407"/>
      <c r="D357" s="407"/>
      <c r="E357" s="407"/>
      <c r="F357" s="407"/>
      <c r="G357" s="407"/>
      <c r="H357" s="407"/>
      <c r="I357" s="407"/>
      <c r="J357" s="407"/>
      <c r="K357" s="407"/>
      <c r="L357" s="407"/>
      <c r="M357" s="407"/>
      <c r="N357" s="407"/>
    </row>
    <row r="358" spans="1:14" ht="23.1" customHeight="1">
      <c r="A358" s="407"/>
      <c r="B358" s="407"/>
      <c r="C358" s="407"/>
      <c r="D358" s="407"/>
      <c r="E358" s="407"/>
      <c r="F358" s="407"/>
      <c r="G358" s="407"/>
      <c r="H358" s="407"/>
      <c r="I358" s="407"/>
      <c r="J358" s="407"/>
      <c r="K358" s="407"/>
      <c r="L358" s="407"/>
      <c r="M358" s="407"/>
      <c r="N358" s="407"/>
    </row>
    <row r="359" spans="1:14" ht="23.1" customHeight="1">
      <c r="A359" s="407"/>
      <c r="B359" s="407"/>
      <c r="C359" s="407"/>
      <c r="D359" s="407"/>
      <c r="E359" s="407"/>
      <c r="F359" s="407"/>
      <c r="G359" s="407"/>
      <c r="H359" s="407"/>
      <c r="I359" s="407"/>
      <c r="J359" s="407"/>
      <c r="K359" s="407"/>
      <c r="L359" s="407"/>
      <c r="M359" s="407"/>
      <c r="N359" s="407"/>
    </row>
    <row r="360" spans="1:14" ht="23.1" customHeight="1">
      <c r="A360" s="407"/>
      <c r="B360" s="407"/>
      <c r="C360" s="407"/>
      <c r="D360" s="407"/>
      <c r="E360" s="407"/>
      <c r="F360" s="407"/>
      <c r="G360" s="407"/>
      <c r="H360" s="407"/>
      <c r="I360" s="407"/>
      <c r="J360" s="407"/>
      <c r="K360" s="407"/>
      <c r="L360" s="407"/>
      <c r="M360" s="407"/>
      <c r="N360" s="407"/>
    </row>
    <row r="361" spans="1:14" ht="23.1" customHeight="1">
      <c r="A361" s="407"/>
      <c r="B361" s="407"/>
      <c r="C361" s="407"/>
      <c r="D361" s="407"/>
      <c r="E361" s="407"/>
      <c r="F361" s="407"/>
      <c r="G361" s="407"/>
      <c r="H361" s="407"/>
      <c r="I361" s="407"/>
      <c r="J361" s="407"/>
      <c r="K361" s="407"/>
      <c r="L361" s="407"/>
      <c r="M361" s="407"/>
      <c r="N361" s="407"/>
    </row>
    <row r="362" spans="1:14" ht="23.1" customHeight="1">
      <c r="A362" s="407"/>
      <c r="B362" s="407"/>
      <c r="C362" s="407"/>
      <c r="D362" s="407"/>
      <c r="E362" s="407"/>
      <c r="F362" s="407"/>
      <c r="G362" s="407"/>
      <c r="H362" s="407"/>
      <c r="I362" s="407"/>
      <c r="J362" s="407"/>
      <c r="K362" s="407"/>
      <c r="L362" s="407"/>
      <c r="M362" s="407"/>
      <c r="N362" s="407"/>
    </row>
    <row r="363" spans="1:14" ht="23.1" customHeight="1">
      <c r="A363" s="407"/>
      <c r="B363" s="407"/>
      <c r="C363" s="407"/>
      <c r="D363" s="407"/>
      <c r="E363" s="407"/>
      <c r="F363" s="407"/>
      <c r="G363" s="407"/>
      <c r="H363" s="407"/>
      <c r="I363" s="407"/>
      <c r="J363" s="407"/>
      <c r="K363" s="407"/>
      <c r="L363" s="407"/>
      <c r="M363" s="407"/>
      <c r="N363" s="407"/>
    </row>
    <row r="364" spans="1:14" ht="23.1" customHeight="1">
      <c r="A364" s="407"/>
      <c r="B364" s="407"/>
      <c r="C364" s="407"/>
      <c r="D364" s="407"/>
      <c r="E364" s="407"/>
      <c r="F364" s="407"/>
      <c r="G364" s="407"/>
      <c r="H364" s="407"/>
      <c r="I364" s="407"/>
      <c r="J364" s="407"/>
      <c r="K364" s="407"/>
      <c r="L364" s="407"/>
      <c r="M364" s="407"/>
      <c r="N364" s="407"/>
    </row>
    <row r="365" spans="1:14" ht="23.1" customHeight="1">
      <c r="A365" s="407"/>
      <c r="B365" s="407"/>
      <c r="C365" s="407"/>
      <c r="D365" s="407"/>
      <c r="E365" s="407"/>
      <c r="F365" s="407"/>
      <c r="G365" s="407"/>
      <c r="H365" s="407"/>
      <c r="I365" s="407"/>
      <c r="J365" s="407"/>
      <c r="K365" s="407"/>
      <c r="L365" s="407"/>
      <c r="M365" s="407"/>
      <c r="N365" s="407"/>
    </row>
    <row r="366" spans="1:14" ht="23.1" customHeight="1">
      <c r="A366" s="407"/>
      <c r="B366" s="407"/>
      <c r="C366" s="407"/>
      <c r="D366" s="407"/>
      <c r="E366" s="407"/>
      <c r="F366" s="407"/>
      <c r="G366" s="407"/>
      <c r="H366" s="407"/>
      <c r="I366" s="407"/>
      <c r="J366" s="407"/>
      <c r="K366" s="407"/>
      <c r="L366" s="407"/>
      <c r="M366" s="407"/>
      <c r="N366" s="407"/>
    </row>
    <row r="367" spans="1:14" ht="23.1" customHeight="1">
      <c r="A367" s="407"/>
      <c r="B367" s="407"/>
      <c r="C367" s="407"/>
      <c r="D367" s="407"/>
      <c r="E367" s="407"/>
      <c r="F367" s="407"/>
      <c r="G367" s="407"/>
      <c r="H367" s="407"/>
      <c r="I367" s="407"/>
      <c r="J367" s="407"/>
      <c r="K367" s="407"/>
      <c r="L367" s="407"/>
      <c r="M367" s="407"/>
      <c r="N367" s="407"/>
    </row>
    <row r="368" spans="1:14" ht="23.1" customHeight="1">
      <c r="A368" s="407"/>
      <c r="B368" s="407"/>
      <c r="C368" s="407"/>
      <c r="D368" s="407"/>
      <c r="E368" s="407"/>
      <c r="F368" s="407"/>
      <c r="G368" s="407"/>
      <c r="H368" s="407"/>
      <c r="I368" s="407"/>
      <c r="J368" s="407"/>
      <c r="K368" s="407"/>
      <c r="L368" s="407"/>
      <c r="M368" s="407"/>
      <c r="N368" s="407"/>
    </row>
    <row r="369" spans="1:14" ht="23.1" customHeight="1">
      <c r="A369" s="407"/>
      <c r="B369" s="407"/>
      <c r="C369" s="407"/>
      <c r="D369" s="407"/>
      <c r="E369" s="407"/>
      <c r="F369" s="407"/>
      <c r="G369" s="407"/>
      <c r="H369" s="407"/>
      <c r="I369" s="407"/>
      <c r="J369" s="407"/>
      <c r="K369" s="407"/>
      <c r="L369" s="407"/>
      <c r="M369" s="407"/>
      <c r="N369" s="407"/>
    </row>
    <row r="370" spans="1:14" ht="23.1" customHeight="1">
      <c r="A370" s="407"/>
      <c r="B370" s="407"/>
      <c r="C370" s="407"/>
      <c r="D370" s="407"/>
      <c r="E370" s="407"/>
      <c r="F370" s="407"/>
      <c r="G370" s="407"/>
      <c r="H370" s="407"/>
      <c r="I370" s="407"/>
      <c r="J370" s="407"/>
      <c r="K370" s="407"/>
      <c r="L370" s="407"/>
      <c r="M370" s="407"/>
      <c r="N370" s="407"/>
    </row>
    <row r="371" spans="1:14" ht="23.1" customHeight="1">
      <c r="A371" s="407"/>
      <c r="B371" s="407"/>
      <c r="C371" s="407"/>
      <c r="D371" s="407"/>
      <c r="E371" s="407"/>
      <c r="F371" s="407"/>
      <c r="G371" s="407"/>
      <c r="H371" s="407"/>
      <c r="I371" s="407"/>
      <c r="J371" s="407"/>
      <c r="K371" s="407"/>
      <c r="L371" s="407"/>
      <c r="M371" s="407"/>
      <c r="N371" s="407"/>
    </row>
    <row r="372" spans="1:14" ht="23.1" customHeight="1">
      <c r="A372" s="407"/>
      <c r="B372" s="407"/>
      <c r="C372" s="407"/>
      <c r="D372" s="407"/>
      <c r="E372" s="407"/>
      <c r="F372" s="407"/>
      <c r="G372" s="407"/>
      <c r="H372" s="407"/>
      <c r="I372" s="407"/>
      <c r="J372" s="407"/>
      <c r="K372" s="407"/>
      <c r="L372" s="407"/>
      <c r="M372" s="407"/>
      <c r="N372" s="407"/>
    </row>
    <row r="373" spans="1:14" ht="23.1" customHeight="1">
      <c r="A373" s="407"/>
      <c r="B373" s="407"/>
      <c r="C373" s="407"/>
      <c r="D373" s="407"/>
      <c r="E373" s="407"/>
      <c r="F373" s="407"/>
      <c r="G373" s="407"/>
      <c r="H373" s="407"/>
      <c r="I373" s="407"/>
      <c r="J373" s="407"/>
      <c r="K373" s="407"/>
      <c r="L373" s="407"/>
      <c r="M373" s="407"/>
      <c r="N373" s="407"/>
    </row>
    <row r="374" spans="1:14" ht="23.1" customHeight="1">
      <c r="A374" s="407"/>
      <c r="B374" s="407"/>
      <c r="C374" s="407"/>
      <c r="D374" s="407"/>
      <c r="E374" s="407"/>
      <c r="F374" s="407"/>
      <c r="G374" s="407"/>
      <c r="H374" s="407"/>
      <c r="I374" s="407"/>
      <c r="J374" s="407"/>
      <c r="K374" s="407"/>
      <c r="L374" s="407"/>
      <c r="M374" s="407"/>
      <c r="N374" s="407"/>
    </row>
    <row r="375" spans="1:14" ht="23.1" customHeight="1">
      <c r="A375" s="407"/>
      <c r="B375" s="407"/>
      <c r="C375" s="407"/>
      <c r="D375" s="407"/>
      <c r="E375" s="407"/>
      <c r="F375" s="407"/>
      <c r="G375" s="407"/>
      <c r="H375" s="407"/>
      <c r="I375" s="407"/>
      <c r="J375" s="407"/>
      <c r="K375" s="407"/>
      <c r="L375" s="407"/>
      <c r="M375" s="407"/>
      <c r="N375" s="407"/>
    </row>
    <row r="376" spans="1:14" ht="23.1" customHeight="1">
      <c r="A376" s="407"/>
      <c r="B376" s="407"/>
      <c r="C376" s="407"/>
      <c r="D376" s="407"/>
      <c r="E376" s="407"/>
      <c r="F376" s="407"/>
      <c r="G376" s="407"/>
      <c r="H376" s="407"/>
      <c r="I376" s="407"/>
      <c r="J376" s="407"/>
      <c r="K376" s="407"/>
      <c r="L376" s="407"/>
      <c r="M376" s="407"/>
      <c r="N376" s="407"/>
    </row>
    <row r="377" spans="1:14" ht="23.1" customHeight="1">
      <c r="A377" s="407"/>
      <c r="B377" s="407"/>
      <c r="C377" s="407"/>
      <c r="D377" s="407"/>
      <c r="E377" s="407"/>
      <c r="F377" s="407"/>
      <c r="G377" s="407"/>
      <c r="H377" s="407"/>
      <c r="I377" s="407"/>
      <c r="J377" s="407"/>
      <c r="K377" s="407"/>
      <c r="L377" s="407"/>
      <c r="M377" s="407"/>
      <c r="N377" s="407"/>
    </row>
    <row r="378" spans="1:14" ht="23.1" customHeight="1">
      <c r="A378" s="407"/>
      <c r="B378" s="407"/>
      <c r="C378" s="407"/>
      <c r="D378" s="407"/>
      <c r="E378" s="407"/>
      <c r="F378" s="407"/>
      <c r="G378" s="407"/>
      <c r="H378" s="407"/>
      <c r="I378" s="407"/>
      <c r="J378" s="407"/>
      <c r="K378" s="407"/>
      <c r="L378" s="407"/>
      <c r="M378" s="407"/>
      <c r="N378" s="407"/>
    </row>
    <row r="379" spans="1:14" ht="23.1" customHeight="1">
      <c r="A379" s="407"/>
      <c r="B379" s="407"/>
      <c r="C379" s="407"/>
      <c r="D379" s="407"/>
      <c r="E379" s="407"/>
      <c r="F379" s="407"/>
      <c r="G379" s="407"/>
      <c r="H379" s="407"/>
      <c r="I379" s="407"/>
      <c r="J379" s="407"/>
      <c r="K379" s="407"/>
      <c r="L379" s="407"/>
      <c r="M379" s="407"/>
      <c r="N379" s="407"/>
    </row>
    <row r="380" spans="1:14" ht="23.1" customHeight="1">
      <c r="A380" s="407"/>
      <c r="B380" s="407"/>
      <c r="C380" s="407"/>
      <c r="D380" s="407"/>
      <c r="E380" s="407"/>
      <c r="F380" s="407"/>
      <c r="G380" s="407"/>
      <c r="H380" s="407"/>
      <c r="I380" s="407"/>
      <c r="J380" s="407"/>
      <c r="K380" s="407"/>
      <c r="L380" s="407"/>
      <c r="M380" s="407"/>
      <c r="N380" s="407"/>
    </row>
    <row r="381" spans="1:14" ht="23.1" customHeight="1">
      <c r="A381" s="407"/>
      <c r="B381" s="407"/>
      <c r="C381" s="407"/>
      <c r="D381" s="407"/>
      <c r="E381" s="407"/>
      <c r="F381" s="407"/>
      <c r="G381" s="407"/>
      <c r="H381" s="407"/>
      <c r="I381" s="407"/>
      <c r="J381" s="407"/>
      <c r="K381" s="407"/>
      <c r="L381" s="407"/>
      <c r="M381" s="407"/>
      <c r="N381" s="407"/>
    </row>
    <row r="382" spans="1:14" ht="23.1" customHeight="1">
      <c r="A382" s="407"/>
      <c r="B382" s="407"/>
      <c r="C382" s="407"/>
      <c r="D382" s="407"/>
      <c r="E382" s="407"/>
      <c r="F382" s="407"/>
      <c r="G382" s="407"/>
      <c r="H382" s="407"/>
      <c r="I382" s="407"/>
      <c r="J382" s="407"/>
      <c r="K382" s="407"/>
      <c r="L382" s="407"/>
      <c r="M382" s="407"/>
      <c r="N382" s="407"/>
    </row>
    <row r="383" spans="1:14" ht="23.1" customHeight="1">
      <c r="A383" s="407"/>
      <c r="B383" s="407"/>
      <c r="C383" s="407"/>
      <c r="D383" s="407"/>
      <c r="E383" s="407"/>
      <c r="F383" s="407"/>
      <c r="G383" s="407"/>
      <c r="H383" s="407"/>
      <c r="I383" s="407"/>
      <c r="J383" s="407"/>
      <c r="K383" s="407"/>
      <c r="L383" s="407"/>
      <c r="M383" s="407"/>
      <c r="N383" s="407"/>
    </row>
    <row r="384" spans="1:14" ht="23.1" customHeight="1">
      <c r="A384" s="407"/>
      <c r="B384" s="407"/>
      <c r="C384" s="407"/>
      <c r="D384" s="407"/>
      <c r="E384" s="407"/>
      <c r="F384" s="407"/>
      <c r="G384" s="407"/>
      <c r="H384" s="407"/>
      <c r="I384" s="407"/>
      <c r="J384" s="407"/>
      <c r="K384" s="407"/>
      <c r="L384" s="407"/>
      <c r="M384" s="407"/>
      <c r="N384" s="407"/>
    </row>
    <row r="385" spans="1:14" ht="23.1" customHeight="1">
      <c r="A385" s="407"/>
      <c r="B385" s="407"/>
      <c r="C385" s="407"/>
      <c r="D385" s="407"/>
      <c r="E385" s="407"/>
      <c r="F385" s="407"/>
      <c r="G385" s="407"/>
      <c r="H385" s="407"/>
      <c r="I385" s="407"/>
      <c r="J385" s="407"/>
      <c r="K385" s="407"/>
      <c r="L385" s="407"/>
      <c r="M385" s="407"/>
      <c r="N385" s="407"/>
    </row>
    <row r="386" spans="1:14" ht="23.1" customHeight="1">
      <c r="A386" s="407"/>
      <c r="B386" s="407"/>
      <c r="C386" s="407"/>
      <c r="D386" s="407"/>
      <c r="E386" s="407"/>
      <c r="F386" s="407"/>
      <c r="G386" s="407"/>
      <c r="H386" s="407"/>
      <c r="I386" s="407"/>
      <c r="J386" s="407"/>
      <c r="K386" s="407"/>
      <c r="L386" s="407"/>
      <c r="M386" s="407"/>
      <c r="N386" s="407"/>
    </row>
    <row r="387" spans="1:14" ht="23.1" customHeight="1">
      <c r="A387" s="407"/>
      <c r="B387" s="407"/>
      <c r="C387" s="407"/>
      <c r="D387" s="407"/>
      <c r="E387" s="407"/>
      <c r="F387" s="407"/>
      <c r="G387" s="407"/>
      <c r="H387" s="407"/>
      <c r="I387" s="407"/>
      <c r="J387" s="407"/>
      <c r="K387" s="407"/>
      <c r="L387" s="407"/>
      <c r="M387" s="407"/>
      <c r="N387" s="407"/>
    </row>
    <row r="388" spans="1:14" ht="23.1" customHeight="1">
      <c r="A388" s="407"/>
      <c r="B388" s="407"/>
      <c r="C388" s="407"/>
      <c r="D388" s="407"/>
      <c r="E388" s="407"/>
      <c r="F388" s="407"/>
      <c r="G388" s="407"/>
      <c r="H388" s="407"/>
      <c r="I388" s="407"/>
      <c r="J388" s="407"/>
      <c r="K388" s="407"/>
      <c r="L388" s="407"/>
      <c r="M388" s="407"/>
      <c r="N388" s="407"/>
    </row>
    <row r="389" spans="1:14" ht="23.1" customHeight="1">
      <c r="A389" s="407"/>
      <c r="B389" s="407"/>
      <c r="C389" s="407"/>
      <c r="D389" s="407"/>
      <c r="E389" s="407"/>
      <c r="F389" s="407"/>
      <c r="G389" s="407"/>
      <c r="H389" s="407"/>
      <c r="I389" s="407"/>
      <c r="J389" s="407"/>
      <c r="K389" s="407"/>
      <c r="L389" s="407"/>
      <c r="M389" s="407"/>
      <c r="N389" s="407"/>
    </row>
    <row r="390" spans="1:14" ht="23.1" customHeight="1">
      <c r="A390" s="407"/>
      <c r="B390" s="407"/>
      <c r="C390" s="407"/>
      <c r="D390" s="407"/>
      <c r="E390" s="407"/>
      <c r="F390" s="407"/>
      <c r="G390" s="407"/>
      <c r="H390" s="407"/>
      <c r="I390" s="407"/>
      <c r="J390" s="407"/>
      <c r="K390" s="407"/>
      <c r="L390" s="407"/>
      <c r="M390" s="407"/>
      <c r="N390" s="407"/>
    </row>
    <row r="391" spans="1:14" ht="23.1" customHeight="1">
      <c r="A391" s="407"/>
      <c r="B391" s="407"/>
      <c r="C391" s="407"/>
      <c r="D391" s="407"/>
      <c r="E391" s="407"/>
      <c r="F391" s="407"/>
      <c r="G391" s="407"/>
      <c r="H391" s="407"/>
      <c r="I391" s="407"/>
      <c r="J391" s="407"/>
      <c r="K391" s="407"/>
      <c r="L391" s="407"/>
      <c r="M391" s="407"/>
      <c r="N391" s="407"/>
    </row>
    <row r="392" spans="1:14" ht="23.1" customHeight="1">
      <c r="A392" s="407"/>
      <c r="B392" s="407"/>
      <c r="C392" s="407"/>
      <c r="D392" s="407"/>
      <c r="E392" s="407"/>
      <c r="F392" s="407"/>
      <c r="G392" s="407"/>
      <c r="H392" s="407"/>
      <c r="I392" s="407"/>
      <c r="J392" s="407"/>
      <c r="K392" s="407"/>
      <c r="L392" s="407"/>
      <c r="M392" s="407"/>
      <c r="N392" s="407"/>
    </row>
    <row r="393" spans="1:14" ht="23.1" customHeight="1">
      <c r="A393" s="407"/>
      <c r="B393" s="407"/>
      <c r="C393" s="407"/>
      <c r="D393" s="407"/>
      <c r="E393" s="407"/>
      <c r="F393" s="407"/>
      <c r="G393" s="407"/>
      <c r="H393" s="407"/>
      <c r="I393" s="407"/>
      <c r="J393" s="407"/>
      <c r="K393" s="407"/>
      <c r="L393" s="407"/>
      <c r="M393" s="407"/>
      <c r="N393" s="407"/>
    </row>
    <row r="394" spans="1:14" ht="23.1" customHeight="1">
      <c r="A394" s="407"/>
      <c r="B394" s="407"/>
      <c r="C394" s="407"/>
      <c r="D394" s="407"/>
      <c r="E394" s="407"/>
      <c r="F394" s="407"/>
      <c r="G394" s="407"/>
      <c r="H394" s="407"/>
      <c r="I394" s="407"/>
      <c r="J394" s="407"/>
      <c r="K394" s="407"/>
      <c r="L394" s="407"/>
      <c r="M394" s="407"/>
      <c r="N394" s="407"/>
    </row>
    <row r="395" spans="1:14" ht="23.1" customHeight="1">
      <c r="A395" s="407"/>
      <c r="B395" s="407"/>
      <c r="C395" s="407"/>
      <c r="D395" s="407"/>
      <c r="E395" s="407"/>
      <c r="F395" s="407"/>
      <c r="G395" s="407"/>
      <c r="H395" s="407"/>
      <c r="I395" s="407"/>
      <c r="J395" s="407"/>
      <c r="K395" s="407"/>
      <c r="L395" s="407"/>
      <c r="M395" s="407"/>
      <c r="N395" s="407"/>
    </row>
    <row r="396" spans="1:14" ht="23.1" customHeight="1">
      <c r="A396" s="407"/>
      <c r="B396" s="407"/>
      <c r="C396" s="407"/>
      <c r="D396" s="407"/>
      <c r="E396" s="407"/>
      <c r="F396" s="407"/>
      <c r="G396" s="407"/>
      <c r="H396" s="407"/>
      <c r="I396" s="407"/>
      <c r="J396" s="407"/>
      <c r="K396" s="407"/>
      <c r="L396" s="407"/>
      <c r="M396" s="407"/>
      <c r="N396" s="407"/>
    </row>
    <row r="397" spans="1:14" ht="23.1" customHeight="1">
      <c r="A397" s="407"/>
      <c r="B397" s="407"/>
      <c r="C397" s="407"/>
      <c r="D397" s="407"/>
      <c r="E397" s="407"/>
      <c r="F397" s="407"/>
      <c r="G397" s="407"/>
      <c r="H397" s="407"/>
      <c r="I397" s="407"/>
      <c r="J397" s="407"/>
      <c r="K397" s="407"/>
      <c r="L397" s="407"/>
      <c r="M397" s="407"/>
      <c r="N397" s="407"/>
    </row>
    <row r="398" spans="1:14" ht="23.1" customHeight="1">
      <c r="A398" s="407"/>
      <c r="B398" s="407"/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</row>
    <row r="399" spans="1:14" ht="23.1" customHeight="1">
      <c r="A399" s="407"/>
      <c r="B399" s="407"/>
      <c r="C399" s="407"/>
      <c r="D399" s="407"/>
      <c r="E399" s="407"/>
      <c r="F399" s="407"/>
      <c r="G399" s="407"/>
      <c r="H399" s="407"/>
      <c r="I399" s="407"/>
      <c r="J399" s="407"/>
      <c r="K399" s="407"/>
      <c r="L399" s="407"/>
      <c r="M399" s="407"/>
      <c r="N399" s="407"/>
    </row>
    <row r="400" spans="1:14" ht="23.1" customHeight="1">
      <c r="A400" s="407"/>
      <c r="B400" s="407"/>
      <c r="C400" s="407"/>
      <c r="D400" s="407"/>
      <c r="E400" s="407"/>
      <c r="F400" s="407"/>
      <c r="G400" s="407"/>
      <c r="H400" s="407"/>
      <c r="I400" s="407"/>
      <c r="J400" s="407"/>
      <c r="K400" s="407"/>
      <c r="L400" s="407"/>
      <c r="M400" s="407"/>
      <c r="N400" s="407"/>
    </row>
    <row r="401" spans="1:14" ht="23.1" customHeight="1">
      <c r="A401" s="407"/>
      <c r="B401" s="407"/>
      <c r="C401" s="407"/>
      <c r="D401" s="407"/>
      <c r="E401" s="407"/>
      <c r="F401" s="407"/>
      <c r="G401" s="407"/>
      <c r="H401" s="407"/>
      <c r="I401" s="407"/>
      <c r="J401" s="407"/>
      <c r="K401" s="407"/>
      <c r="L401" s="407"/>
      <c r="M401" s="407"/>
      <c r="N401" s="407"/>
    </row>
    <row r="402" spans="1:14" ht="23.1" customHeight="1">
      <c r="A402" s="407"/>
      <c r="B402" s="407"/>
      <c r="C402" s="407"/>
      <c r="D402" s="407"/>
      <c r="E402" s="407"/>
      <c r="F402" s="407"/>
      <c r="G402" s="407"/>
      <c r="H402" s="407"/>
      <c r="I402" s="407"/>
      <c r="J402" s="407"/>
      <c r="K402" s="407"/>
      <c r="L402" s="407"/>
      <c r="M402" s="407"/>
      <c r="N402" s="407"/>
    </row>
    <row r="403" spans="1:14" ht="23.1" customHeight="1">
      <c r="A403" s="407"/>
      <c r="B403" s="407"/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</row>
    <row r="404" spans="1:14" ht="23.1" customHeight="1">
      <c r="A404" s="407"/>
      <c r="B404" s="407"/>
      <c r="C404" s="407"/>
      <c r="D404" s="407"/>
      <c r="E404" s="407"/>
      <c r="F404" s="407"/>
      <c r="G404" s="407"/>
      <c r="H404" s="407"/>
      <c r="I404" s="407"/>
      <c r="J404" s="407"/>
      <c r="K404" s="407"/>
      <c r="L404" s="407"/>
      <c r="M404" s="407"/>
      <c r="N404" s="407"/>
    </row>
    <row r="405" spans="1:14" ht="23.1" customHeight="1">
      <c r="A405" s="407"/>
      <c r="B405" s="407"/>
      <c r="C405" s="407"/>
      <c r="D405" s="407"/>
      <c r="E405" s="407"/>
      <c r="F405" s="407"/>
      <c r="G405" s="407"/>
      <c r="H405" s="407"/>
      <c r="I405" s="407"/>
      <c r="J405" s="407"/>
      <c r="K405" s="407"/>
      <c r="L405" s="407"/>
      <c r="M405" s="407"/>
      <c r="N405" s="407"/>
    </row>
    <row r="406" spans="1:14" ht="23.1" customHeight="1">
      <c r="A406" s="407"/>
      <c r="B406" s="407"/>
      <c r="C406" s="407"/>
      <c r="D406" s="407"/>
      <c r="E406" s="407"/>
      <c r="F406" s="407"/>
      <c r="G406" s="407"/>
      <c r="H406" s="407"/>
      <c r="I406" s="407"/>
      <c r="J406" s="407"/>
      <c r="K406" s="407"/>
      <c r="L406" s="407"/>
      <c r="M406" s="407"/>
      <c r="N406" s="407"/>
    </row>
    <row r="407" spans="1:14" ht="23.1" customHeight="1">
      <c r="A407" s="407"/>
      <c r="B407" s="407"/>
      <c r="C407" s="407"/>
      <c r="D407" s="407"/>
      <c r="E407" s="407"/>
      <c r="F407" s="407"/>
      <c r="G407" s="407"/>
      <c r="H407" s="407"/>
      <c r="I407" s="407"/>
      <c r="J407" s="407"/>
      <c r="K407" s="407"/>
      <c r="L407" s="407"/>
      <c r="M407" s="407"/>
      <c r="N407" s="407"/>
    </row>
    <row r="408" spans="1:14" ht="23.1" customHeight="1">
      <c r="A408" s="407"/>
      <c r="B408" s="407"/>
      <c r="C408" s="407"/>
      <c r="D408" s="407"/>
      <c r="E408" s="407"/>
      <c r="F408" s="407"/>
      <c r="G408" s="407"/>
      <c r="H408" s="407"/>
      <c r="I408" s="407"/>
      <c r="J408" s="407"/>
      <c r="K408" s="407"/>
      <c r="L408" s="407"/>
      <c r="M408" s="407"/>
      <c r="N408" s="407"/>
    </row>
    <row r="409" spans="1:14" ht="23.1" customHeight="1">
      <c r="A409" s="407"/>
      <c r="B409" s="407"/>
      <c r="C409" s="407"/>
      <c r="D409" s="407"/>
      <c r="E409" s="407"/>
      <c r="F409" s="407"/>
      <c r="G409" s="407"/>
      <c r="H409" s="407"/>
      <c r="I409" s="407"/>
      <c r="J409" s="407"/>
      <c r="K409" s="407"/>
      <c r="L409" s="407"/>
      <c r="M409" s="407"/>
      <c r="N409" s="407"/>
    </row>
    <row r="410" spans="1:14" ht="23.1" customHeight="1">
      <c r="A410" s="407"/>
      <c r="B410" s="407"/>
      <c r="C410" s="407"/>
      <c r="D410" s="407"/>
      <c r="E410" s="407"/>
      <c r="F410" s="407"/>
      <c r="G410" s="407"/>
      <c r="H410" s="407"/>
      <c r="I410" s="407"/>
      <c r="J410" s="407"/>
      <c r="K410" s="407"/>
      <c r="L410" s="407"/>
      <c r="M410" s="407"/>
      <c r="N410" s="407"/>
    </row>
    <row r="411" spans="1:14" ht="23.1" customHeight="1">
      <c r="A411" s="407"/>
      <c r="B411" s="407"/>
      <c r="C411" s="407"/>
      <c r="D411" s="407"/>
      <c r="E411" s="407"/>
      <c r="F411" s="407"/>
      <c r="G411" s="407"/>
      <c r="H411" s="407"/>
      <c r="I411" s="407"/>
      <c r="J411" s="407"/>
      <c r="K411" s="407"/>
      <c r="L411" s="407"/>
      <c r="M411" s="407"/>
      <c r="N411" s="407"/>
    </row>
    <row r="412" spans="1:14" ht="23.1" customHeight="1">
      <c r="A412" s="407"/>
      <c r="B412" s="407"/>
      <c r="C412" s="407"/>
      <c r="D412" s="407"/>
      <c r="E412" s="407"/>
      <c r="F412" s="407"/>
      <c r="G412" s="407"/>
      <c r="H412" s="407"/>
      <c r="I412" s="407"/>
      <c r="J412" s="407"/>
      <c r="K412" s="407"/>
      <c r="L412" s="407"/>
      <c r="M412" s="407"/>
      <c r="N412" s="407"/>
    </row>
    <row r="413" spans="1:14" ht="23.1" customHeight="1">
      <c r="A413" s="407"/>
      <c r="B413" s="407"/>
      <c r="C413" s="407"/>
      <c r="D413" s="407"/>
      <c r="E413" s="407"/>
      <c r="F413" s="407"/>
      <c r="G413" s="407"/>
      <c r="H413" s="407"/>
      <c r="I413" s="407"/>
      <c r="J413" s="407"/>
      <c r="K413" s="407"/>
      <c r="L413" s="407"/>
      <c r="M413" s="407"/>
      <c r="N413" s="407"/>
    </row>
    <row r="414" spans="1:14" ht="23.1" customHeight="1">
      <c r="A414" s="407"/>
      <c r="B414" s="407"/>
      <c r="C414" s="407"/>
      <c r="D414" s="407"/>
      <c r="E414" s="407"/>
      <c r="F414" s="407"/>
      <c r="G414" s="407"/>
      <c r="H414" s="407"/>
      <c r="I414" s="407"/>
      <c r="J414" s="407"/>
      <c r="K414" s="407"/>
      <c r="L414" s="407"/>
      <c r="M414" s="407"/>
      <c r="N414" s="407"/>
    </row>
    <row r="415" spans="1:14" ht="23.1" customHeight="1">
      <c r="A415" s="407"/>
      <c r="B415" s="407"/>
      <c r="C415" s="407"/>
      <c r="D415" s="407"/>
      <c r="E415" s="407"/>
      <c r="F415" s="407"/>
      <c r="G415" s="407"/>
      <c r="H415" s="407"/>
      <c r="I415" s="407"/>
      <c r="J415" s="407"/>
      <c r="K415" s="407"/>
      <c r="L415" s="407"/>
      <c r="M415" s="407"/>
      <c r="N415" s="407"/>
    </row>
    <row r="416" spans="1:14" ht="23.1" customHeight="1">
      <c r="A416" s="407"/>
      <c r="B416" s="407"/>
      <c r="C416" s="407"/>
      <c r="D416" s="407"/>
      <c r="E416" s="407"/>
      <c r="F416" s="407"/>
      <c r="G416" s="407"/>
      <c r="H416" s="407"/>
      <c r="I416" s="407"/>
      <c r="J416" s="407"/>
      <c r="K416" s="407"/>
      <c r="L416" s="407"/>
      <c r="M416" s="407"/>
      <c r="N416" s="407"/>
    </row>
    <row r="417" spans="1:14" ht="23.1" customHeight="1">
      <c r="A417" s="407"/>
      <c r="B417" s="407"/>
      <c r="C417" s="407"/>
      <c r="D417" s="407"/>
      <c r="E417" s="407"/>
      <c r="F417" s="407"/>
      <c r="G417" s="407"/>
      <c r="H417" s="407"/>
      <c r="I417" s="407"/>
      <c r="J417" s="407"/>
      <c r="K417" s="407"/>
      <c r="L417" s="407"/>
      <c r="M417" s="407"/>
      <c r="N417" s="407"/>
    </row>
    <row r="418" spans="1:14" ht="23.1" customHeight="1">
      <c r="A418" s="407"/>
      <c r="B418" s="407"/>
      <c r="C418" s="407"/>
      <c r="D418" s="407"/>
      <c r="E418" s="407"/>
      <c r="F418" s="407"/>
      <c r="G418" s="407"/>
      <c r="H418" s="407"/>
      <c r="I418" s="407"/>
      <c r="J418" s="407"/>
      <c r="K418" s="407"/>
      <c r="L418" s="407"/>
      <c r="M418" s="407"/>
      <c r="N418" s="407"/>
    </row>
    <row r="419" spans="1:14" ht="23.1" customHeight="1">
      <c r="A419" s="407"/>
      <c r="B419" s="407"/>
      <c r="C419" s="407"/>
      <c r="D419" s="407"/>
      <c r="E419" s="407"/>
      <c r="F419" s="407"/>
      <c r="G419" s="407"/>
      <c r="H419" s="407"/>
      <c r="I419" s="407"/>
      <c r="J419" s="407"/>
      <c r="K419" s="407"/>
      <c r="L419" s="407"/>
      <c r="M419" s="407"/>
      <c r="N419" s="407"/>
    </row>
    <row r="420" spans="1:14" ht="23.1" customHeight="1">
      <c r="A420" s="407"/>
      <c r="B420" s="407"/>
      <c r="C420" s="407"/>
      <c r="D420" s="407"/>
      <c r="E420" s="407"/>
      <c r="F420" s="407"/>
      <c r="G420" s="407"/>
      <c r="H420" s="407"/>
      <c r="I420" s="407"/>
      <c r="J420" s="407"/>
      <c r="K420" s="407"/>
      <c r="L420" s="407"/>
      <c r="M420" s="407"/>
      <c r="N420" s="407"/>
    </row>
    <row r="421" spans="1:14" ht="23.1" customHeight="1">
      <c r="A421" s="407"/>
      <c r="B421" s="407"/>
      <c r="C421" s="407"/>
      <c r="D421" s="407"/>
      <c r="E421" s="407"/>
      <c r="F421" s="407"/>
      <c r="G421" s="407"/>
      <c r="H421" s="407"/>
      <c r="I421" s="407"/>
      <c r="J421" s="407"/>
      <c r="K421" s="407"/>
      <c r="L421" s="407"/>
      <c r="M421" s="407"/>
      <c r="N421" s="407"/>
    </row>
    <row r="422" spans="1:14" ht="23.1" customHeight="1">
      <c r="A422" s="407"/>
      <c r="B422" s="407"/>
      <c r="C422" s="407"/>
      <c r="D422" s="407"/>
      <c r="E422" s="407"/>
      <c r="F422" s="407"/>
      <c r="G422" s="407"/>
      <c r="H422" s="407"/>
      <c r="I422" s="407"/>
      <c r="J422" s="407"/>
      <c r="K422" s="407"/>
      <c r="L422" s="407"/>
      <c r="M422" s="407"/>
      <c r="N422" s="407"/>
    </row>
    <row r="423" spans="1:14" ht="23.1" customHeight="1">
      <c r="A423" s="407"/>
      <c r="B423" s="407"/>
      <c r="C423" s="407"/>
      <c r="D423" s="407"/>
      <c r="E423" s="407"/>
      <c r="F423" s="407"/>
      <c r="G423" s="407"/>
      <c r="H423" s="407"/>
      <c r="I423" s="407"/>
      <c r="J423" s="407"/>
      <c r="K423" s="407"/>
      <c r="L423" s="407"/>
      <c r="M423" s="407"/>
      <c r="N423" s="407"/>
    </row>
    <row r="424" spans="1:14" ht="23.1" customHeight="1">
      <c r="A424" s="407"/>
      <c r="B424" s="407"/>
      <c r="C424" s="407"/>
      <c r="D424" s="407"/>
      <c r="E424" s="407"/>
      <c r="F424" s="407"/>
      <c r="G424" s="407"/>
      <c r="H424" s="407"/>
      <c r="I424" s="407"/>
      <c r="J424" s="407"/>
      <c r="K424" s="407"/>
      <c r="L424" s="407"/>
      <c r="M424" s="407"/>
      <c r="N424" s="407"/>
    </row>
    <row r="425" spans="1:14" ht="23.1" customHeight="1">
      <c r="A425" s="407"/>
      <c r="B425" s="407"/>
      <c r="C425" s="407"/>
      <c r="D425" s="407"/>
      <c r="E425" s="407"/>
      <c r="F425" s="407"/>
      <c r="G425" s="407"/>
      <c r="H425" s="407"/>
      <c r="I425" s="407"/>
      <c r="J425" s="407"/>
      <c r="K425" s="407"/>
      <c r="L425" s="407"/>
      <c r="M425" s="407"/>
      <c r="N425" s="407"/>
    </row>
    <row r="426" spans="1:14" ht="23.1" customHeight="1">
      <c r="A426" s="407"/>
      <c r="B426" s="407"/>
      <c r="C426" s="407"/>
      <c r="D426" s="407"/>
      <c r="E426" s="407"/>
      <c r="F426" s="407"/>
      <c r="G426" s="407"/>
      <c r="H426" s="407"/>
      <c r="I426" s="407"/>
      <c r="J426" s="407"/>
      <c r="K426" s="407"/>
      <c r="L426" s="407"/>
      <c r="M426" s="407"/>
      <c r="N426" s="407"/>
    </row>
    <row r="427" spans="1:14" ht="23.1" customHeight="1">
      <c r="A427" s="407"/>
      <c r="B427" s="407"/>
      <c r="C427" s="407"/>
      <c r="D427" s="407"/>
      <c r="E427" s="407"/>
      <c r="F427" s="407"/>
      <c r="G427" s="407"/>
      <c r="H427" s="407"/>
      <c r="I427" s="407"/>
      <c r="J427" s="407"/>
      <c r="K427" s="407"/>
      <c r="L427" s="407"/>
      <c r="M427" s="407"/>
      <c r="N427" s="407"/>
    </row>
    <row r="428" spans="1:14" ht="23.1" customHeight="1">
      <c r="A428" s="407"/>
      <c r="B428" s="407"/>
      <c r="C428" s="407"/>
      <c r="D428" s="407"/>
      <c r="E428" s="407"/>
      <c r="F428" s="407"/>
      <c r="G428" s="407"/>
      <c r="H428" s="407"/>
      <c r="I428" s="407"/>
      <c r="J428" s="407"/>
      <c r="K428" s="407"/>
      <c r="L428" s="407"/>
      <c r="M428" s="407"/>
      <c r="N428" s="407"/>
    </row>
    <row r="429" spans="1:14" ht="23.1" customHeight="1">
      <c r="A429" s="407"/>
      <c r="B429" s="407"/>
      <c r="C429" s="407"/>
      <c r="D429" s="407"/>
      <c r="E429" s="407"/>
      <c r="F429" s="407"/>
      <c r="G429" s="407"/>
      <c r="H429" s="407"/>
      <c r="I429" s="407"/>
      <c r="J429" s="407"/>
      <c r="K429" s="407"/>
      <c r="L429" s="407"/>
      <c r="M429" s="407"/>
      <c r="N429" s="407"/>
    </row>
    <row r="430" spans="1:14" ht="23.1" customHeight="1">
      <c r="A430" s="407"/>
      <c r="B430" s="407"/>
      <c r="C430" s="407"/>
      <c r="D430" s="407"/>
      <c r="E430" s="407"/>
      <c r="F430" s="407"/>
      <c r="G430" s="407"/>
      <c r="H430" s="407"/>
      <c r="I430" s="407"/>
      <c r="J430" s="407"/>
      <c r="K430" s="407"/>
      <c r="L430" s="407"/>
      <c r="M430" s="407"/>
      <c r="N430" s="407"/>
    </row>
    <row r="431" spans="1:14" ht="23.1" customHeight="1">
      <c r="A431" s="407"/>
      <c r="B431" s="407"/>
      <c r="C431" s="407"/>
      <c r="D431" s="407"/>
      <c r="E431" s="407"/>
      <c r="F431" s="407"/>
      <c r="G431" s="407"/>
      <c r="H431" s="407"/>
      <c r="I431" s="407"/>
      <c r="J431" s="407"/>
      <c r="K431" s="407"/>
      <c r="L431" s="407"/>
      <c r="M431" s="407"/>
      <c r="N431" s="407"/>
    </row>
    <row r="432" spans="1:14" ht="23.1" customHeight="1">
      <c r="A432" s="407"/>
      <c r="B432" s="407"/>
      <c r="C432" s="407"/>
      <c r="D432" s="407"/>
      <c r="E432" s="407"/>
      <c r="F432" s="407"/>
      <c r="G432" s="407"/>
      <c r="H432" s="407"/>
      <c r="I432" s="407"/>
      <c r="J432" s="407"/>
      <c r="K432" s="407"/>
      <c r="L432" s="407"/>
      <c r="M432" s="407"/>
      <c r="N432" s="407"/>
    </row>
    <row r="433" spans="1:14" ht="23.1" customHeight="1">
      <c r="A433" s="407"/>
      <c r="B433" s="407"/>
      <c r="C433" s="407"/>
      <c r="D433" s="407"/>
      <c r="E433" s="407"/>
      <c r="F433" s="407"/>
      <c r="G433" s="407"/>
      <c r="H433" s="407"/>
      <c r="I433" s="407"/>
      <c r="J433" s="407"/>
      <c r="K433" s="407"/>
      <c r="L433" s="407"/>
      <c r="M433" s="407"/>
      <c r="N433" s="407"/>
    </row>
    <row r="434" spans="1:14" ht="23.1" customHeight="1">
      <c r="A434" s="407"/>
      <c r="B434" s="407"/>
      <c r="C434" s="407"/>
      <c r="D434" s="407"/>
      <c r="E434" s="407"/>
      <c r="F434" s="407"/>
      <c r="G434" s="407"/>
      <c r="H434" s="407"/>
      <c r="I434" s="407"/>
      <c r="J434" s="407"/>
      <c r="K434" s="407"/>
      <c r="L434" s="407"/>
      <c r="M434" s="407"/>
      <c r="N434" s="407"/>
    </row>
    <row r="435" spans="1:14" ht="23.1" customHeight="1">
      <c r="A435" s="407"/>
      <c r="B435" s="407"/>
      <c r="C435" s="407"/>
      <c r="D435" s="407"/>
      <c r="E435" s="407"/>
      <c r="F435" s="407"/>
      <c r="G435" s="407"/>
      <c r="H435" s="407"/>
      <c r="I435" s="407"/>
      <c r="J435" s="407"/>
      <c r="K435" s="407"/>
      <c r="L435" s="407"/>
      <c r="M435" s="407"/>
      <c r="N435" s="407"/>
    </row>
    <row r="436" spans="1:14" ht="23.1" customHeight="1">
      <c r="A436" s="407"/>
      <c r="B436" s="407"/>
      <c r="C436" s="407"/>
      <c r="D436" s="407"/>
      <c r="E436" s="407"/>
      <c r="F436" s="407"/>
      <c r="G436" s="407"/>
      <c r="H436" s="407"/>
      <c r="I436" s="407"/>
      <c r="J436" s="407"/>
      <c r="K436" s="407"/>
      <c r="L436" s="407"/>
      <c r="M436" s="407"/>
      <c r="N436" s="407"/>
    </row>
    <row r="437" spans="1:14" ht="23.1" customHeight="1">
      <c r="A437" s="407"/>
      <c r="B437" s="407"/>
      <c r="C437" s="407"/>
      <c r="D437" s="407"/>
      <c r="E437" s="407"/>
      <c r="F437" s="407"/>
      <c r="G437" s="407"/>
      <c r="H437" s="407"/>
      <c r="I437" s="407"/>
      <c r="J437" s="407"/>
      <c r="K437" s="407"/>
      <c r="L437" s="407"/>
      <c r="M437" s="407"/>
      <c r="N437" s="407"/>
    </row>
    <row r="438" spans="1:14" ht="23.1" customHeight="1">
      <c r="A438" s="407"/>
      <c r="B438" s="407"/>
      <c r="C438" s="407"/>
      <c r="D438" s="407"/>
      <c r="E438" s="407"/>
      <c r="F438" s="407"/>
      <c r="G438" s="407"/>
      <c r="H438" s="407"/>
      <c r="I438" s="407"/>
      <c r="J438" s="407"/>
      <c r="K438" s="407"/>
      <c r="L438" s="407"/>
      <c r="M438" s="407"/>
      <c r="N438" s="407"/>
    </row>
    <row r="439" spans="1:14" ht="23.1" customHeight="1">
      <c r="A439" s="407"/>
      <c r="B439" s="407"/>
      <c r="C439" s="407"/>
      <c r="D439" s="407"/>
      <c r="E439" s="407"/>
      <c r="F439" s="407"/>
      <c r="G439" s="407"/>
      <c r="H439" s="407"/>
      <c r="I439" s="407"/>
      <c r="J439" s="407"/>
      <c r="K439" s="407"/>
      <c r="L439" s="407"/>
      <c r="M439" s="407"/>
      <c r="N439" s="407"/>
    </row>
    <row r="440" spans="1:14" ht="23.1" customHeight="1">
      <c r="A440" s="407"/>
      <c r="B440" s="407"/>
      <c r="C440" s="407"/>
      <c r="D440" s="407"/>
      <c r="E440" s="407"/>
      <c r="F440" s="407"/>
      <c r="G440" s="407"/>
      <c r="H440" s="407"/>
      <c r="I440" s="407"/>
      <c r="J440" s="407"/>
      <c r="K440" s="407"/>
      <c r="L440" s="407"/>
      <c r="M440" s="407"/>
      <c r="N440" s="407"/>
    </row>
    <row r="441" spans="1:14" ht="23.1" customHeight="1">
      <c r="A441" s="407"/>
      <c r="B441" s="407"/>
      <c r="C441" s="407"/>
      <c r="D441" s="407"/>
      <c r="E441" s="407"/>
      <c r="F441" s="407"/>
      <c r="G441" s="407"/>
      <c r="H441" s="407"/>
      <c r="I441" s="407"/>
      <c r="J441" s="407"/>
      <c r="K441" s="407"/>
      <c r="L441" s="407"/>
      <c r="M441" s="407"/>
      <c r="N441" s="407"/>
    </row>
  </sheetData>
  <phoneticPr fontId="0" type="noConversion"/>
  <printOptions gridLines="1"/>
  <pageMargins left="0.53" right="0.28000000000000003" top="0.85" bottom="0.18" header="0.3" footer="0.28999999999999998"/>
  <pageSetup scale="55" orientation="portrait" r:id="rId1"/>
  <headerFooter alignWithMargins="0">
    <oddHeader>&amp;C&amp;"Algerian,Bold"&amp;36Golaha Wakiiladda JSL.</oddHeader>
    <oddFooter xml:space="preserve">&amp;R&amp;"Times New Roman,Bold"&amp;14 &amp;20 4&amp;"Times New Roman,Regular"&amp;10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D58"/>
  <sheetViews>
    <sheetView topLeftCell="A61" workbookViewId="0">
      <selection activeCell="C58" sqref="C58"/>
    </sheetView>
  </sheetViews>
  <sheetFormatPr defaultRowHeight="12.75"/>
  <cols>
    <col min="2" max="2" width="49" bestFit="1" customWidth="1"/>
    <col min="3" max="3" width="17" customWidth="1"/>
    <col min="4" max="4" width="15.1640625" bestFit="1" customWidth="1"/>
  </cols>
  <sheetData>
    <row r="1" spans="1:4" ht="15.75">
      <c r="A1" s="156" t="s">
        <v>45</v>
      </c>
      <c r="B1" s="157" t="s">
        <v>51</v>
      </c>
      <c r="C1" s="157" t="s">
        <v>694</v>
      </c>
    </row>
    <row r="2" spans="1:4" ht="15.75">
      <c r="A2" s="158">
        <v>1</v>
      </c>
      <c r="B2" s="159" t="s">
        <v>118</v>
      </c>
      <c r="C2" s="170"/>
    </row>
    <row r="3" spans="1:4" ht="15.75">
      <c r="A3" s="158" t="s">
        <v>77</v>
      </c>
      <c r="B3" s="159" t="s">
        <v>117</v>
      </c>
      <c r="C3" s="170"/>
    </row>
    <row r="4" spans="1:4" ht="15.75">
      <c r="A4" s="158" t="s">
        <v>76</v>
      </c>
      <c r="B4" s="159" t="s">
        <v>234</v>
      </c>
      <c r="C4" s="170"/>
    </row>
    <row r="5" spans="1:4" ht="15.75">
      <c r="A5" s="158">
        <v>2</v>
      </c>
      <c r="B5" s="159" t="s">
        <v>115</v>
      </c>
      <c r="C5" s="170">
        <f>'2'!M36</f>
        <v>300000000</v>
      </c>
    </row>
    <row r="6" spans="1:4" ht="15.75">
      <c r="A6" s="158">
        <v>3</v>
      </c>
      <c r="B6" s="159" t="s">
        <v>116</v>
      </c>
      <c r="C6" s="170">
        <v>300000000</v>
      </c>
    </row>
    <row r="7" spans="1:4" ht="15.75">
      <c r="A7" s="158">
        <v>4</v>
      </c>
      <c r="B7" s="159" t="s">
        <v>233</v>
      </c>
      <c r="C7" s="170"/>
    </row>
    <row r="8" spans="1:4" ht="15.75">
      <c r="A8" s="158">
        <v>5</v>
      </c>
      <c r="B8" s="159" t="s">
        <v>600</v>
      </c>
      <c r="C8" s="170">
        <v>135000000</v>
      </c>
      <c r="D8" s="85"/>
    </row>
    <row r="9" spans="1:4" ht="15.75">
      <c r="A9" s="158">
        <v>6</v>
      </c>
      <c r="B9" s="159" t="s">
        <v>108</v>
      </c>
      <c r="C9" s="170"/>
    </row>
    <row r="10" spans="1:4" ht="15.75">
      <c r="A10" s="158">
        <v>7</v>
      </c>
      <c r="B10" s="159" t="s">
        <v>107</v>
      </c>
      <c r="C10" s="170">
        <v>59500000</v>
      </c>
    </row>
    <row r="11" spans="1:4" ht="15.75">
      <c r="A11" s="158">
        <v>8</v>
      </c>
      <c r="B11" s="159" t="s">
        <v>403</v>
      </c>
      <c r="C11" s="170">
        <v>969923500</v>
      </c>
    </row>
    <row r="12" spans="1:4" ht="15.75">
      <c r="A12" s="158" t="s">
        <v>14</v>
      </c>
      <c r="B12" s="159" t="s">
        <v>220</v>
      </c>
      <c r="C12" s="170"/>
    </row>
    <row r="13" spans="1:4" ht="15.75">
      <c r="A13" s="158">
        <v>9</v>
      </c>
      <c r="B13" s="159" t="s">
        <v>149</v>
      </c>
      <c r="C13" s="170"/>
    </row>
    <row r="14" spans="1:4" ht="15.75">
      <c r="A14" s="158">
        <v>10</v>
      </c>
      <c r="B14" s="159" t="s">
        <v>413</v>
      </c>
      <c r="C14" s="170"/>
    </row>
    <row r="15" spans="1:4" ht="15.75">
      <c r="A15" s="158" t="s">
        <v>75</v>
      </c>
      <c r="B15" s="159" t="s">
        <v>232</v>
      </c>
      <c r="C15" s="170"/>
    </row>
    <row r="16" spans="1:4" ht="15.75">
      <c r="A16" s="158" t="s">
        <v>223</v>
      </c>
      <c r="B16" s="159" t="s">
        <v>231</v>
      </c>
      <c r="C16" s="170"/>
    </row>
    <row r="17" spans="1:3" ht="15.75">
      <c r="A17" s="158" t="s">
        <v>217</v>
      </c>
      <c r="B17" s="159" t="s">
        <v>225</v>
      </c>
      <c r="C17" s="170"/>
    </row>
    <row r="18" spans="1:3" ht="15.75">
      <c r="A18" s="158" t="s">
        <v>216</v>
      </c>
      <c r="B18" s="159" t="s">
        <v>226</v>
      </c>
      <c r="C18" s="170"/>
    </row>
    <row r="19" spans="1:3" ht="15.75">
      <c r="A19" s="158">
        <v>11</v>
      </c>
      <c r="B19" s="159" t="s">
        <v>140</v>
      </c>
      <c r="C19" s="170">
        <v>27608000</v>
      </c>
    </row>
    <row r="20" spans="1:3" ht="15.75">
      <c r="A20" s="158" t="s">
        <v>221</v>
      </c>
      <c r="B20" s="159" t="s">
        <v>228</v>
      </c>
      <c r="C20" s="170"/>
    </row>
    <row r="21" spans="1:3" ht="15.75">
      <c r="A21" s="158" t="s">
        <v>78</v>
      </c>
      <c r="B21" s="159" t="s">
        <v>79</v>
      </c>
      <c r="C21" s="170"/>
    </row>
    <row r="22" spans="1:3" ht="15.75">
      <c r="A22" s="158" t="s">
        <v>224</v>
      </c>
      <c r="B22" s="159" t="s">
        <v>227</v>
      </c>
      <c r="C22" s="170"/>
    </row>
    <row r="23" spans="1:3" ht="15.75">
      <c r="A23" s="158" t="s">
        <v>455</v>
      </c>
      <c r="B23" s="159" t="s">
        <v>167</v>
      </c>
      <c r="C23" s="170"/>
    </row>
    <row r="24" spans="1:3" ht="15.75">
      <c r="A24" s="158">
        <v>12</v>
      </c>
      <c r="B24" s="159" t="s">
        <v>114</v>
      </c>
      <c r="C24" s="170">
        <v>26950000</v>
      </c>
    </row>
    <row r="25" spans="1:3" ht="15.75">
      <c r="A25" s="158" t="s">
        <v>222</v>
      </c>
      <c r="B25" s="159" t="s">
        <v>82</v>
      </c>
      <c r="C25" s="170">
        <v>5213600</v>
      </c>
    </row>
    <row r="26" spans="1:3" ht="15.75">
      <c r="A26" s="158">
        <v>13</v>
      </c>
      <c r="B26" s="159" t="s">
        <v>230</v>
      </c>
      <c r="C26" s="170">
        <v>22492064</v>
      </c>
    </row>
    <row r="27" spans="1:3" ht="15.75">
      <c r="A27" s="158" t="s">
        <v>24</v>
      </c>
      <c r="B27" s="159" t="s">
        <v>67</v>
      </c>
      <c r="C27" s="170"/>
    </row>
    <row r="28" spans="1:3" ht="15.75">
      <c r="A28" s="158">
        <v>14</v>
      </c>
      <c r="B28" s="159" t="s">
        <v>409</v>
      </c>
      <c r="C28" s="170">
        <v>28000000</v>
      </c>
    </row>
    <row r="29" spans="1:3" ht="15.75">
      <c r="A29" s="158">
        <v>15</v>
      </c>
      <c r="B29" s="159" t="s">
        <v>88</v>
      </c>
      <c r="C29" s="170">
        <v>260000000</v>
      </c>
    </row>
    <row r="30" spans="1:3" ht="15.75">
      <c r="A30" s="158">
        <v>16</v>
      </c>
      <c r="B30" s="159" t="s">
        <v>404</v>
      </c>
      <c r="C30" s="170">
        <v>23429200</v>
      </c>
    </row>
    <row r="31" spans="1:3" ht="15.75">
      <c r="A31" s="158">
        <v>17</v>
      </c>
      <c r="B31" s="159" t="s">
        <v>405</v>
      </c>
      <c r="C31" s="170"/>
    </row>
    <row r="32" spans="1:3" ht="15.75">
      <c r="A32" s="158">
        <v>18</v>
      </c>
      <c r="B32" s="159" t="s">
        <v>408</v>
      </c>
      <c r="C32" s="170"/>
    </row>
    <row r="33" spans="1:3" ht="15.75">
      <c r="A33" s="158">
        <v>19</v>
      </c>
      <c r="B33" s="159" t="s">
        <v>124</v>
      </c>
      <c r="C33" s="170">
        <v>27448000</v>
      </c>
    </row>
    <row r="34" spans="1:3" ht="15.75">
      <c r="A34" s="158">
        <v>20</v>
      </c>
      <c r="B34" s="159" t="s">
        <v>662</v>
      </c>
      <c r="C34" s="170"/>
    </row>
    <row r="35" spans="1:3" ht="15.75">
      <c r="A35" s="158" t="s">
        <v>655</v>
      </c>
      <c r="B35" s="159" t="s">
        <v>656</v>
      </c>
      <c r="C35" s="170"/>
    </row>
    <row r="36" spans="1:3" ht="15.75">
      <c r="A36" s="158">
        <v>21</v>
      </c>
      <c r="B36" s="159" t="s">
        <v>113</v>
      </c>
      <c r="C36" s="170">
        <v>8400000</v>
      </c>
    </row>
    <row r="37" spans="1:3" ht="15.75">
      <c r="A37" s="158">
        <v>22</v>
      </c>
      <c r="B37" s="159" t="s">
        <v>411</v>
      </c>
      <c r="C37" s="170">
        <v>3500000</v>
      </c>
    </row>
    <row r="38" spans="1:3" ht="15.75">
      <c r="A38" s="158">
        <v>23</v>
      </c>
      <c r="B38" s="159" t="s">
        <v>412</v>
      </c>
      <c r="C38" s="170">
        <v>13256320</v>
      </c>
    </row>
    <row r="39" spans="1:3" ht="15.75">
      <c r="A39" s="158">
        <v>24</v>
      </c>
      <c r="B39" s="159" t="s">
        <v>229</v>
      </c>
      <c r="C39" s="170"/>
    </row>
    <row r="40" spans="1:3" ht="15.75">
      <c r="A40" s="158">
        <v>25</v>
      </c>
      <c r="B40" s="159" t="s">
        <v>410</v>
      </c>
      <c r="C40" s="170"/>
    </row>
    <row r="41" spans="1:3" ht="15.75">
      <c r="A41" s="158">
        <v>26</v>
      </c>
      <c r="B41" s="159" t="s">
        <v>416</v>
      </c>
      <c r="C41" s="170"/>
    </row>
    <row r="42" spans="1:3" ht="15.75">
      <c r="A42" s="158">
        <v>27</v>
      </c>
      <c r="B42" s="159" t="s">
        <v>112</v>
      </c>
      <c r="C42" s="170">
        <v>6300000</v>
      </c>
    </row>
    <row r="43" spans="1:3" ht="15.75">
      <c r="A43" s="158">
        <v>28</v>
      </c>
      <c r="B43" s="159" t="s">
        <v>91</v>
      </c>
      <c r="C43" s="170"/>
    </row>
    <row r="44" spans="1:3" ht="15.75">
      <c r="A44" s="158">
        <v>29</v>
      </c>
      <c r="B44" s="159" t="s">
        <v>551</v>
      </c>
      <c r="C44" s="170">
        <v>4002912</v>
      </c>
    </row>
    <row r="45" spans="1:3" ht="15.75">
      <c r="A45" s="160">
        <v>30</v>
      </c>
      <c r="B45" s="159" t="s">
        <v>402</v>
      </c>
      <c r="C45" s="171">
        <v>16683520</v>
      </c>
    </row>
    <row r="46" spans="1:3" ht="15.75">
      <c r="A46" s="158">
        <v>31</v>
      </c>
      <c r="B46" s="159" t="s">
        <v>407</v>
      </c>
      <c r="C46" s="170">
        <v>37430512</v>
      </c>
    </row>
    <row r="47" spans="1:3" ht="15.75">
      <c r="A47" s="158">
        <v>32</v>
      </c>
      <c r="B47" s="159" t="s">
        <v>84</v>
      </c>
      <c r="C47" s="170"/>
    </row>
    <row r="48" spans="1:3" ht="15.75">
      <c r="A48" s="161">
        <v>33</v>
      </c>
      <c r="B48" s="159" t="s">
        <v>87</v>
      </c>
      <c r="C48" s="170"/>
    </row>
    <row r="49" spans="1:3" ht="15.75">
      <c r="A49" s="161">
        <v>34</v>
      </c>
      <c r="B49" s="159" t="s">
        <v>121</v>
      </c>
      <c r="C49" s="170"/>
    </row>
    <row r="50" spans="1:3" ht="15.75">
      <c r="A50" s="162">
        <v>35</v>
      </c>
      <c r="B50" s="163" t="s">
        <v>400</v>
      </c>
      <c r="C50" s="171"/>
    </row>
    <row r="51" spans="1:3" ht="15.75">
      <c r="A51" s="164">
        <v>36</v>
      </c>
      <c r="B51" s="165" t="s">
        <v>639</v>
      </c>
      <c r="C51" s="170">
        <v>3000000</v>
      </c>
    </row>
    <row r="52" spans="1:3" ht="15.75">
      <c r="A52" s="166">
        <v>37</v>
      </c>
      <c r="B52" s="167" t="s">
        <v>415</v>
      </c>
      <c r="C52" s="172"/>
    </row>
    <row r="53" spans="1:3" ht="15.75">
      <c r="A53" s="166">
        <v>38</v>
      </c>
      <c r="B53" s="167" t="s">
        <v>548</v>
      </c>
      <c r="C53" s="173">
        <v>12600000</v>
      </c>
    </row>
    <row r="54" spans="1:3" ht="15.75">
      <c r="A54" s="166">
        <v>39</v>
      </c>
      <c r="B54" s="167" t="s">
        <v>633</v>
      </c>
      <c r="C54" s="172"/>
    </row>
    <row r="55" spans="1:3" ht="15.75">
      <c r="A55" s="166">
        <v>40</v>
      </c>
      <c r="B55" s="167" t="s">
        <v>657</v>
      </c>
      <c r="C55" s="172"/>
    </row>
    <row r="56" spans="1:3" ht="15.75">
      <c r="A56" s="166">
        <v>41</v>
      </c>
      <c r="B56" s="167" t="s">
        <v>663</v>
      </c>
      <c r="C56" s="172"/>
    </row>
    <row r="57" spans="1:3" ht="15.75">
      <c r="A57" s="166">
        <v>42</v>
      </c>
      <c r="B57" s="167" t="s">
        <v>672</v>
      </c>
      <c r="C57" s="172"/>
    </row>
    <row r="58" spans="1:3" ht="16.5" thickBot="1">
      <c r="A58" s="168"/>
      <c r="B58" s="169" t="s">
        <v>401</v>
      </c>
      <c r="C58" s="174">
        <f>SUM(C2:C57)</f>
        <v>2290737628</v>
      </c>
    </row>
  </sheetData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60" workbookViewId="0">
      <selection activeCell="Q13" sqref="Q13"/>
    </sheetView>
  </sheetViews>
  <sheetFormatPr defaultRowHeight="23.25"/>
  <cols>
    <col min="1" max="1" width="9.33203125" style="68"/>
    <col min="2" max="2" width="57" style="68" bestFit="1" customWidth="1"/>
    <col min="3" max="5" width="16.33203125" style="68" hidden="1" customWidth="1"/>
    <col min="6" max="8" width="9.33203125" style="68" hidden="1" customWidth="1"/>
    <col min="9" max="9" width="16.33203125" style="68" hidden="1" customWidth="1"/>
    <col min="10" max="10" width="17.6640625" style="68" hidden="1" customWidth="1"/>
    <col min="11" max="11" width="24.83203125" style="68" bestFit="1" customWidth="1"/>
    <col min="12" max="12" width="25.33203125" style="68" bestFit="1" customWidth="1"/>
    <col min="13" max="13" width="15.5" style="68" bestFit="1" customWidth="1"/>
    <col min="14" max="14" width="9.33203125" style="68" hidden="1" customWidth="1"/>
    <col min="15" max="16384" width="9.33203125" style="68"/>
  </cols>
  <sheetData>
    <row r="1" spans="1:13">
      <c r="A1" s="23" t="s">
        <v>44</v>
      </c>
      <c r="B1" s="34">
        <v>8</v>
      </c>
      <c r="C1" s="33"/>
      <c r="D1" s="33"/>
      <c r="E1" s="33"/>
      <c r="F1" s="33"/>
      <c r="G1" s="33"/>
      <c r="H1" s="33"/>
      <c r="I1" s="33"/>
      <c r="J1" s="33"/>
      <c r="K1" s="33"/>
      <c r="L1" s="22"/>
      <c r="M1" s="22"/>
    </row>
    <row r="2" spans="1:13">
      <c r="A2" s="23" t="s">
        <v>248</v>
      </c>
      <c r="B2" s="22" t="s">
        <v>165</v>
      </c>
      <c r="C2" s="33"/>
      <c r="D2" s="33"/>
      <c r="E2" s="33"/>
      <c r="F2" s="33"/>
      <c r="G2" s="33"/>
      <c r="H2" s="71"/>
      <c r="I2" s="71"/>
      <c r="J2" s="71" t="s">
        <v>180</v>
      </c>
      <c r="K2" s="71" t="s">
        <v>297</v>
      </c>
      <c r="L2" s="33" t="s">
        <v>640</v>
      </c>
      <c r="M2" s="33" t="s">
        <v>3</v>
      </c>
    </row>
    <row r="3" spans="1:13">
      <c r="A3" s="23" t="s">
        <v>249</v>
      </c>
      <c r="B3" s="22" t="s">
        <v>250</v>
      </c>
      <c r="C3" s="33">
        <v>61545000</v>
      </c>
      <c r="D3" s="33">
        <v>74124000</v>
      </c>
      <c r="E3" s="33">
        <v>64128000</v>
      </c>
      <c r="F3" s="33">
        <v>72660000</v>
      </c>
      <c r="G3" s="33">
        <v>72660000</v>
      </c>
      <c r="H3" s="33">
        <f>72660000+42936000</f>
        <v>115596000</v>
      </c>
      <c r="I3" s="33">
        <f>150274800+4149600+13104000+3198000</f>
        <v>170726400</v>
      </c>
      <c r="J3" s="33"/>
      <c r="K3" s="33"/>
      <c r="L3" s="33"/>
      <c r="M3" s="33"/>
    </row>
    <row r="4" spans="1:13">
      <c r="A4" s="70" t="s">
        <v>247</v>
      </c>
      <c r="B4" s="33" t="s">
        <v>508</v>
      </c>
      <c r="C4" s="33">
        <v>1180900</v>
      </c>
      <c r="D4" s="33"/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305572400</v>
      </c>
      <c r="K4" s="186"/>
      <c r="L4" s="33"/>
      <c r="M4" s="33"/>
    </row>
    <row r="5" spans="1:13">
      <c r="A5" s="70" t="s">
        <v>251</v>
      </c>
      <c r="B5" s="33" t="s">
        <v>780</v>
      </c>
      <c r="C5" s="33">
        <v>1123486000</v>
      </c>
      <c r="D5" s="33">
        <v>1227036000</v>
      </c>
      <c r="E5" s="33">
        <v>1192428000</v>
      </c>
      <c r="F5" s="33">
        <f>1935276000+1200000</f>
        <v>1936476000</v>
      </c>
      <c r="G5" s="33">
        <f>1936476000+600000000</f>
        <v>2536476000</v>
      </c>
      <c r="H5" s="33">
        <f>2529276000+54000000</f>
        <v>2583276000</v>
      </c>
      <c r="I5" s="33">
        <f>2530476000+4800000</f>
        <v>2535276000</v>
      </c>
      <c r="J5" s="33">
        <v>0</v>
      </c>
      <c r="K5" s="186">
        <v>390000000</v>
      </c>
      <c r="L5" s="33">
        <v>390000000</v>
      </c>
      <c r="M5" s="33"/>
    </row>
    <row r="6" spans="1:13">
      <c r="A6" s="70" t="s">
        <v>649</v>
      </c>
      <c r="B6" s="33" t="s">
        <v>507</v>
      </c>
      <c r="C6" s="33"/>
      <c r="D6" s="33"/>
      <c r="E6" s="33"/>
      <c r="F6" s="33"/>
      <c r="G6" s="33"/>
      <c r="H6" s="33"/>
      <c r="I6" s="33"/>
      <c r="J6" s="33"/>
      <c r="K6" s="186"/>
      <c r="L6" s="33"/>
      <c r="M6" s="33"/>
    </row>
    <row r="7" spans="1:13">
      <c r="A7" s="70" t="s">
        <v>252</v>
      </c>
      <c r="B7" s="33" t="s">
        <v>448</v>
      </c>
      <c r="C7" s="33"/>
      <c r="D7" s="33"/>
      <c r="E7" s="33"/>
      <c r="F7" s="33"/>
      <c r="G7" s="33"/>
      <c r="H7" s="33"/>
      <c r="I7" s="33"/>
      <c r="J7" s="33">
        <v>338400000</v>
      </c>
      <c r="K7" s="186">
        <v>195000000</v>
      </c>
      <c r="L7" s="33">
        <v>195000000</v>
      </c>
      <c r="M7" s="33"/>
    </row>
    <row r="8" spans="1:13">
      <c r="A8" s="70" t="s">
        <v>254</v>
      </c>
      <c r="B8" s="33" t="s">
        <v>674</v>
      </c>
      <c r="C8" s="33">
        <v>2500000</v>
      </c>
      <c r="D8" s="33">
        <v>2000000</v>
      </c>
      <c r="E8" s="33">
        <v>2000000</v>
      </c>
      <c r="F8" s="33">
        <v>2000000</v>
      </c>
      <c r="G8" s="33">
        <v>1600000</v>
      </c>
      <c r="H8" s="33">
        <v>41000000</v>
      </c>
      <c r="I8" s="33">
        <v>41000000</v>
      </c>
      <c r="J8" s="33">
        <v>0</v>
      </c>
      <c r="K8" s="186"/>
      <c r="L8" s="33"/>
      <c r="M8" s="33"/>
    </row>
    <row r="9" spans="1:13">
      <c r="A9" s="23" t="s">
        <v>255</v>
      </c>
      <c r="B9" s="22" t="s">
        <v>256</v>
      </c>
      <c r="C9" s="33"/>
      <c r="D9" s="33"/>
      <c r="E9" s="33"/>
      <c r="F9" s="33"/>
      <c r="G9" s="33"/>
      <c r="H9" s="33"/>
      <c r="I9" s="33"/>
      <c r="J9" s="33">
        <v>0</v>
      </c>
      <c r="K9" s="186"/>
      <c r="L9" s="33"/>
      <c r="M9" s="33"/>
    </row>
    <row r="10" spans="1:13">
      <c r="A10" s="70" t="s">
        <v>257</v>
      </c>
      <c r="B10" s="33" t="s">
        <v>506</v>
      </c>
      <c r="C10" s="33">
        <v>0</v>
      </c>
      <c r="D10" s="33">
        <v>0</v>
      </c>
      <c r="E10" s="33">
        <v>0</v>
      </c>
      <c r="F10" s="33">
        <v>0</v>
      </c>
      <c r="G10" s="33"/>
      <c r="H10" s="33">
        <v>0</v>
      </c>
      <c r="I10" s="33">
        <v>0</v>
      </c>
      <c r="J10" s="33">
        <v>0</v>
      </c>
      <c r="K10" s="186"/>
      <c r="L10" s="33"/>
      <c r="M10" s="33"/>
    </row>
    <row r="11" spans="1:13">
      <c r="A11" s="70" t="s">
        <v>259</v>
      </c>
      <c r="B11" s="33" t="s">
        <v>211</v>
      </c>
      <c r="C11" s="33">
        <v>56250000</v>
      </c>
      <c r="D11" s="33">
        <v>65000000</v>
      </c>
      <c r="E11" s="33">
        <v>65000000</v>
      </c>
      <c r="F11" s="33">
        <v>65000000</v>
      </c>
      <c r="G11" s="33">
        <v>86788800</v>
      </c>
      <c r="H11" s="33">
        <v>141500000</v>
      </c>
      <c r="I11" s="33">
        <v>200000000</v>
      </c>
      <c r="J11" s="33">
        <v>6869200</v>
      </c>
      <c r="K11" s="186"/>
      <c r="L11" s="33"/>
      <c r="M11" s="33"/>
    </row>
    <row r="12" spans="1:13">
      <c r="A12" s="70" t="s">
        <v>258</v>
      </c>
      <c r="B12" s="33" t="s">
        <v>261</v>
      </c>
      <c r="C12" s="33">
        <v>18000000</v>
      </c>
      <c r="D12" s="33">
        <f>25000000-2000000</f>
        <v>23000000</v>
      </c>
      <c r="E12" s="33">
        <v>23000000</v>
      </c>
      <c r="F12" s="33">
        <v>23000000</v>
      </c>
      <c r="G12" s="33">
        <v>18400000</v>
      </c>
      <c r="H12" s="33">
        <v>56000000</v>
      </c>
      <c r="I12" s="33">
        <v>100000000</v>
      </c>
      <c r="J12" s="33">
        <v>0</v>
      </c>
      <c r="K12" s="186"/>
      <c r="L12" s="33"/>
      <c r="M12" s="33"/>
    </row>
    <row r="13" spans="1:13">
      <c r="A13" s="70"/>
      <c r="B13" s="22" t="s">
        <v>119</v>
      </c>
      <c r="C13" s="33">
        <v>11878000</v>
      </c>
      <c r="D13" s="33">
        <f>2000000+2000000</f>
        <v>4000000</v>
      </c>
      <c r="E13" s="33">
        <v>2000000</v>
      </c>
      <c r="F13" s="33">
        <v>2000000</v>
      </c>
      <c r="G13" s="33">
        <v>1600000</v>
      </c>
      <c r="H13" s="33">
        <v>30000000</v>
      </c>
      <c r="I13" s="33">
        <v>60000000</v>
      </c>
      <c r="J13" s="22">
        <f>SUM(J4:J12)</f>
        <v>650841600</v>
      </c>
      <c r="K13" s="187">
        <f>SUM(K5:K12)</f>
        <v>585000000</v>
      </c>
      <c r="L13" s="22">
        <f>SUM(L4:L12)</f>
        <v>585000000</v>
      </c>
      <c r="M13" s="33"/>
    </row>
    <row r="14" spans="1:13">
      <c r="A14" s="23" t="s">
        <v>262</v>
      </c>
      <c r="B14" s="22" t="s">
        <v>263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200000000</v>
      </c>
      <c r="I14" s="33">
        <v>200000000</v>
      </c>
      <c r="J14" s="33"/>
      <c r="K14" s="186"/>
      <c r="L14" s="33"/>
      <c r="M14" s="33"/>
    </row>
    <row r="15" spans="1:13">
      <c r="A15" s="23" t="s">
        <v>265</v>
      </c>
      <c r="B15" s="22" t="s">
        <v>264</v>
      </c>
      <c r="C15" s="33"/>
      <c r="D15" s="33"/>
      <c r="E15" s="33"/>
      <c r="F15" s="33"/>
      <c r="G15" s="33"/>
      <c r="H15" s="33"/>
      <c r="I15" s="33"/>
      <c r="J15" s="33"/>
      <c r="K15" s="186"/>
      <c r="L15" s="33"/>
      <c r="M15" s="33"/>
    </row>
    <row r="16" spans="1:13">
      <c r="A16" s="70" t="s">
        <v>266</v>
      </c>
      <c r="B16" s="33" t="s">
        <v>38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356850000</v>
      </c>
      <c r="I16" s="33">
        <v>0</v>
      </c>
      <c r="J16" s="33">
        <v>11479200</v>
      </c>
      <c r="K16" s="186"/>
      <c r="L16" s="33"/>
      <c r="M16" s="33"/>
    </row>
    <row r="17" spans="1:13">
      <c r="A17" s="70" t="s">
        <v>267</v>
      </c>
      <c r="B17" s="33" t="s">
        <v>152</v>
      </c>
      <c r="C17" s="33">
        <v>1500000</v>
      </c>
      <c r="D17" s="33">
        <v>5500000</v>
      </c>
      <c r="E17" s="33">
        <v>500000</v>
      </c>
      <c r="F17" s="33">
        <v>500000</v>
      </c>
      <c r="G17" s="33">
        <v>400000</v>
      </c>
      <c r="H17" s="33">
        <v>12000000</v>
      </c>
      <c r="I17" s="33">
        <v>20000000</v>
      </c>
      <c r="J17" s="33">
        <v>0</v>
      </c>
      <c r="K17" s="186"/>
      <c r="L17" s="33"/>
      <c r="M17" s="33"/>
    </row>
    <row r="18" spans="1:13">
      <c r="A18" s="70" t="s">
        <v>268</v>
      </c>
      <c r="B18" s="33" t="s">
        <v>153</v>
      </c>
      <c r="C18" s="33"/>
      <c r="D18" s="33"/>
      <c r="E18" s="33"/>
      <c r="F18" s="33"/>
      <c r="G18" s="33"/>
      <c r="H18" s="33"/>
      <c r="I18" s="33"/>
      <c r="J18" s="33">
        <v>8500000</v>
      </c>
      <c r="K18" s="186"/>
      <c r="L18" s="33"/>
      <c r="M18" s="33"/>
    </row>
    <row r="19" spans="1:13">
      <c r="A19" s="70" t="s">
        <v>269</v>
      </c>
      <c r="B19" s="33" t="s">
        <v>186</v>
      </c>
      <c r="C19" s="33"/>
      <c r="D19" s="33"/>
      <c r="E19" s="33"/>
      <c r="F19" s="33"/>
      <c r="G19" s="33"/>
      <c r="H19" s="33"/>
      <c r="I19" s="33"/>
      <c r="J19" s="33">
        <v>32726886</v>
      </c>
      <c r="K19" s="186"/>
      <c r="L19" s="33">
        <v>50000000</v>
      </c>
      <c r="M19" s="33"/>
    </row>
    <row r="20" spans="1:13">
      <c r="A20" s="70" t="s">
        <v>270</v>
      </c>
      <c r="B20" s="33" t="s">
        <v>581</v>
      </c>
      <c r="C20" s="33"/>
      <c r="D20" s="33"/>
      <c r="E20" s="33"/>
      <c r="F20" s="33"/>
      <c r="G20" s="33"/>
      <c r="H20" s="33"/>
      <c r="I20" s="33"/>
      <c r="J20" s="33">
        <v>136500000</v>
      </c>
      <c r="K20" s="186"/>
      <c r="L20" s="33"/>
      <c r="M20" s="33"/>
    </row>
    <row r="21" spans="1:13">
      <c r="A21" s="70" t="s">
        <v>271</v>
      </c>
      <c r="B21" s="33" t="s">
        <v>154</v>
      </c>
      <c r="C21" s="33">
        <v>2500000</v>
      </c>
      <c r="D21" s="33">
        <v>2000000</v>
      </c>
      <c r="E21" s="33">
        <v>2000000</v>
      </c>
      <c r="F21" s="33">
        <v>2000000</v>
      </c>
      <c r="G21" s="33">
        <v>1600000</v>
      </c>
      <c r="H21" s="33">
        <v>41000000</v>
      </c>
      <c r="I21" s="33">
        <v>41000000</v>
      </c>
      <c r="J21" s="33">
        <v>15735744</v>
      </c>
      <c r="K21" s="186"/>
      <c r="L21" s="33"/>
      <c r="M21" s="33"/>
    </row>
    <row r="22" spans="1:13">
      <c r="A22" s="70" t="s">
        <v>272</v>
      </c>
      <c r="B22" s="33" t="s">
        <v>54</v>
      </c>
      <c r="C22" s="33">
        <f t="shared" ref="C22:I22" si="0">SUM(C16:C21)</f>
        <v>4000000</v>
      </c>
      <c r="D22" s="33">
        <f t="shared" si="0"/>
        <v>7500000</v>
      </c>
      <c r="E22" s="33">
        <f t="shared" si="0"/>
        <v>2500000</v>
      </c>
      <c r="F22" s="33">
        <f t="shared" si="0"/>
        <v>2500000</v>
      </c>
      <c r="G22" s="33">
        <f t="shared" si="0"/>
        <v>2000000</v>
      </c>
      <c r="H22" s="33">
        <f t="shared" si="0"/>
        <v>409850000</v>
      </c>
      <c r="I22" s="22">
        <f t="shared" si="0"/>
        <v>61000000</v>
      </c>
      <c r="J22" s="33">
        <v>19737600</v>
      </c>
      <c r="K22" s="186"/>
      <c r="L22" s="33">
        <v>300000000</v>
      </c>
      <c r="M22" s="33"/>
    </row>
    <row r="23" spans="1:13">
      <c r="A23" s="70" t="s">
        <v>273</v>
      </c>
      <c r="B23" s="33" t="s">
        <v>120</v>
      </c>
      <c r="C23" s="33"/>
      <c r="D23" s="33"/>
      <c r="E23" s="33"/>
      <c r="F23" s="33"/>
      <c r="G23" s="33"/>
      <c r="H23" s="33"/>
      <c r="I23" s="33"/>
      <c r="J23" s="33">
        <v>0</v>
      </c>
      <c r="K23" s="186"/>
      <c r="L23" s="33">
        <v>400000000</v>
      </c>
      <c r="M23" s="33"/>
    </row>
    <row r="24" spans="1:13">
      <c r="A24" s="70" t="s">
        <v>274</v>
      </c>
      <c r="B24" s="33" t="s">
        <v>164</v>
      </c>
      <c r="C24" s="33">
        <v>23000000</v>
      </c>
      <c r="D24" s="33">
        <v>15000000</v>
      </c>
      <c r="E24" s="33">
        <v>8949700</v>
      </c>
      <c r="F24" s="33">
        <v>8949700</v>
      </c>
      <c r="G24" s="33">
        <v>12000000</v>
      </c>
      <c r="H24" s="33">
        <v>80000000</v>
      </c>
      <c r="I24" s="33">
        <v>80000000</v>
      </c>
      <c r="J24" s="33">
        <v>25610000</v>
      </c>
      <c r="K24" s="186"/>
      <c r="L24" s="33">
        <v>20000000</v>
      </c>
      <c r="M24" s="33"/>
    </row>
    <row r="25" spans="1:13">
      <c r="A25" s="70" t="s">
        <v>275</v>
      </c>
      <c r="B25" s="33" t="s">
        <v>40</v>
      </c>
      <c r="C25" s="33">
        <v>10061000</v>
      </c>
      <c r="D25" s="33">
        <v>2000000</v>
      </c>
      <c r="E25" s="33">
        <v>0</v>
      </c>
      <c r="F25" s="33">
        <v>0</v>
      </c>
      <c r="G25" s="33">
        <v>0</v>
      </c>
      <c r="H25" s="33">
        <v>30000000</v>
      </c>
      <c r="I25" s="33">
        <v>40000000</v>
      </c>
      <c r="J25" s="33">
        <v>3038784</v>
      </c>
      <c r="K25" s="186"/>
      <c r="L25" s="33">
        <v>20000000</v>
      </c>
      <c r="M25" s="33"/>
    </row>
    <row r="26" spans="1:13">
      <c r="A26" s="70" t="s">
        <v>526</v>
      </c>
      <c r="B26" s="33" t="s">
        <v>527</v>
      </c>
      <c r="C26" s="33"/>
      <c r="D26" s="33"/>
      <c r="E26" s="33"/>
      <c r="F26" s="33"/>
      <c r="G26" s="33"/>
      <c r="H26" s="33"/>
      <c r="I26" s="33"/>
      <c r="J26" s="33">
        <v>0</v>
      </c>
      <c r="K26" s="186"/>
      <c r="L26" s="33"/>
      <c r="M26" s="33"/>
    </row>
    <row r="27" spans="1:13">
      <c r="A27" s="70" t="s">
        <v>342</v>
      </c>
      <c r="B27" s="33" t="s">
        <v>312</v>
      </c>
      <c r="C27" s="33"/>
      <c r="D27" s="33"/>
      <c r="E27" s="33"/>
      <c r="F27" s="33"/>
      <c r="G27" s="33"/>
      <c r="H27" s="33"/>
      <c r="I27" s="33"/>
      <c r="J27" s="33">
        <v>9256033256</v>
      </c>
      <c r="K27" s="186"/>
      <c r="L27" s="33"/>
      <c r="M27" s="33"/>
    </row>
    <row r="28" spans="1:13">
      <c r="A28" s="70" t="s">
        <v>277</v>
      </c>
      <c r="B28" s="33" t="s">
        <v>218</v>
      </c>
      <c r="C28" s="33">
        <v>3000000</v>
      </c>
      <c r="D28" s="33">
        <v>1500000</v>
      </c>
      <c r="E28" s="33">
        <v>0</v>
      </c>
      <c r="F28" s="33">
        <v>0</v>
      </c>
      <c r="G28" s="33">
        <v>0</v>
      </c>
      <c r="H28" s="33">
        <v>15000000</v>
      </c>
      <c r="I28" s="33">
        <v>20000000</v>
      </c>
      <c r="J28" s="33">
        <v>1355821960</v>
      </c>
      <c r="K28" s="186"/>
      <c r="L28" s="33"/>
      <c r="M28" s="33"/>
    </row>
    <row r="29" spans="1:13">
      <c r="A29" s="188" t="s">
        <v>276</v>
      </c>
      <c r="B29" s="189" t="s">
        <v>634</v>
      </c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40000000</v>
      </c>
      <c r="I29" s="189">
        <v>70000000</v>
      </c>
      <c r="J29" s="189">
        <v>0</v>
      </c>
      <c r="K29" s="186"/>
      <c r="L29" s="189"/>
      <c r="M29" s="189"/>
    </row>
    <row r="30" spans="1:13">
      <c r="A30" s="70"/>
      <c r="B30" s="22" t="s">
        <v>119</v>
      </c>
      <c r="C30" s="33">
        <v>0</v>
      </c>
      <c r="D30" s="33">
        <v>0</v>
      </c>
      <c r="E30" s="33">
        <v>0</v>
      </c>
      <c r="F30" s="33">
        <v>0</v>
      </c>
      <c r="G30" s="33">
        <v>16000000</v>
      </c>
      <c r="H30" s="33">
        <v>360113000</v>
      </c>
      <c r="I30" s="33">
        <v>208212162</v>
      </c>
      <c r="J30" s="22">
        <f>SUM(J16:J29)</f>
        <v>10865183430</v>
      </c>
      <c r="K30" s="186"/>
      <c r="L30" s="22">
        <f>SUM(L16:L29)</f>
        <v>790000000</v>
      </c>
      <c r="M30" s="33"/>
    </row>
    <row r="31" spans="1:13">
      <c r="A31" s="23" t="s">
        <v>279</v>
      </c>
      <c r="B31" s="22" t="s">
        <v>278</v>
      </c>
      <c r="C31" s="33"/>
      <c r="D31" s="33"/>
      <c r="E31" s="33"/>
      <c r="F31" s="33"/>
      <c r="G31" s="33"/>
      <c r="H31" s="33"/>
      <c r="I31" s="33">
        <v>0</v>
      </c>
      <c r="J31" s="33"/>
      <c r="K31" s="186"/>
      <c r="L31" s="33"/>
      <c r="M31" s="33"/>
    </row>
    <row r="32" spans="1:13">
      <c r="A32" s="70" t="s">
        <v>280</v>
      </c>
      <c r="B32" s="33" t="s">
        <v>160</v>
      </c>
      <c r="C32" s="22" t="e">
        <f>#REF!+#REF!+#REF!+#REF!+#REF!</f>
        <v>#REF!</v>
      </c>
      <c r="D32" s="22" t="e">
        <f>#REF!+#REF!+#REF!+#REF!+#REF!</f>
        <v>#REF!</v>
      </c>
      <c r="E32" s="22" t="e">
        <f>#REF!+#REF!+#REF!+#REF!+#REF!</f>
        <v>#REF!</v>
      </c>
      <c r="F32" s="22" t="e">
        <f>#REF!+#REF!+#REF!+#REF!+#REF!</f>
        <v>#REF!</v>
      </c>
      <c r="G32" s="22" t="e">
        <f>#REF!+#REF!+#REF!+#REF!+#REF!</f>
        <v>#REF!</v>
      </c>
      <c r="H32" s="22" t="e">
        <f>#REF!+#REF!+#REF!+#REF!+#REF!</f>
        <v>#REF!</v>
      </c>
      <c r="I32" s="22" t="e">
        <f>#REF!+#REF!+#REF!+#REF!+#REF!</f>
        <v>#REF!</v>
      </c>
      <c r="J32" s="33">
        <v>7800000</v>
      </c>
      <c r="K32" s="186"/>
      <c r="L32" s="33"/>
      <c r="M32" s="33"/>
    </row>
    <row r="33" spans="1:13">
      <c r="A33" s="70" t="s">
        <v>281</v>
      </c>
      <c r="B33" s="33" t="s">
        <v>161</v>
      </c>
      <c r="C33" s="69"/>
      <c r="D33" s="69"/>
      <c r="E33" s="69"/>
      <c r="F33" s="32">
        <v>0</v>
      </c>
      <c r="G33" s="32" t="s">
        <v>4</v>
      </c>
      <c r="H33" s="32"/>
      <c r="I33" s="32"/>
      <c r="J33" s="33">
        <v>660119248</v>
      </c>
      <c r="K33" s="186"/>
      <c r="L33" s="33">
        <v>200000000</v>
      </c>
      <c r="M33" s="33"/>
    </row>
    <row r="34" spans="1:13">
      <c r="A34" s="70" t="s">
        <v>282</v>
      </c>
      <c r="B34" s="33" t="s">
        <v>155</v>
      </c>
      <c r="C34" s="69"/>
      <c r="D34" s="69"/>
      <c r="E34" s="69"/>
      <c r="F34" s="32"/>
      <c r="G34" s="32"/>
      <c r="H34" s="32"/>
      <c r="I34" s="32"/>
      <c r="J34" s="33">
        <v>38304400</v>
      </c>
      <c r="K34" s="186"/>
      <c r="L34" s="33"/>
      <c r="M34" s="33"/>
    </row>
    <row r="35" spans="1:13">
      <c r="A35" s="70" t="s">
        <v>283</v>
      </c>
      <c r="B35" s="33" t="s">
        <v>156</v>
      </c>
      <c r="C35" s="33"/>
      <c r="D35" s="33"/>
      <c r="E35" s="33"/>
      <c r="F35" s="33"/>
      <c r="G35" s="33"/>
      <c r="H35" s="33"/>
      <c r="I35" s="33"/>
      <c r="J35" s="33">
        <v>6017984</v>
      </c>
      <c r="K35" s="186"/>
      <c r="L35" s="33">
        <v>10000000</v>
      </c>
      <c r="M35" s="33"/>
    </row>
    <row r="36" spans="1:13">
      <c r="A36" s="70" t="s">
        <v>284</v>
      </c>
      <c r="B36" s="33" t="s">
        <v>162</v>
      </c>
      <c r="C36" s="33">
        <v>4000000</v>
      </c>
      <c r="D36" s="33">
        <v>2000000</v>
      </c>
      <c r="E36" s="33">
        <v>0</v>
      </c>
      <c r="F36" s="33">
        <v>0</v>
      </c>
      <c r="G36" s="33">
        <v>0</v>
      </c>
      <c r="H36" s="33">
        <v>200000000</v>
      </c>
      <c r="I36" s="33">
        <v>200000000</v>
      </c>
      <c r="J36" s="33">
        <v>0</v>
      </c>
      <c r="K36" s="186"/>
      <c r="L36" s="33"/>
      <c r="M36" s="33"/>
    </row>
    <row r="37" spans="1:13">
      <c r="A37" s="70" t="s">
        <v>298</v>
      </c>
      <c r="B37" s="33" t="s">
        <v>219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150000000</v>
      </c>
      <c r="I37" s="33">
        <v>150000000</v>
      </c>
      <c r="J37" s="33">
        <v>21501800</v>
      </c>
      <c r="K37" s="186"/>
      <c r="L37" s="33"/>
      <c r="M37" s="33"/>
    </row>
    <row r="38" spans="1:13">
      <c r="A38" s="70"/>
      <c r="B38" s="22" t="s">
        <v>119</v>
      </c>
      <c r="C38" s="33">
        <v>10089000</v>
      </c>
      <c r="D38" s="33">
        <v>10004000</v>
      </c>
      <c r="E38" s="33">
        <v>20004000</v>
      </c>
      <c r="F38" s="33">
        <v>20004000</v>
      </c>
      <c r="G38" s="33">
        <v>40003200</v>
      </c>
      <c r="H38" s="33">
        <v>100000000</v>
      </c>
      <c r="I38" s="33">
        <v>100000000</v>
      </c>
      <c r="J38" s="22">
        <f>SUM(J32:J37)</f>
        <v>733743432</v>
      </c>
      <c r="K38" s="186"/>
      <c r="L38" s="22">
        <f>SUM(L33:L37)</f>
        <v>210000000</v>
      </c>
      <c r="M38" s="33"/>
    </row>
    <row r="39" spans="1:13">
      <c r="A39" s="23" t="s">
        <v>285</v>
      </c>
      <c r="B39" s="22" t="s">
        <v>158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616200000</v>
      </c>
      <c r="I39" s="33">
        <v>616200000</v>
      </c>
      <c r="J39" s="33"/>
      <c r="K39" s="186"/>
      <c r="L39" s="33"/>
      <c r="M39" s="33"/>
    </row>
    <row r="40" spans="1:13">
      <c r="A40" s="70" t="s">
        <v>286</v>
      </c>
      <c r="B40" s="33" t="s">
        <v>55</v>
      </c>
      <c r="C40" s="33">
        <v>13333000</v>
      </c>
      <c r="D40" s="33">
        <v>5000000</v>
      </c>
      <c r="E40" s="33">
        <v>0</v>
      </c>
      <c r="F40" s="33">
        <v>0</v>
      </c>
      <c r="G40" s="33">
        <v>0</v>
      </c>
      <c r="H40" s="33">
        <v>100000000</v>
      </c>
      <c r="I40" s="33">
        <v>70000000</v>
      </c>
      <c r="J40" s="33">
        <v>59340500</v>
      </c>
      <c r="K40" s="186"/>
      <c r="L40" s="33"/>
      <c r="M40" s="33"/>
    </row>
    <row r="41" spans="1:13">
      <c r="A41" s="70" t="s">
        <v>288</v>
      </c>
      <c r="B41" s="33" t="s">
        <v>287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4424000</v>
      </c>
      <c r="K41" s="186"/>
      <c r="L41" s="33"/>
      <c r="M41" s="33"/>
    </row>
    <row r="42" spans="1:13">
      <c r="A42" s="70"/>
      <c r="B42" s="22" t="s">
        <v>119</v>
      </c>
      <c r="C42" s="22" t="e">
        <f>#REF!+#REF!+C35+C22+#REF!</f>
        <v>#REF!</v>
      </c>
      <c r="D42" s="22" t="e">
        <f>#REF!+#REF!+D35+D22+#REF!</f>
        <v>#REF!</v>
      </c>
      <c r="E42" s="22" t="e">
        <f>#REF!+#REF!+E35+E22+#REF!</f>
        <v>#REF!</v>
      </c>
      <c r="F42" s="22" t="e">
        <f>#REF!+#REF!+F35+F22+#REF!</f>
        <v>#REF!</v>
      </c>
      <c r="G42" s="22" t="e">
        <f>#REF!+#REF!+G22+G35+#REF!</f>
        <v>#REF!</v>
      </c>
      <c r="H42" s="22" t="e">
        <f>#REF!+#REF!+H35+H22+#REF!</f>
        <v>#REF!</v>
      </c>
      <c r="I42" s="22" t="e">
        <f>#REF!+#REF!+I35+I22+#REF!</f>
        <v>#REF!</v>
      </c>
      <c r="J42" s="22">
        <f>SUM(J40:J41)</f>
        <v>63764500</v>
      </c>
      <c r="K42" s="186"/>
      <c r="L42" s="22"/>
      <c r="M42" s="33"/>
    </row>
    <row r="43" spans="1:13">
      <c r="A43" s="23" t="s">
        <v>293</v>
      </c>
      <c r="B43" s="22" t="s">
        <v>292</v>
      </c>
      <c r="C43" s="33"/>
      <c r="D43" s="33"/>
      <c r="E43" s="33"/>
      <c r="F43" s="33"/>
      <c r="G43" s="33"/>
      <c r="H43" s="33"/>
      <c r="I43" s="33"/>
      <c r="J43" s="33"/>
      <c r="K43" s="186"/>
      <c r="L43" s="33"/>
      <c r="M43" s="33"/>
    </row>
    <row r="44" spans="1:13">
      <c r="A44" s="23" t="s">
        <v>294</v>
      </c>
      <c r="B44" s="22" t="s">
        <v>291</v>
      </c>
      <c r="C44" s="33"/>
      <c r="D44" s="33"/>
      <c r="E44" s="33"/>
      <c r="F44" s="33"/>
      <c r="G44" s="33"/>
      <c r="H44" s="33"/>
      <c r="I44" s="33"/>
      <c r="J44" s="33"/>
      <c r="K44" s="186"/>
      <c r="L44" s="33"/>
      <c r="M44" s="33"/>
    </row>
    <row r="45" spans="1:13">
      <c r="A45" s="70" t="s">
        <v>389</v>
      </c>
      <c r="B45" s="33" t="s">
        <v>307</v>
      </c>
      <c r="C45" s="33"/>
      <c r="D45" s="33"/>
      <c r="E45" s="33"/>
      <c r="F45" s="33"/>
      <c r="G45" s="33"/>
      <c r="H45" s="33"/>
      <c r="I45" s="33"/>
      <c r="J45" s="33">
        <v>7480000</v>
      </c>
      <c r="K45" s="186"/>
      <c r="L45" s="33"/>
      <c r="M45" s="33"/>
    </row>
    <row r="46" spans="1:13">
      <c r="A46" s="70" t="s">
        <v>388</v>
      </c>
      <c r="B46" s="33" t="s">
        <v>309</v>
      </c>
      <c r="C46" s="33"/>
      <c r="D46" s="33"/>
      <c r="E46" s="33"/>
      <c r="F46" s="33"/>
      <c r="G46" s="33"/>
      <c r="H46" s="33"/>
      <c r="I46" s="33"/>
      <c r="J46" s="33">
        <v>524149920</v>
      </c>
      <c r="K46" s="186"/>
      <c r="L46" s="33"/>
      <c r="M46" s="33"/>
    </row>
    <row r="47" spans="1:13">
      <c r="A47" s="70" t="s">
        <v>295</v>
      </c>
      <c r="B47" s="33" t="s">
        <v>176</v>
      </c>
      <c r="C47" s="33"/>
      <c r="D47" s="33"/>
      <c r="E47" s="33"/>
      <c r="F47" s="33"/>
      <c r="G47" s="33"/>
      <c r="H47" s="33"/>
      <c r="I47" s="33"/>
      <c r="J47" s="33">
        <v>0</v>
      </c>
      <c r="K47" s="186"/>
      <c r="L47" s="33"/>
      <c r="M47" s="33"/>
    </row>
    <row r="48" spans="1:13">
      <c r="A48" s="70" t="s">
        <v>579</v>
      </c>
      <c r="B48" s="33" t="s">
        <v>580</v>
      </c>
      <c r="C48" s="33"/>
      <c r="D48" s="33"/>
      <c r="E48" s="33"/>
      <c r="F48" s="33"/>
      <c r="G48" s="33"/>
      <c r="H48" s="33"/>
      <c r="I48" s="33"/>
      <c r="J48" s="33">
        <v>0</v>
      </c>
      <c r="K48" s="186"/>
      <c r="L48" s="33"/>
      <c r="M48" s="33"/>
    </row>
    <row r="49" spans="1:13">
      <c r="A49" s="70"/>
      <c r="B49" s="22" t="s">
        <v>119</v>
      </c>
      <c r="C49" s="33"/>
      <c r="D49" s="33"/>
      <c r="E49" s="33"/>
      <c r="F49" s="33"/>
      <c r="G49" s="33"/>
      <c r="H49" s="33"/>
      <c r="I49" s="33"/>
      <c r="J49" s="22">
        <f>SUM(J45:J48)</f>
        <v>531629920</v>
      </c>
      <c r="K49" s="186"/>
      <c r="L49" s="22"/>
      <c r="M49" s="33"/>
    </row>
    <row r="50" spans="1:13">
      <c r="A50" s="23" t="s">
        <v>781</v>
      </c>
      <c r="B50" s="22" t="s">
        <v>782</v>
      </c>
      <c r="C50" s="33"/>
      <c r="D50" s="33"/>
      <c r="E50" s="33"/>
      <c r="F50" s="33"/>
      <c r="G50" s="33"/>
      <c r="H50" s="33"/>
      <c r="I50" s="33"/>
      <c r="J50" s="22"/>
      <c r="K50" s="186"/>
      <c r="L50" s="22"/>
      <c r="M50" s="33"/>
    </row>
    <row r="51" spans="1:13">
      <c r="A51" s="70" t="s">
        <v>783</v>
      </c>
      <c r="B51" s="33" t="s">
        <v>784</v>
      </c>
      <c r="C51" s="33"/>
      <c r="D51" s="33"/>
      <c r="E51" s="33"/>
      <c r="F51" s="33"/>
      <c r="G51" s="33"/>
      <c r="H51" s="33"/>
      <c r="I51" s="33"/>
      <c r="J51" s="22"/>
      <c r="K51" s="186"/>
      <c r="L51" s="22">
        <v>900000000</v>
      </c>
      <c r="M51" s="33"/>
    </row>
    <row r="52" spans="1:13" s="194" customFormat="1">
      <c r="A52" s="191" t="s">
        <v>611</v>
      </c>
      <c r="B52" s="192" t="s">
        <v>612</v>
      </c>
      <c r="C52" s="87"/>
      <c r="D52" s="87"/>
      <c r="E52" s="87"/>
      <c r="F52" s="87"/>
      <c r="G52" s="87"/>
      <c r="H52" s="87"/>
      <c r="I52" s="87"/>
      <c r="J52" s="87"/>
      <c r="K52" s="193"/>
      <c r="L52" s="87"/>
      <c r="M52" s="87"/>
    </row>
    <row r="53" spans="1:13">
      <c r="A53" s="70" t="s">
        <v>433</v>
      </c>
      <c r="B53" s="33" t="s">
        <v>599</v>
      </c>
      <c r="C53" s="33"/>
      <c r="D53" s="33"/>
      <c r="E53" s="33"/>
      <c r="F53" s="33"/>
      <c r="G53" s="33"/>
      <c r="H53" s="33"/>
      <c r="I53" s="33"/>
      <c r="J53" s="33">
        <v>350400000</v>
      </c>
      <c r="K53" s="186"/>
      <c r="L53" s="33"/>
      <c r="M53" s="33"/>
    </row>
    <row r="54" spans="1:13">
      <c r="A54" s="70"/>
      <c r="B54" s="22" t="s">
        <v>119</v>
      </c>
      <c r="C54" s="33"/>
      <c r="D54" s="33"/>
      <c r="E54" s="33"/>
      <c r="F54" s="33"/>
      <c r="G54" s="33"/>
      <c r="H54" s="33"/>
      <c r="I54" s="33"/>
      <c r="J54" s="22">
        <f>SUM(J53)</f>
        <v>350400000</v>
      </c>
      <c r="K54" s="186"/>
      <c r="L54" s="22"/>
      <c r="M54" s="33"/>
    </row>
    <row r="55" spans="1:13" ht="24" thickBot="1">
      <c r="A55" s="190"/>
      <c r="B55" s="37" t="s">
        <v>42</v>
      </c>
      <c r="C55" s="36"/>
      <c r="D55" s="36"/>
      <c r="E55" s="36"/>
      <c r="F55" s="36"/>
      <c r="G55" s="36"/>
      <c r="H55" s="36"/>
      <c r="I55" s="36"/>
      <c r="J55" s="37">
        <f>J54+J49+J42+J38+J30+J13</f>
        <v>13195562882</v>
      </c>
      <c r="K55" s="186"/>
      <c r="L55" s="37">
        <f>L51+L38+L30+L13</f>
        <v>2485000000</v>
      </c>
      <c r="M55" s="33"/>
    </row>
  </sheetData>
  <pageMargins left="0.7" right="0.7" top="0.75" bottom="0.75" header="0.3" footer="0.3"/>
  <pageSetup scale="68" orientation="portrait" r:id="rId1"/>
  <ignoredErrors>
    <ignoredError sqref="K13" formula="1"/>
  </ignoredErrors>
</worksheet>
</file>

<file path=xl/worksheets/sheet72.xml><?xml version="1.0" encoding="utf-8"?>
<worksheet xmlns="http://schemas.openxmlformats.org/spreadsheetml/2006/main" xmlns:r="http://schemas.openxmlformats.org/officeDocument/2006/relationships">
  <dimension ref="A1:D5"/>
  <sheetViews>
    <sheetView topLeftCell="C1" workbookViewId="0">
      <selection activeCell="F4" sqref="F4"/>
    </sheetView>
  </sheetViews>
  <sheetFormatPr defaultRowHeight="12.75"/>
  <cols>
    <col min="1" max="1" width="16.33203125" bestFit="1" customWidth="1"/>
    <col min="2" max="2" width="84.33203125" bestFit="1" customWidth="1"/>
    <col min="3" max="4" width="50.1640625" style="85" bestFit="1" customWidth="1"/>
  </cols>
  <sheetData>
    <row r="1" spans="1:4" ht="45" customHeight="1">
      <c r="A1" s="210" t="s">
        <v>891</v>
      </c>
      <c r="B1" s="210" t="s">
        <v>798</v>
      </c>
      <c r="C1" s="211" t="s">
        <v>892</v>
      </c>
      <c r="D1" s="211" t="s">
        <v>893</v>
      </c>
    </row>
    <row r="2" spans="1:4" ht="45" customHeight="1">
      <c r="A2" s="210">
        <v>1</v>
      </c>
      <c r="B2" s="210" t="s">
        <v>894</v>
      </c>
      <c r="C2" s="211">
        <v>639369240470</v>
      </c>
      <c r="D2" s="211">
        <f>C2</f>
        <v>639369240470</v>
      </c>
    </row>
    <row r="3" spans="1:4" ht="45" customHeight="1">
      <c r="A3" s="210">
        <v>2</v>
      </c>
      <c r="B3" s="210" t="s">
        <v>895</v>
      </c>
      <c r="C3" s="211">
        <v>52090032780</v>
      </c>
      <c r="D3" s="211">
        <f>C3</f>
        <v>52090032780</v>
      </c>
    </row>
    <row r="4" spans="1:4" ht="45" customHeight="1">
      <c r="A4" s="210">
        <v>3</v>
      </c>
      <c r="B4" s="210" t="s">
        <v>896</v>
      </c>
      <c r="C4" s="211">
        <v>39609088797</v>
      </c>
      <c r="D4" s="211">
        <f>C4</f>
        <v>39609088797</v>
      </c>
    </row>
    <row r="5" spans="1:4" ht="45" customHeight="1">
      <c r="A5" s="210"/>
      <c r="B5" s="212" t="s">
        <v>800</v>
      </c>
      <c r="C5" s="213">
        <f>SUM(C2:C4)</f>
        <v>731068362047</v>
      </c>
      <c r="D5" s="213">
        <f>SUM(D2:D4)</f>
        <v>731068362047</v>
      </c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topLeftCell="B1" zoomScale="60" workbookViewId="0">
      <selection activeCell="B1" sqref="B1:F1"/>
    </sheetView>
  </sheetViews>
  <sheetFormatPr defaultRowHeight="54.95" customHeight="1"/>
  <cols>
    <col min="1" max="1" width="14" style="58" bestFit="1" customWidth="1"/>
    <col min="2" max="2" width="46.1640625" style="58" bestFit="1" customWidth="1"/>
    <col min="3" max="3" width="34" style="82" bestFit="1" customWidth="1"/>
    <col min="4" max="4" width="14.1640625" style="58" bestFit="1" customWidth="1"/>
    <col min="5" max="5" width="66.1640625" style="58" bestFit="1" customWidth="1"/>
    <col min="6" max="6" width="39.6640625" style="58" bestFit="1" customWidth="1"/>
    <col min="7" max="16384" width="9.33203125" style="58"/>
  </cols>
  <sheetData>
    <row r="1" spans="1:6" ht="54.95" customHeight="1">
      <c r="A1" s="214"/>
      <c r="B1" s="743"/>
      <c r="C1" s="743"/>
      <c r="D1" s="743"/>
      <c r="E1" s="743"/>
      <c r="F1" s="743"/>
    </row>
    <row r="2" spans="1:6" s="216" customFormat="1" ht="54.95" customHeight="1">
      <c r="A2" s="215"/>
      <c r="B2" s="744" t="s">
        <v>907</v>
      </c>
      <c r="C2" s="745"/>
      <c r="D2" s="746" t="s">
        <v>908</v>
      </c>
      <c r="E2" s="746"/>
      <c r="F2" s="746"/>
    </row>
    <row r="3" spans="1:6" s="216" customFormat="1" ht="54.95" customHeight="1">
      <c r="A3" s="217" t="s">
        <v>28</v>
      </c>
      <c r="B3" s="217" t="s">
        <v>29</v>
      </c>
      <c r="C3" s="218" t="s">
        <v>909</v>
      </c>
      <c r="D3" s="217" t="s">
        <v>910</v>
      </c>
      <c r="E3" s="217" t="s">
        <v>29</v>
      </c>
      <c r="F3" s="217" t="s">
        <v>909</v>
      </c>
    </row>
    <row r="4" spans="1:6" ht="54.95" customHeight="1">
      <c r="A4" s="214" t="s">
        <v>911</v>
      </c>
      <c r="B4" s="214" t="s">
        <v>912</v>
      </c>
      <c r="C4" s="219">
        <v>469017194657</v>
      </c>
      <c r="D4" s="220" t="s">
        <v>28</v>
      </c>
      <c r="E4" s="220" t="s">
        <v>798</v>
      </c>
      <c r="F4" s="221" t="s">
        <v>799</v>
      </c>
    </row>
    <row r="5" spans="1:6" ht="54.95" customHeight="1">
      <c r="A5" s="214" t="s">
        <v>913</v>
      </c>
      <c r="B5" s="214" t="s">
        <v>914</v>
      </c>
      <c r="C5" s="219">
        <v>114323175932</v>
      </c>
      <c r="D5" s="222" t="s">
        <v>476</v>
      </c>
      <c r="E5" s="222" t="s">
        <v>31</v>
      </c>
      <c r="F5" s="223">
        <v>336396573273</v>
      </c>
    </row>
    <row r="6" spans="1:6" ht="54.95" customHeight="1">
      <c r="A6" s="214" t="s">
        <v>915</v>
      </c>
      <c r="B6" s="214" t="s">
        <v>916</v>
      </c>
      <c r="C6" s="224">
        <v>56028869881</v>
      </c>
      <c r="D6" s="222" t="s">
        <v>478</v>
      </c>
      <c r="E6" s="222" t="s">
        <v>794</v>
      </c>
      <c r="F6" s="223">
        <v>119592038192</v>
      </c>
    </row>
    <row r="7" spans="1:6" ht="54.95" customHeight="1">
      <c r="A7" s="214"/>
      <c r="B7" s="214"/>
      <c r="C7" s="219"/>
      <c r="D7" s="222" t="s">
        <v>481</v>
      </c>
      <c r="E7" s="222" t="s">
        <v>795</v>
      </c>
      <c r="F7" s="223">
        <v>91139875595</v>
      </c>
    </row>
    <row r="8" spans="1:6" ht="54.95" customHeight="1">
      <c r="A8" s="214"/>
      <c r="B8" s="214"/>
      <c r="C8" s="219"/>
      <c r="D8" s="222" t="s">
        <v>502</v>
      </c>
      <c r="E8" s="222" t="s">
        <v>796</v>
      </c>
      <c r="F8" s="223">
        <v>6141762733</v>
      </c>
    </row>
    <row r="9" spans="1:6" ht="54.95" customHeight="1">
      <c r="A9" s="214"/>
      <c r="B9" s="214"/>
      <c r="C9" s="219"/>
      <c r="D9" s="222" t="s">
        <v>497</v>
      </c>
      <c r="E9" s="222" t="s">
        <v>545</v>
      </c>
      <c r="F9" s="223">
        <v>26434411720</v>
      </c>
    </row>
    <row r="10" spans="1:6" ht="54.95" customHeight="1">
      <c r="A10" s="214"/>
      <c r="B10" s="214"/>
      <c r="C10" s="219"/>
      <c r="D10" s="222" t="s">
        <v>338</v>
      </c>
      <c r="E10" s="222" t="s">
        <v>301</v>
      </c>
      <c r="F10" s="223">
        <v>13787769860</v>
      </c>
    </row>
    <row r="11" spans="1:6" ht="54.95" customHeight="1">
      <c r="A11" s="214"/>
      <c r="B11" s="217"/>
      <c r="C11" s="218"/>
      <c r="D11" s="222" t="s">
        <v>611</v>
      </c>
      <c r="E11" s="222" t="s">
        <v>797</v>
      </c>
      <c r="F11" s="223">
        <v>5040712400</v>
      </c>
    </row>
    <row r="12" spans="1:6" ht="54.95" customHeight="1">
      <c r="A12" s="214"/>
      <c r="B12" s="214"/>
      <c r="C12" s="219"/>
      <c r="D12" s="222" t="s">
        <v>807</v>
      </c>
      <c r="E12" s="222" t="s">
        <v>809</v>
      </c>
      <c r="F12" s="223">
        <v>40836096697</v>
      </c>
    </row>
    <row r="13" spans="1:6" s="216" customFormat="1" ht="54.95" customHeight="1">
      <c r="A13" s="217"/>
      <c r="B13" s="217" t="s">
        <v>800</v>
      </c>
      <c r="C13" s="218">
        <f>SUM(C4:C12)</f>
        <v>639369240470</v>
      </c>
      <c r="D13" s="220"/>
      <c r="E13" s="220"/>
      <c r="F13" s="225">
        <f>SUM(F5:F12)</f>
        <v>639369240470</v>
      </c>
    </row>
  </sheetData>
  <mergeCells count="3">
    <mergeCell ref="B1:F1"/>
    <mergeCell ref="B2:C2"/>
    <mergeCell ref="D2:F2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topLeftCell="I1" zoomScale="60" workbookViewId="0">
      <selection activeCell="C18" sqref="C18"/>
    </sheetView>
  </sheetViews>
  <sheetFormatPr defaultRowHeight="12.75"/>
  <cols>
    <col min="1" max="1" width="22" style="14" customWidth="1"/>
    <col min="2" max="2" width="21" style="14" customWidth="1"/>
    <col min="3" max="3" width="28.6640625" style="14" bestFit="1" customWidth="1"/>
    <col min="4" max="6" width="24.83203125" style="14" bestFit="1" customWidth="1"/>
    <col min="7" max="8" width="26.83203125" style="14" bestFit="1" customWidth="1"/>
    <col min="9" max="9" width="22.1640625" style="14" bestFit="1" customWidth="1"/>
    <col min="10" max="10" width="24.83203125" style="14" bestFit="1" customWidth="1"/>
    <col min="11" max="11" width="22.1640625" style="14" bestFit="1" customWidth="1"/>
    <col min="12" max="12" width="24.83203125" style="14" bestFit="1" customWidth="1"/>
    <col min="13" max="14" width="22.1640625" style="14" bestFit="1" customWidth="1"/>
    <col min="15" max="15" width="20.1640625" style="14" bestFit="1" customWidth="1"/>
    <col min="16" max="18" width="22.1640625" style="14" bestFit="1" customWidth="1"/>
    <col min="19" max="19" width="28.6640625" style="14" bestFit="1" customWidth="1"/>
    <col min="20" max="16384" width="9.33203125" style="14"/>
  </cols>
  <sheetData>
    <row r="1" spans="1:19" ht="19.5">
      <c r="A1" s="244" t="s">
        <v>917</v>
      </c>
      <c r="B1" s="244" t="s">
        <v>918</v>
      </c>
      <c r="C1" s="245" t="s">
        <v>919</v>
      </c>
      <c r="D1" s="245" t="s">
        <v>920</v>
      </c>
      <c r="E1" s="245" t="s">
        <v>921</v>
      </c>
      <c r="F1" s="245" t="s">
        <v>922</v>
      </c>
      <c r="G1" s="245" t="s">
        <v>923</v>
      </c>
      <c r="H1" s="245" t="s">
        <v>924</v>
      </c>
      <c r="I1" s="245" t="s">
        <v>925</v>
      </c>
      <c r="J1" s="245" t="s">
        <v>926</v>
      </c>
      <c r="K1" s="245" t="s">
        <v>927</v>
      </c>
      <c r="L1" s="245" t="s">
        <v>928</v>
      </c>
      <c r="M1" s="245" t="s">
        <v>929</v>
      </c>
      <c r="N1" s="245" t="s">
        <v>930</v>
      </c>
      <c r="O1" s="245" t="s">
        <v>931</v>
      </c>
      <c r="P1" s="245" t="s">
        <v>932</v>
      </c>
      <c r="Q1" s="245" t="s">
        <v>933</v>
      </c>
      <c r="R1" s="245" t="s">
        <v>934</v>
      </c>
      <c r="S1" s="246" t="s">
        <v>935</v>
      </c>
    </row>
    <row r="2" spans="1:19" ht="15.75">
      <c r="A2" s="247" t="s">
        <v>936</v>
      </c>
      <c r="B2" s="248">
        <v>78190371390</v>
      </c>
      <c r="C2" s="243">
        <v>10357188248</v>
      </c>
      <c r="D2" s="249">
        <v>3374154060</v>
      </c>
      <c r="E2" s="243">
        <v>2421899258</v>
      </c>
      <c r="F2" s="243">
        <v>581801950</v>
      </c>
      <c r="G2" s="243">
        <v>1223505525</v>
      </c>
      <c r="H2" s="243">
        <v>142975478</v>
      </c>
      <c r="I2" s="243">
        <v>91785653</v>
      </c>
      <c r="J2" s="243">
        <v>328555688</v>
      </c>
      <c r="K2" s="243">
        <v>0</v>
      </c>
      <c r="L2" s="243">
        <v>0</v>
      </c>
      <c r="M2" s="243">
        <v>0</v>
      </c>
      <c r="N2" s="243">
        <v>0</v>
      </c>
      <c r="O2" s="243">
        <v>0</v>
      </c>
      <c r="P2" s="243">
        <v>0</v>
      </c>
      <c r="Q2" s="243">
        <v>0</v>
      </c>
      <c r="R2" s="243">
        <v>0</v>
      </c>
      <c r="S2" s="249">
        <v>96712237250</v>
      </c>
    </row>
    <row r="3" spans="1:19" ht="15.75">
      <c r="A3" s="247" t="s">
        <v>937</v>
      </c>
      <c r="B3" s="243">
        <v>9700658903.5226002</v>
      </c>
      <c r="C3" s="243">
        <v>286077243999</v>
      </c>
      <c r="D3" s="249">
        <v>1348104492.2132738</v>
      </c>
      <c r="E3" s="243">
        <v>3751607198.8849378</v>
      </c>
      <c r="F3" s="243">
        <v>499961091.43486261</v>
      </c>
      <c r="G3" s="250">
        <v>75766632276</v>
      </c>
      <c r="H3" s="243">
        <v>14415337209.061268</v>
      </c>
      <c r="I3" s="243">
        <v>638855453.06072521</v>
      </c>
      <c r="J3" s="243">
        <v>2509709557.4153676</v>
      </c>
      <c r="K3" s="243">
        <v>367427265.43461752</v>
      </c>
      <c r="L3" s="243">
        <v>1054354629.0572504</v>
      </c>
      <c r="M3" s="243">
        <v>364783829.34786057</v>
      </c>
      <c r="N3" s="243">
        <v>387026062.40826929</v>
      </c>
      <c r="O3" s="243">
        <v>50171678.383098096</v>
      </c>
      <c r="P3" s="243">
        <v>131458416.03757706</v>
      </c>
      <c r="Q3" s="243">
        <v>141251678.23313022</v>
      </c>
      <c r="R3" s="243">
        <v>132997251.10893458</v>
      </c>
      <c r="S3" s="249">
        <v>397337580990.60376</v>
      </c>
    </row>
    <row r="4" spans="1:19" ht="15.75">
      <c r="A4" s="247" t="s">
        <v>938</v>
      </c>
      <c r="B4" s="248">
        <v>87891030293.522598</v>
      </c>
      <c r="C4" s="248">
        <v>296434432247</v>
      </c>
      <c r="D4" s="248">
        <v>4722258552.213274</v>
      </c>
      <c r="E4" s="248">
        <v>6173506456.8849373</v>
      </c>
      <c r="F4" s="248">
        <v>1081763041.4348626</v>
      </c>
      <c r="G4" s="248">
        <v>76990137801</v>
      </c>
      <c r="H4" s="248">
        <v>14558312687.061268</v>
      </c>
      <c r="I4" s="248">
        <v>730641106.06072521</v>
      </c>
      <c r="J4" s="248">
        <v>2838265245.4153676</v>
      </c>
      <c r="K4" s="248">
        <v>367427265.43461752</v>
      </c>
      <c r="L4" s="248">
        <v>1054354629.0572504</v>
      </c>
      <c r="M4" s="248">
        <v>364783829.34786057</v>
      </c>
      <c r="N4" s="248">
        <v>387026062.40826929</v>
      </c>
      <c r="O4" s="248">
        <v>50171678.383098096</v>
      </c>
      <c r="P4" s="248">
        <v>131458416.03757706</v>
      </c>
      <c r="Q4" s="248">
        <v>141251678.23313022</v>
      </c>
      <c r="R4" s="248">
        <v>132997251.10893458</v>
      </c>
      <c r="S4" s="248">
        <v>494049818240.60376</v>
      </c>
    </row>
    <row r="5" spans="1:19" ht="15.75">
      <c r="A5" s="247" t="s">
        <v>939</v>
      </c>
      <c r="B5" s="243">
        <v>4908136260</v>
      </c>
      <c r="C5" s="243">
        <v>0</v>
      </c>
      <c r="D5" s="249">
        <v>0</v>
      </c>
      <c r="E5" s="243">
        <v>0</v>
      </c>
      <c r="F5" s="243">
        <v>0</v>
      </c>
      <c r="G5" s="243">
        <v>0</v>
      </c>
      <c r="H5" s="243">
        <v>0</v>
      </c>
      <c r="I5" s="243">
        <v>0</v>
      </c>
      <c r="J5" s="243">
        <v>0</v>
      </c>
      <c r="K5" s="243">
        <v>0</v>
      </c>
      <c r="L5" s="243">
        <v>0</v>
      </c>
      <c r="M5" s="243">
        <v>0</v>
      </c>
      <c r="N5" s="243">
        <v>0</v>
      </c>
      <c r="O5" s="243">
        <v>0</v>
      </c>
      <c r="P5" s="243">
        <v>0</v>
      </c>
      <c r="Q5" s="243">
        <v>0</v>
      </c>
      <c r="R5" s="243">
        <v>0</v>
      </c>
      <c r="S5" s="249">
        <v>4908136260</v>
      </c>
    </row>
    <row r="6" spans="1:19" ht="15.75">
      <c r="A6" s="247" t="s">
        <v>940</v>
      </c>
      <c r="B6" s="243">
        <v>6385980000</v>
      </c>
      <c r="C6" s="243">
        <v>0</v>
      </c>
      <c r="D6" s="249">
        <v>0</v>
      </c>
      <c r="E6" s="243">
        <v>0</v>
      </c>
      <c r="F6" s="243">
        <v>0</v>
      </c>
      <c r="G6" s="243">
        <v>0</v>
      </c>
      <c r="H6" s="243">
        <v>0</v>
      </c>
      <c r="I6" s="243">
        <v>0</v>
      </c>
      <c r="J6" s="243">
        <v>0</v>
      </c>
      <c r="K6" s="243">
        <v>0</v>
      </c>
      <c r="L6" s="243">
        <v>0</v>
      </c>
      <c r="M6" s="243">
        <v>0</v>
      </c>
      <c r="N6" s="243">
        <v>0</v>
      </c>
      <c r="O6" s="243">
        <v>0</v>
      </c>
      <c r="P6" s="243">
        <v>0</v>
      </c>
      <c r="Q6" s="243">
        <v>0</v>
      </c>
      <c r="R6" s="243">
        <v>0</v>
      </c>
      <c r="S6" s="249">
        <v>6385980000</v>
      </c>
    </row>
    <row r="7" spans="1:19" ht="15.75">
      <c r="A7" s="247" t="s">
        <v>941</v>
      </c>
      <c r="B7" s="243">
        <v>1200000000</v>
      </c>
      <c r="C7" s="243">
        <v>0</v>
      </c>
      <c r="D7" s="249">
        <v>0</v>
      </c>
      <c r="E7" s="243">
        <v>0</v>
      </c>
      <c r="F7" s="243">
        <v>0</v>
      </c>
      <c r="G7" s="243">
        <v>0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>
        <v>0</v>
      </c>
      <c r="P7" s="243">
        <v>0</v>
      </c>
      <c r="Q7" s="243">
        <v>0</v>
      </c>
      <c r="R7" s="243">
        <v>0</v>
      </c>
      <c r="S7" s="249">
        <v>1200000000</v>
      </c>
    </row>
    <row r="8" spans="1:19" ht="15.75">
      <c r="A8" s="247" t="s">
        <v>942</v>
      </c>
      <c r="B8" s="243">
        <v>3103200000</v>
      </c>
      <c r="C8" s="243">
        <v>0</v>
      </c>
      <c r="D8" s="249">
        <v>0</v>
      </c>
      <c r="E8" s="243">
        <v>0</v>
      </c>
      <c r="F8" s="243">
        <v>0</v>
      </c>
      <c r="G8" s="243">
        <v>0</v>
      </c>
      <c r="H8" s="243">
        <v>0</v>
      </c>
      <c r="I8" s="243">
        <v>0</v>
      </c>
      <c r="J8" s="243">
        <v>0</v>
      </c>
      <c r="K8" s="243">
        <v>0</v>
      </c>
      <c r="L8" s="243">
        <v>0</v>
      </c>
      <c r="M8" s="243">
        <v>0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9">
        <v>3103200000</v>
      </c>
    </row>
    <row r="9" spans="1:19" ht="15.75">
      <c r="A9" s="247" t="s">
        <v>943</v>
      </c>
      <c r="B9" s="243">
        <v>3506538010</v>
      </c>
      <c r="C9" s="243">
        <v>0</v>
      </c>
      <c r="D9" s="249">
        <v>0</v>
      </c>
      <c r="E9" s="243">
        <v>0</v>
      </c>
      <c r="F9" s="243">
        <v>0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243">
        <v>0</v>
      </c>
      <c r="M9" s="243">
        <v>0</v>
      </c>
      <c r="N9" s="243">
        <v>0</v>
      </c>
      <c r="O9" s="243">
        <v>0</v>
      </c>
      <c r="P9" s="243">
        <v>0</v>
      </c>
      <c r="Q9" s="243">
        <v>0</v>
      </c>
      <c r="R9" s="243">
        <v>0</v>
      </c>
      <c r="S9" s="249">
        <v>3506538010</v>
      </c>
    </row>
    <row r="10" spans="1:19" ht="15.75">
      <c r="A10" s="247" t="s">
        <v>944</v>
      </c>
      <c r="B10" s="243">
        <v>4000000000</v>
      </c>
      <c r="C10" s="243">
        <v>0</v>
      </c>
      <c r="D10" s="249">
        <v>0</v>
      </c>
      <c r="E10" s="243">
        <v>0</v>
      </c>
      <c r="F10" s="243">
        <v>0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243">
        <v>0</v>
      </c>
      <c r="M10" s="243">
        <v>0</v>
      </c>
      <c r="N10" s="243">
        <v>0</v>
      </c>
      <c r="O10" s="243">
        <v>0</v>
      </c>
      <c r="P10" s="243">
        <v>0</v>
      </c>
      <c r="Q10" s="243">
        <v>0</v>
      </c>
      <c r="R10" s="243">
        <v>0</v>
      </c>
      <c r="S10" s="249">
        <v>4000000000</v>
      </c>
    </row>
    <row r="11" spans="1:19" ht="15.75">
      <c r="A11" s="247" t="s">
        <v>945</v>
      </c>
      <c r="B11" s="243">
        <v>0</v>
      </c>
      <c r="C11" s="243">
        <v>3500000000</v>
      </c>
      <c r="D11" s="249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43">
        <v>0</v>
      </c>
      <c r="R11" s="243">
        <v>0</v>
      </c>
      <c r="S11" s="249">
        <v>3500000000</v>
      </c>
    </row>
    <row r="12" spans="1:19" ht="15.75">
      <c r="A12" s="247" t="s">
        <v>946</v>
      </c>
      <c r="B12" s="243">
        <v>612392026</v>
      </c>
      <c r="C12" s="243">
        <v>0</v>
      </c>
      <c r="D12" s="249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43">
        <v>0</v>
      </c>
      <c r="M12" s="243">
        <v>0</v>
      </c>
      <c r="N12" s="243">
        <v>0</v>
      </c>
      <c r="O12" s="243">
        <v>0</v>
      </c>
      <c r="P12" s="243">
        <v>0</v>
      </c>
      <c r="Q12" s="243">
        <v>0</v>
      </c>
      <c r="R12" s="243">
        <v>0</v>
      </c>
      <c r="S12" s="249">
        <v>612392026</v>
      </c>
    </row>
    <row r="13" spans="1:19" ht="15.75">
      <c r="A13" s="247" t="s">
        <v>947</v>
      </c>
      <c r="B13" s="243">
        <v>0</v>
      </c>
      <c r="C13" s="243">
        <v>3780000000</v>
      </c>
      <c r="D13" s="249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3">
        <v>0</v>
      </c>
      <c r="R13" s="243"/>
      <c r="S13" s="249">
        <v>3780000000</v>
      </c>
    </row>
    <row r="14" spans="1:19" ht="15.75">
      <c r="A14" s="247" t="s">
        <v>948</v>
      </c>
      <c r="B14" s="243">
        <v>23716246296</v>
      </c>
      <c r="C14" s="243">
        <v>7280000000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43">
        <v>0</v>
      </c>
      <c r="P14" s="243">
        <v>0</v>
      </c>
      <c r="Q14" s="243">
        <v>0</v>
      </c>
      <c r="R14" s="243">
        <v>0</v>
      </c>
      <c r="S14" s="243">
        <v>30996246296</v>
      </c>
    </row>
    <row r="15" spans="1:19" ht="15.75">
      <c r="A15" s="247" t="s">
        <v>1074</v>
      </c>
      <c r="B15" s="243">
        <v>40836096697</v>
      </c>
      <c r="C15" s="243"/>
      <c r="D15" s="249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243">
        <v>0</v>
      </c>
      <c r="M15" s="243">
        <v>0</v>
      </c>
      <c r="N15" s="243">
        <v>0</v>
      </c>
      <c r="O15" s="243">
        <v>0</v>
      </c>
      <c r="P15" s="243">
        <v>0</v>
      </c>
      <c r="Q15" s="243">
        <v>0</v>
      </c>
      <c r="R15" s="243">
        <v>0</v>
      </c>
      <c r="S15" s="249">
        <v>40836096697</v>
      </c>
    </row>
    <row r="16" spans="1:19" ht="15.75">
      <c r="A16" s="247" t="s">
        <v>949</v>
      </c>
      <c r="B16" s="243">
        <v>15622739863</v>
      </c>
      <c r="C16" s="243">
        <v>0</v>
      </c>
      <c r="D16" s="249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0</v>
      </c>
      <c r="M16" s="243">
        <v>0</v>
      </c>
      <c r="N16" s="243">
        <v>0</v>
      </c>
      <c r="O16" s="243">
        <v>0</v>
      </c>
      <c r="P16" s="243">
        <v>0</v>
      </c>
      <c r="Q16" s="243">
        <v>0</v>
      </c>
      <c r="R16" s="243"/>
      <c r="S16" s="249">
        <v>15622739863</v>
      </c>
    </row>
    <row r="17" spans="1:19" ht="15.75">
      <c r="A17" s="247" t="s">
        <v>950</v>
      </c>
      <c r="B17" s="243">
        <v>57864339373</v>
      </c>
      <c r="C17" s="243">
        <v>0</v>
      </c>
      <c r="D17" s="249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3">
        <v>0</v>
      </c>
      <c r="S17" s="249">
        <v>57864339373</v>
      </c>
    </row>
    <row r="18" spans="1:19" ht="15.75">
      <c r="A18" s="247" t="s">
        <v>951</v>
      </c>
      <c r="B18" s="243">
        <v>0</v>
      </c>
      <c r="C18" s="243">
        <v>0</v>
      </c>
      <c r="D18" s="249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3">
        <v>0</v>
      </c>
      <c r="Q18" s="243">
        <v>0</v>
      </c>
      <c r="R18" s="243">
        <v>0</v>
      </c>
      <c r="S18" s="249">
        <v>0</v>
      </c>
    </row>
    <row r="19" spans="1:19" ht="15.75">
      <c r="A19" s="247" t="s">
        <v>952</v>
      </c>
      <c r="B19" s="243">
        <v>114323175933</v>
      </c>
      <c r="C19" s="243">
        <v>0</v>
      </c>
      <c r="D19" s="243">
        <v>0</v>
      </c>
      <c r="E19" s="243">
        <v>0</v>
      </c>
      <c r="F19" s="243">
        <v>0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  <c r="L19" s="243">
        <v>0</v>
      </c>
      <c r="M19" s="243">
        <v>0</v>
      </c>
      <c r="N19" s="243">
        <v>0</v>
      </c>
      <c r="O19" s="243">
        <v>0</v>
      </c>
      <c r="P19" s="243">
        <v>0</v>
      </c>
      <c r="Q19" s="243">
        <v>0</v>
      </c>
      <c r="R19" s="243">
        <v>0</v>
      </c>
      <c r="S19" s="243">
        <v>114323175933</v>
      </c>
    </row>
    <row r="20" spans="1:19" s="254" customFormat="1" ht="14.25">
      <c r="A20" s="251" t="s">
        <v>935</v>
      </c>
      <c r="B20" s="252">
        <v>225930452522.52258</v>
      </c>
      <c r="C20" s="252">
        <v>303714432247</v>
      </c>
      <c r="D20" s="252">
        <v>4722258552.213274</v>
      </c>
      <c r="E20" s="252">
        <v>6173506456.8849373</v>
      </c>
      <c r="F20" s="252">
        <v>1081763041.4348626</v>
      </c>
      <c r="G20" s="252">
        <v>76990137801</v>
      </c>
      <c r="H20" s="252">
        <v>14558312687.061268</v>
      </c>
      <c r="I20" s="252">
        <v>730641106.06072521</v>
      </c>
      <c r="J20" s="252">
        <v>2838265245.4153676</v>
      </c>
      <c r="K20" s="252">
        <v>367427265.43461752</v>
      </c>
      <c r="L20" s="252">
        <v>1054354629.0572504</v>
      </c>
      <c r="M20" s="252">
        <v>364783829.34786057</v>
      </c>
      <c r="N20" s="252">
        <v>387026062.40826929</v>
      </c>
      <c r="O20" s="252">
        <v>50171678.383098096</v>
      </c>
      <c r="P20" s="252">
        <v>131458416.03757706</v>
      </c>
      <c r="Q20" s="252">
        <v>141251678.23313022</v>
      </c>
      <c r="R20" s="252">
        <v>132997251.10893458</v>
      </c>
      <c r="S20" s="253">
        <v>639369240469.60376</v>
      </c>
    </row>
  </sheetData>
  <pageMargins left="0.7" right="0.7" top="0.75" bottom="0.75" header="0.3" footer="0.3"/>
  <pageSetup scale="45" orientation="portrait" r:id="rId1"/>
  <colBreaks count="1" manualBreakCount="1">
    <brk id="12" max="1048575" man="1"/>
  </colBreaks>
</worksheet>
</file>

<file path=xl/worksheets/sheet75.xml><?xml version="1.0" encoding="utf-8"?>
<worksheet xmlns="http://schemas.openxmlformats.org/spreadsheetml/2006/main" xmlns:r="http://schemas.openxmlformats.org/officeDocument/2006/relationships">
  <dimension ref="A1:E71"/>
  <sheetViews>
    <sheetView workbookViewId="0">
      <selection activeCell="C9" sqref="C9"/>
    </sheetView>
  </sheetViews>
  <sheetFormatPr defaultRowHeight="12.75"/>
  <cols>
    <col min="2" max="2" width="51.83203125" bestFit="1" customWidth="1"/>
    <col min="3" max="3" width="17.6640625" bestFit="1" customWidth="1"/>
    <col min="4" max="5" width="18.1640625" bestFit="1" customWidth="1"/>
  </cols>
  <sheetData>
    <row r="1" spans="1:5" ht="15.75">
      <c r="A1" s="226" t="s">
        <v>911</v>
      </c>
      <c r="B1" s="227" t="s">
        <v>953</v>
      </c>
      <c r="C1" s="227">
        <v>2011</v>
      </c>
      <c r="D1" s="227">
        <v>2012</v>
      </c>
      <c r="E1" s="227" t="s">
        <v>63</v>
      </c>
    </row>
    <row r="2" spans="1:5" ht="15.75">
      <c r="A2" s="228" t="s">
        <v>954</v>
      </c>
      <c r="B2" s="229" t="s">
        <v>955</v>
      </c>
      <c r="C2" s="229"/>
      <c r="D2" s="229"/>
      <c r="E2" s="229"/>
    </row>
    <row r="3" spans="1:5" ht="15.75">
      <c r="A3" s="229" t="s">
        <v>956</v>
      </c>
      <c r="B3" s="229" t="s">
        <v>957</v>
      </c>
      <c r="C3" s="230">
        <v>5078450456</v>
      </c>
      <c r="D3" s="231">
        <v>7239337858</v>
      </c>
      <c r="E3" s="232">
        <v>2160887402</v>
      </c>
    </row>
    <row r="4" spans="1:5" ht="15.75">
      <c r="A4" s="233" t="s">
        <v>958</v>
      </c>
      <c r="B4" s="233" t="s">
        <v>959</v>
      </c>
      <c r="C4" s="230">
        <v>12274086983</v>
      </c>
      <c r="D4" s="230">
        <v>22552371237</v>
      </c>
      <c r="E4" s="232">
        <v>10278284254</v>
      </c>
    </row>
    <row r="5" spans="1:5" ht="15.75">
      <c r="A5" s="233" t="s">
        <v>960</v>
      </c>
      <c r="B5" s="233" t="s">
        <v>961</v>
      </c>
      <c r="C5" s="230">
        <v>32041435395</v>
      </c>
      <c r="D5" s="230">
        <v>12115840466</v>
      </c>
      <c r="E5" s="232">
        <v>-19925594929</v>
      </c>
    </row>
    <row r="6" spans="1:5" ht="15.75">
      <c r="A6" s="233"/>
      <c r="B6" s="234" t="s">
        <v>962</v>
      </c>
      <c r="C6" s="235">
        <v>49393972834</v>
      </c>
      <c r="D6" s="235">
        <v>41907549561</v>
      </c>
      <c r="E6" s="236">
        <v>-7486423273</v>
      </c>
    </row>
    <row r="7" spans="1:5" ht="15.75">
      <c r="A7" s="237" t="s">
        <v>963</v>
      </c>
      <c r="B7" s="234" t="s">
        <v>964</v>
      </c>
      <c r="C7" s="235"/>
      <c r="D7" s="235"/>
      <c r="E7" s="232"/>
    </row>
    <row r="8" spans="1:5" ht="15.75">
      <c r="A8" s="229" t="s">
        <v>965</v>
      </c>
      <c r="B8" s="229" t="s">
        <v>966</v>
      </c>
      <c r="C8" s="230">
        <v>16000000000</v>
      </c>
      <c r="D8" s="230">
        <v>2665699949</v>
      </c>
      <c r="E8" s="232">
        <v>-13334300051</v>
      </c>
    </row>
    <row r="9" spans="1:5" ht="15.75">
      <c r="A9" s="229"/>
      <c r="B9" s="238" t="s">
        <v>962</v>
      </c>
      <c r="C9" s="235">
        <v>16000000000</v>
      </c>
      <c r="D9" s="235">
        <v>2665699949</v>
      </c>
      <c r="E9" s="236">
        <v>-13334300051</v>
      </c>
    </row>
    <row r="10" spans="1:5" ht="15.75">
      <c r="A10" s="228" t="s">
        <v>967</v>
      </c>
      <c r="B10" s="238" t="s">
        <v>968</v>
      </c>
      <c r="C10" s="235"/>
      <c r="D10" s="235"/>
      <c r="E10" s="232"/>
    </row>
    <row r="11" spans="1:5" ht="15.75">
      <c r="A11" s="229" t="s">
        <v>969</v>
      </c>
      <c r="B11" s="229" t="s">
        <v>970</v>
      </c>
      <c r="C11" s="230">
        <v>45067866606</v>
      </c>
      <c r="D11" s="230">
        <v>58989756777</v>
      </c>
      <c r="E11" s="232">
        <v>13921890171</v>
      </c>
    </row>
    <row r="12" spans="1:5" ht="15.75">
      <c r="A12" s="233" t="s">
        <v>971</v>
      </c>
      <c r="B12" s="233" t="s">
        <v>972</v>
      </c>
      <c r="C12" s="230">
        <v>651250000</v>
      </c>
      <c r="D12" s="230">
        <v>1200000000</v>
      </c>
      <c r="E12" s="232">
        <v>548750000</v>
      </c>
    </row>
    <row r="13" spans="1:5" ht="15.75">
      <c r="A13" s="233" t="s">
        <v>973</v>
      </c>
      <c r="B13" s="233" t="s">
        <v>974</v>
      </c>
      <c r="C13" s="230">
        <v>38651925000</v>
      </c>
      <c r="D13" s="230">
        <v>6385980000</v>
      </c>
      <c r="E13" s="232">
        <v>-32265945000</v>
      </c>
    </row>
    <row r="14" spans="1:5" ht="15.75">
      <c r="A14" s="229" t="s">
        <v>975</v>
      </c>
      <c r="B14" s="229" t="s">
        <v>976</v>
      </c>
      <c r="C14" s="230">
        <v>476934000</v>
      </c>
      <c r="D14" s="230">
        <v>645338299</v>
      </c>
      <c r="E14" s="232">
        <v>168404299</v>
      </c>
    </row>
    <row r="15" spans="1:5" ht="15.75">
      <c r="A15" s="229"/>
      <c r="B15" s="238" t="s">
        <v>962</v>
      </c>
      <c r="C15" s="235">
        <v>84847975606</v>
      </c>
      <c r="D15" s="235">
        <v>67221075076</v>
      </c>
      <c r="E15" s="236">
        <v>-17626900530</v>
      </c>
    </row>
    <row r="16" spans="1:5" ht="15.75">
      <c r="A16" s="228" t="s">
        <v>977</v>
      </c>
      <c r="B16" s="238" t="s">
        <v>978</v>
      </c>
      <c r="C16" s="235"/>
      <c r="D16" s="235"/>
      <c r="E16" s="232"/>
    </row>
    <row r="17" spans="1:5" ht="15.75">
      <c r="A17" s="239" t="s">
        <v>979</v>
      </c>
      <c r="B17" s="229" t="s">
        <v>980</v>
      </c>
      <c r="C17" s="231">
        <v>0</v>
      </c>
      <c r="D17" s="231">
        <v>0</v>
      </c>
      <c r="E17" s="231">
        <v>0</v>
      </c>
    </row>
    <row r="18" spans="1:5" ht="15.75">
      <c r="A18" s="233" t="s">
        <v>981</v>
      </c>
      <c r="B18" s="233" t="s">
        <v>982</v>
      </c>
      <c r="C18" s="230">
        <v>2000000</v>
      </c>
      <c r="D18" s="231">
        <v>0</v>
      </c>
      <c r="E18" s="232">
        <v>-2000000</v>
      </c>
    </row>
    <row r="19" spans="1:5" ht="15.75">
      <c r="A19" s="233" t="s">
        <v>983</v>
      </c>
      <c r="B19" s="233" t="s">
        <v>984</v>
      </c>
      <c r="C19" s="230">
        <v>4614981253</v>
      </c>
      <c r="D19" s="230">
        <v>9100813803</v>
      </c>
      <c r="E19" s="232">
        <v>4485832550</v>
      </c>
    </row>
    <row r="20" spans="1:5" ht="15.75">
      <c r="A20" s="233" t="s">
        <v>985</v>
      </c>
      <c r="B20" s="233" t="s">
        <v>986</v>
      </c>
      <c r="C20" s="230">
        <v>1055961921</v>
      </c>
      <c r="D20" s="230">
        <v>3986692543</v>
      </c>
      <c r="E20" s="232">
        <v>2930730622</v>
      </c>
    </row>
    <row r="21" spans="1:5" ht="15.75">
      <c r="A21" s="233" t="s">
        <v>987</v>
      </c>
      <c r="B21" s="233" t="s">
        <v>988</v>
      </c>
      <c r="C21" s="229">
        <v>904509447</v>
      </c>
      <c r="D21" s="231">
        <v>3506538010</v>
      </c>
      <c r="E21" s="232">
        <v>2602028563</v>
      </c>
    </row>
    <row r="22" spans="1:5" ht="15.75">
      <c r="A22" s="229" t="s">
        <v>989</v>
      </c>
      <c r="B22" s="229" t="s">
        <v>990</v>
      </c>
      <c r="C22" s="230">
        <v>32102526407</v>
      </c>
      <c r="D22" s="230">
        <v>21387064888</v>
      </c>
      <c r="E22" s="232">
        <v>-10715461519</v>
      </c>
    </row>
    <row r="23" spans="1:5" ht="15.75">
      <c r="A23" s="229" t="s">
        <v>991</v>
      </c>
      <c r="B23" s="229" t="s">
        <v>992</v>
      </c>
      <c r="C23" s="231">
        <v>0</v>
      </c>
      <c r="D23" s="230">
        <v>14796148</v>
      </c>
      <c r="E23" s="232">
        <v>14796148</v>
      </c>
    </row>
    <row r="24" spans="1:5" ht="15.75">
      <c r="A24" s="229" t="s">
        <v>993</v>
      </c>
      <c r="B24" s="229" t="s">
        <v>994</v>
      </c>
      <c r="C24" s="231">
        <v>0</v>
      </c>
      <c r="D24" s="231">
        <v>0</v>
      </c>
      <c r="E24" s="231">
        <v>0</v>
      </c>
    </row>
    <row r="25" spans="1:5" ht="15.75">
      <c r="A25" s="229" t="s">
        <v>995</v>
      </c>
      <c r="B25" s="229" t="s">
        <v>996</v>
      </c>
      <c r="C25" s="231">
        <v>15427621</v>
      </c>
      <c r="D25" s="231">
        <v>16466508</v>
      </c>
      <c r="E25" s="232">
        <v>1038887</v>
      </c>
    </row>
    <row r="26" spans="1:5" ht="15.75">
      <c r="A26" s="240"/>
      <c r="B26" s="240" t="s">
        <v>962</v>
      </c>
      <c r="C26" s="241">
        <v>38695406649</v>
      </c>
      <c r="D26" s="241">
        <v>38012371900</v>
      </c>
      <c r="E26" s="236">
        <v>-683034749</v>
      </c>
    </row>
    <row r="27" spans="1:5" ht="15.75">
      <c r="A27" s="228" t="s">
        <v>997</v>
      </c>
      <c r="B27" s="238" t="s">
        <v>998</v>
      </c>
      <c r="C27" s="235"/>
      <c r="D27" s="235"/>
      <c r="E27" s="232"/>
    </row>
    <row r="28" spans="1:5" ht="15.75">
      <c r="A28" s="229" t="s">
        <v>999</v>
      </c>
      <c r="B28" s="229" t="s">
        <v>1000</v>
      </c>
      <c r="C28" s="230">
        <v>174484933495</v>
      </c>
      <c r="D28" s="230">
        <v>197723353938</v>
      </c>
      <c r="E28" s="232">
        <v>23238420443</v>
      </c>
    </row>
    <row r="29" spans="1:5" ht="15.75">
      <c r="A29" s="229" t="s">
        <v>1001</v>
      </c>
      <c r="B29" s="229" t="s">
        <v>1002</v>
      </c>
      <c r="C29" s="230">
        <v>273461297</v>
      </c>
      <c r="D29" s="230">
        <v>377299572</v>
      </c>
      <c r="E29" s="232">
        <v>103838275</v>
      </c>
    </row>
    <row r="30" spans="1:5" ht="15.75">
      <c r="A30" s="229" t="s">
        <v>1003</v>
      </c>
      <c r="B30" s="229" t="s">
        <v>1004</v>
      </c>
      <c r="C30" s="230">
        <v>22710513164</v>
      </c>
      <c r="D30" s="230">
        <v>21905747140</v>
      </c>
      <c r="E30" s="232">
        <v>-804766024</v>
      </c>
    </row>
    <row r="31" spans="1:5" ht="15.75">
      <c r="A31" s="229" t="s">
        <v>1005</v>
      </c>
      <c r="B31" s="229" t="s">
        <v>1006</v>
      </c>
      <c r="C31" s="230">
        <v>48180166000</v>
      </c>
      <c r="D31" s="230">
        <v>67978527261</v>
      </c>
      <c r="E31" s="232">
        <v>19798361261</v>
      </c>
    </row>
    <row r="32" spans="1:5" ht="15.75">
      <c r="A32" s="238"/>
      <c r="B32" s="238" t="s">
        <v>962</v>
      </c>
      <c r="C32" s="235">
        <v>245649073956</v>
      </c>
      <c r="D32" s="235">
        <v>287984927911</v>
      </c>
      <c r="E32" s="236">
        <v>42335853955</v>
      </c>
    </row>
    <row r="33" spans="1:5" ht="15.75">
      <c r="A33" s="228" t="s">
        <v>1007</v>
      </c>
      <c r="B33" s="238" t="s">
        <v>1008</v>
      </c>
      <c r="C33" s="235"/>
      <c r="D33" s="235"/>
      <c r="E33" s="232"/>
    </row>
    <row r="34" spans="1:5" ht="15.75">
      <c r="A34" s="229" t="s">
        <v>1009</v>
      </c>
      <c r="B34" s="229" t="s">
        <v>1010</v>
      </c>
      <c r="C34" s="242">
        <v>0</v>
      </c>
      <c r="D34" s="230">
        <v>182140202</v>
      </c>
      <c r="E34" s="232">
        <v>182140202</v>
      </c>
    </row>
    <row r="35" spans="1:5" ht="15.75">
      <c r="A35" s="229" t="s">
        <v>1011</v>
      </c>
      <c r="B35" s="229" t="s">
        <v>1012</v>
      </c>
      <c r="C35" s="230">
        <v>39530939314</v>
      </c>
      <c r="D35" s="230">
        <v>27676845551</v>
      </c>
      <c r="E35" s="232">
        <v>-11854093763</v>
      </c>
    </row>
    <row r="36" spans="1:5" ht="15.75">
      <c r="A36" s="229" t="s">
        <v>1013</v>
      </c>
      <c r="B36" s="229" t="s">
        <v>1014</v>
      </c>
      <c r="C36" s="230">
        <v>2701337164</v>
      </c>
      <c r="D36" s="230">
        <v>2684214814</v>
      </c>
      <c r="E36" s="232">
        <v>-17122350</v>
      </c>
    </row>
    <row r="37" spans="1:5" ht="15.75">
      <c r="A37" s="229" t="s">
        <v>1015</v>
      </c>
      <c r="B37" s="229" t="s">
        <v>1016</v>
      </c>
      <c r="C37" s="230">
        <v>379601856</v>
      </c>
      <c r="D37" s="230">
        <v>682369692</v>
      </c>
      <c r="E37" s="232">
        <v>302767836</v>
      </c>
    </row>
    <row r="38" spans="1:5" ht="15.75">
      <c r="A38" s="229" t="s">
        <v>1017</v>
      </c>
      <c r="B38" s="229" t="s">
        <v>1018</v>
      </c>
      <c r="C38" s="231">
        <v>0</v>
      </c>
      <c r="D38" s="231">
        <v>0</v>
      </c>
      <c r="E38" s="231">
        <v>0</v>
      </c>
    </row>
    <row r="39" spans="1:5" ht="15.75">
      <c r="A39" s="229"/>
      <c r="B39" s="238" t="s">
        <v>962</v>
      </c>
      <c r="C39" s="235">
        <v>42611878334</v>
      </c>
      <c r="D39" s="235">
        <v>31225570259</v>
      </c>
      <c r="E39" s="236">
        <v>-11386308075</v>
      </c>
    </row>
    <row r="40" spans="1:5" ht="15.75">
      <c r="A40" s="228" t="s">
        <v>1019</v>
      </c>
      <c r="B40" s="238" t="s">
        <v>1020</v>
      </c>
      <c r="C40" s="235"/>
      <c r="D40" s="235"/>
      <c r="E40" s="232"/>
    </row>
    <row r="41" spans="1:5" ht="15.75">
      <c r="A41" s="229" t="s">
        <v>1021</v>
      </c>
      <c r="B41" s="229" t="s">
        <v>1022</v>
      </c>
      <c r="C41" s="242">
        <v>0</v>
      </c>
      <c r="D41" s="231">
        <v>57864339373</v>
      </c>
      <c r="E41" s="231">
        <v>57864339373</v>
      </c>
    </row>
    <row r="42" spans="1:5" ht="15.75">
      <c r="A42" s="229" t="s">
        <v>1023</v>
      </c>
      <c r="B42" s="229" t="s">
        <v>1024</v>
      </c>
      <c r="C42" s="230">
        <v>1000000000</v>
      </c>
      <c r="D42" s="231">
        <v>0</v>
      </c>
      <c r="E42" s="232">
        <v>-1000000000</v>
      </c>
    </row>
    <row r="43" spans="1:5" ht="15.75">
      <c r="A43" s="229" t="s">
        <v>1025</v>
      </c>
      <c r="B43" s="229" t="s">
        <v>1026</v>
      </c>
      <c r="C43" s="231">
        <v>10000000000</v>
      </c>
      <c r="D43" s="231">
        <v>15622739863</v>
      </c>
      <c r="E43" s="232">
        <v>5622739863</v>
      </c>
    </row>
    <row r="44" spans="1:5" ht="15.75">
      <c r="A44" s="229" t="s">
        <v>1027</v>
      </c>
      <c r="B44" s="229" t="s">
        <v>1028</v>
      </c>
      <c r="C44" s="231">
        <v>0</v>
      </c>
      <c r="D44" s="231">
        <v>40836096697</v>
      </c>
      <c r="E44" s="232">
        <v>40836096697</v>
      </c>
    </row>
    <row r="45" spans="1:5" ht="15.75">
      <c r="A45" s="229"/>
      <c r="B45" s="238" t="s">
        <v>962</v>
      </c>
      <c r="C45" s="235">
        <v>11000000000</v>
      </c>
      <c r="D45" s="235">
        <v>114323175933</v>
      </c>
      <c r="E45" s="236">
        <v>103323175933</v>
      </c>
    </row>
    <row r="46" spans="1:5" ht="15.75">
      <c r="A46" s="228" t="s">
        <v>1029</v>
      </c>
      <c r="B46" s="238" t="s">
        <v>1030</v>
      </c>
      <c r="C46" s="238"/>
      <c r="D46" s="238"/>
      <c r="E46" s="232"/>
    </row>
    <row r="47" spans="1:5" ht="15.75">
      <c r="A47" s="229" t="s">
        <v>1031</v>
      </c>
      <c r="B47" s="229" t="s">
        <v>1032</v>
      </c>
      <c r="C47" s="230">
        <v>224839500</v>
      </c>
      <c r="D47" s="230">
        <v>2435199</v>
      </c>
      <c r="E47" s="232">
        <v>-222404301</v>
      </c>
    </row>
    <row r="48" spans="1:5" ht="15.75">
      <c r="A48" s="233" t="s">
        <v>1033</v>
      </c>
      <c r="B48" s="233" t="s">
        <v>1034</v>
      </c>
      <c r="C48" s="230">
        <v>10000000</v>
      </c>
      <c r="D48" s="231">
        <v>0</v>
      </c>
      <c r="E48" s="232">
        <v>-10000000</v>
      </c>
    </row>
    <row r="49" spans="1:5" ht="15.75">
      <c r="A49" s="233" t="s">
        <v>1035</v>
      </c>
      <c r="B49" s="233" t="s">
        <v>1036</v>
      </c>
      <c r="C49" s="230">
        <v>1802370000</v>
      </c>
      <c r="D49" s="230">
        <v>3108964333</v>
      </c>
      <c r="E49" s="232">
        <v>1306594333</v>
      </c>
    </row>
    <row r="50" spans="1:5" ht="15.75">
      <c r="A50" s="233" t="s">
        <v>1037</v>
      </c>
      <c r="B50" s="233" t="s">
        <v>1038</v>
      </c>
      <c r="C50" s="230">
        <v>4351403000</v>
      </c>
      <c r="D50" s="230">
        <v>5641855391</v>
      </c>
      <c r="E50" s="232">
        <v>1290452391</v>
      </c>
    </row>
    <row r="51" spans="1:5" ht="15.75">
      <c r="A51" s="233" t="s">
        <v>1039</v>
      </c>
      <c r="B51" s="233" t="s">
        <v>1040</v>
      </c>
      <c r="C51" s="230">
        <v>10815660000</v>
      </c>
      <c r="D51" s="230">
        <v>6619495237</v>
      </c>
      <c r="E51" s="232">
        <v>-4196164763</v>
      </c>
    </row>
    <row r="52" spans="1:5" ht="15.75">
      <c r="A52" s="234"/>
      <c r="B52" s="234" t="s">
        <v>962</v>
      </c>
      <c r="C52" s="235">
        <v>17204272500</v>
      </c>
      <c r="D52" s="235">
        <v>15372750160</v>
      </c>
      <c r="E52" s="236">
        <v>-1831522340</v>
      </c>
    </row>
    <row r="53" spans="1:5" ht="15.75">
      <c r="A53" s="237" t="s">
        <v>1041</v>
      </c>
      <c r="B53" s="234" t="s">
        <v>1042</v>
      </c>
      <c r="C53" s="235"/>
      <c r="D53" s="235"/>
      <c r="E53" s="232"/>
    </row>
    <row r="54" spans="1:5" ht="15.75">
      <c r="A54" s="229" t="s">
        <v>1043</v>
      </c>
      <c r="B54" s="229" t="s">
        <v>1044</v>
      </c>
      <c r="C54" s="230">
        <v>17392122534</v>
      </c>
      <c r="D54" s="230">
        <v>26193501459</v>
      </c>
      <c r="E54" s="232">
        <v>8801378925</v>
      </c>
    </row>
    <row r="55" spans="1:5" ht="15.75">
      <c r="A55" s="229" t="s">
        <v>1045</v>
      </c>
      <c r="B55" s="229" t="s">
        <v>1046</v>
      </c>
      <c r="C55" s="230">
        <v>586493373</v>
      </c>
      <c r="D55" s="230">
        <v>884519728</v>
      </c>
      <c r="E55" s="232">
        <v>298026355</v>
      </c>
    </row>
    <row r="56" spans="1:5" ht="15.75">
      <c r="A56" s="229" t="s">
        <v>1047</v>
      </c>
      <c r="B56" s="229" t="s">
        <v>1048</v>
      </c>
      <c r="C56" s="230">
        <v>2500000</v>
      </c>
      <c r="D56" s="230">
        <v>13503026</v>
      </c>
      <c r="E56" s="232">
        <v>11003026</v>
      </c>
    </row>
    <row r="57" spans="1:5" ht="15.75">
      <c r="A57" s="229" t="s">
        <v>1049</v>
      </c>
      <c r="B57" s="229" t="s">
        <v>1050</v>
      </c>
      <c r="C57" s="230">
        <v>3485396000</v>
      </c>
      <c r="D57" s="230">
        <v>7202219292</v>
      </c>
      <c r="E57" s="232">
        <v>3716823292</v>
      </c>
    </row>
    <row r="58" spans="1:5" ht="15.75">
      <c r="A58" s="229" t="s">
        <v>1051</v>
      </c>
      <c r="B58" s="229" t="s">
        <v>1052</v>
      </c>
      <c r="C58" s="231">
        <v>0</v>
      </c>
      <c r="D58" s="230">
        <v>1505600509</v>
      </c>
      <c r="E58" s="232">
        <v>1505600509</v>
      </c>
    </row>
    <row r="59" spans="1:5" ht="15.75">
      <c r="A59" s="229" t="s">
        <v>1053</v>
      </c>
      <c r="B59" s="229" t="s">
        <v>1054</v>
      </c>
      <c r="C59" s="230">
        <v>1807969908</v>
      </c>
      <c r="D59" s="230">
        <v>957620362</v>
      </c>
      <c r="E59" s="232">
        <v>-850349546</v>
      </c>
    </row>
    <row r="60" spans="1:5" ht="15.75">
      <c r="A60" s="229" t="s">
        <v>1055</v>
      </c>
      <c r="B60" s="229" t="s">
        <v>1056</v>
      </c>
      <c r="C60" s="230">
        <v>572704104</v>
      </c>
      <c r="D60" s="230">
        <v>2805632830</v>
      </c>
      <c r="E60" s="232">
        <v>2232928726</v>
      </c>
    </row>
    <row r="61" spans="1:5" ht="15.75">
      <c r="A61" s="229" t="s">
        <v>1057</v>
      </c>
      <c r="B61" s="229" t="s">
        <v>1058</v>
      </c>
      <c r="C61" s="231">
        <v>0</v>
      </c>
      <c r="D61" s="231">
        <v>0</v>
      </c>
      <c r="E61" s="231">
        <v>0</v>
      </c>
    </row>
    <row r="62" spans="1:5" ht="15.75">
      <c r="A62" s="229" t="s">
        <v>1059</v>
      </c>
      <c r="B62" s="229" t="s">
        <v>1060</v>
      </c>
      <c r="C62" s="231">
        <v>0</v>
      </c>
      <c r="D62" s="231">
        <v>0</v>
      </c>
      <c r="E62" s="231">
        <v>0</v>
      </c>
    </row>
    <row r="63" spans="1:5" ht="15.75">
      <c r="A63" s="229" t="s">
        <v>1061</v>
      </c>
      <c r="B63" s="229" t="s">
        <v>1062</v>
      </c>
      <c r="C63" s="231">
        <v>0</v>
      </c>
      <c r="D63" s="231">
        <v>0</v>
      </c>
      <c r="E63" s="231">
        <v>0</v>
      </c>
    </row>
    <row r="64" spans="1:5" ht="15.75">
      <c r="A64" s="229" t="s">
        <v>1063</v>
      </c>
      <c r="B64" s="229" t="s">
        <v>1064</v>
      </c>
      <c r="C64" s="231">
        <v>0</v>
      </c>
      <c r="D64" s="231">
        <v>0</v>
      </c>
      <c r="E64" s="231">
        <v>0</v>
      </c>
    </row>
    <row r="65" spans="1:5" ht="15.75">
      <c r="A65" s="229"/>
      <c r="B65" s="238" t="s">
        <v>962</v>
      </c>
      <c r="C65" s="235">
        <v>23847185919</v>
      </c>
      <c r="D65" s="235">
        <v>39562597206</v>
      </c>
      <c r="E65" s="236">
        <v>15715411287</v>
      </c>
    </row>
    <row r="66" spans="1:5" ht="15.75">
      <c r="A66" s="238" t="s">
        <v>1065</v>
      </c>
      <c r="B66" s="238" t="s">
        <v>1066</v>
      </c>
      <c r="C66" s="230"/>
      <c r="D66" s="230"/>
      <c r="E66" s="232"/>
    </row>
    <row r="67" spans="1:5" ht="15.75">
      <c r="A67" s="229" t="s">
        <v>1067</v>
      </c>
      <c r="B67" s="229" t="s">
        <v>1068</v>
      </c>
      <c r="C67" s="230">
        <v>575680332</v>
      </c>
      <c r="D67" s="230">
        <v>863422715</v>
      </c>
      <c r="E67" s="232">
        <v>287742383</v>
      </c>
    </row>
    <row r="68" spans="1:5" ht="15.75">
      <c r="A68" s="229" t="s">
        <v>1069</v>
      </c>
      <c r="B68" s="229" t="s">
        <v>1070</v>
      </c>
      <c r="C68" s="230">
        <v>109876116</v>
      </c>
      <c r="D68" s="230">
        <v>230099800</v>
      </c>
      <c r="E68" s="232">
        <v>120223684</v>
      </c>
    </row>
    <row r="69" spans="1:5" ht="15.75">
      <c r="A69" s="229"/>
      <c r="B69" s="238" t="s">
        <v>962</v>
      </c>
      <c r="C69" s="235">
        <v>685556448</v>
      </c>
      <c r="D69" s="235">
        <v>1093522515</v>
      </c>
      <c r="E69" s="236">
        <v>407966067</v>
      </c>
    </row>
    <row r="70" spans="1:5" ht="15.75">
      <c r="A70" s="238" t="s">
        <v>1071</v>
      </c>
      <c r="B70" s="229" t="s">
        <v>1072</v>
      </c>
      <c r="C70" s="229"/>
      <c r="D70" s="229"/>
      <c r="E70" s="232"/>
    </row>
    <row r="71" spans="1:5" ht="15.75">
      <c r="A71" s="238"/>
      <c r="B71" s="238" t="s">
        <v>1073</v>
      </c>
      <c r="C71" s="235">
        <v>529935322246</v>
      </c>
      <c r="D71" s="236">
        <v>639369240470</v>
      </c>
      <c r="E71" s="236">
        <v>109433918224</v>
      </c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workbookViewId="0">
      <selection activeCell="D9" sqref="D9"/>
    </sheetView>
  </sheetViews>
  <sheetFormatPr defaultRowHeight="12.75"/>
  <cols>
    <col min="2" max="2" width="54.6640625" bestFit="1" customWidth="1"/>
    <col min="3" max="3" width="42.6640625" bestFit="1" customWidth="1"/>
    <col min="4" max="4" width="41.5" bestFit="1" customWidth="1"/>
  </cols>
  <sheetData>
    <row r="1" spans="1:4" ht="30.75">
      <c r="C1" s="255" t="s">
        <v>1078</v>
      </c>
      <c r="D1" s="255" t="s">
        <v>1077</v>
      </c>
    </row>
    <row r="2" spans="1:4" ht="50.1" customHeight="1">
      <c r="A2" s="31"/>
      <c r="B2" s="255" t="s">
        <v>1075</v>
      </c>
      <c r="C2" s="256">
        <f>'1-1A'!J19+'1B'!I5+'1B'!I6+'2'!N5+'2'!N6+'3'!M5+'3'!M6+'4'!M5+'4'!M6+'5'!M5+'5'!M6+'6'!M5+'6'!M6+'6'!M7+'7'!N5+'7'!N6+'8'!L4+'8'!L5+'8A'!N5+'8B'!D5+'9'!N4+'9'!N5+'10'!N4+'10'!N5+'10a'!N4+'10b'!M4+'10c'!N5+'10c'!N6+'10d'!O5+'10d'!O6+'11'!N5+'11'!N6+'11a'!N4+'11b'!J5+'11c'!N6+'11d'!L5+'12'!N5+'12'!N6+'12a'!J5+'12a'!J6+'13'!N4+'13'!N5+'13A'!N4+'13A'!N5+'14'!N4+'14'!N5+'15'!N5+'15'!N6+'16'!N4+'16'!N5+'17'!O5+'17'!O6+'18'!N5+'18'!N6+'19'!N4+'19'!N5+'20'!N4+'20'!N5+'21'!N5+'21'!N6+'22'!M6+'22'!M7+'22A'!D6+'22B'!D5+'23'!L5+'23'!L6+'24'!M5+'24'!M6+'25'!N5+'25'!N6+'26'!N5+'26'!N6+'27'!N5+'27'!N6+'28'!N4+'28'!N5+'29'!N5+'29'!N6+'30'!L5+'30'!L6+'31'!N5+'31'!N6+'32'!O5+'32'!O6+'33'!N5+'33'!N6+'34'!O3+'34'!O4+'35'!E5+'35'!E6+'36'!L5+'36'!L6+'37'!E5+'37'!E6+'38'!E5+'38'!E6+'39'!L5+'39'!L6+'40'!N5+'40'!N6+'41'!D4+'41'!D5+'42'!D4+'42'!D5</f>
        <v>270425116474</v>
      </c>
      <c r="D2" s="256">
        <f t="shared" ref="D2:D7" si="0">C2/6</f>
        <v>45070852745.666664</v>
      </c>
    </row>
    <row r="3" spans="1:4" ht="50.1" customHeight="1">
      <c r="A3" s="31"/>
      <c r="B3" s="255" t="s">
        <v>1076</v>
      </c>
      <c r="C3" s="256">
        <f>'1-1A'!J20+'1B'!I7+'2'!N9+'3'!M7+'3'!M9+'4'!M7+'4'!M8+'5'!M7+'5'!M9+'6'!M8+'6'!M9+'7'!N7+'7'!N8+'8'!L6+'8'!L7+'8A'!N7+'8A'!N8+'8B'!D6+'9'!N6+'9'!N8+'10'!N6+'10'!N8+'10a'!N6+'10b'!M6+'10b'!M7+'10b'!M8+'10c'!N7+'10d'!O7+'11'!N7+'11a'!N6+'11b'!J7+'11b'!J8+'11c'!N7+'11d'!L7+'11d'!L8+'12'!N7+'12a'!J7+'13'!N6+'13A'!N7+'13A'!N6+'14'!N6+'14'!N7+'15'!N7+'15'!N8+'16'!N6+'16'!N7+'17'!O7+'18'!N7+'18'!N8+'19'!N6+'19'!N7+'20'!N6+'21'!N7+'21'!N8+'22'!M8+'22'!M9+'22A'!D8+'22B'!D7+'23'!L7+'23'!L8+'24'!M7+'24'!M8+'25'!N7+'25'!N8+'26'!N7+'26'!N8+'27'!N9+'27'!N10+'28'!N6+'28'!N7+'29'!N7+'29'!N8+'30'!L7+'31'!N7+'32'!O7+'33'!N7+'34'!O5+'34'!O6+'35'!E7+'36'!L7+'37'!E7+'38'!E8+'39'!L7+'39'!L8+'40'!N7+'41'!D6+'42'!D6</f>
        <v>38501469856</v>
      </c>
      <c r="D3" s="256">
        <f t="shared" si="0"/>
        <v>6416911642.666667</v>
      </c>
    </row>
    <row r="4" spans="1:4" ht="49.5" customHeight="1">
      <c r="A4" s="31"/>
      <c r="B4" s="255" t="s">
        <v>652</v>
      </c>
      <c r="C4" s="256">
        <f>'8A'!N31+'10a'!N32+'11a'!N32+'11b'!J26+'11d'!L29+'13A'!N28+'22'!M30+'30'!L23+'27'!N32+'27'!N33</f>
        <v>61403155491.714287</v>
      </c>
      <c r="D4" s="256">
        <f t="shared" si="0"/>
        <v>10233859248.619047</v>
      </c>
    </row>
    <row r="5" spans="1:4" ht="49.5" customHeight="1">
      <c r="A5" s="31"/>
      <c r="B5" s="255" t="s">
        <v>1096</v>
      </c>
      <c r="C5" s="256">
        <v>4550400000</v>
      </c>
      <c r="D5" s="256">
        <f t="shared" si="0"/>
        <v>758400000</v>
      </c>
    </row>
    <row r="6" spans="1:4" ht="49.5" customHeight="1">
      <c r="A6" s="31"/>
      <c r="B6" s="255" t="s">
        <v>1097</v>
      </c>
      <c r="C6" s="256">
        <f>'2'!N19+'3'!M19+'8'!L19+'8B'!D14+'9'!N18+'10'!N18+'10b'!M20+'10c'!N18+'11'!N15+'11d'!L16+'14'!N14+'15'!N18+'16'!N13+'18'!N14+'20'!N15+'21'!N16+'22'!M15+'22B'!D14+'24'!M16+'26'!N18+'31'!N14+'35'!E15+'37'!E15+'38'!E16+'40'!N16+'41'!D14</f>
        <v>1888658916</v>
      </c>
      <c r="D6" s="256">
        <f t="shared" si="0"/>
        <v>314776486</v>
      </c>
    </row>
    <row r="7" spans="1:4" ht="50.1" customHeight="1">
      <c r="A7" s="31"/>
      <c r="B7" s="257" t="s">
        <v>1079</v>
      </c>
      <c r="C7" s="258">
        <f>SUM(C2:C6)</f>
        <v>376768800737.71429</v>
      </c>
      <c r="D7" s="256">
        <f t="shared" si="0"/>
        <v>62794800122.952385</v>
      </c>
    </row>
    <row r="8" spans="1:4" ht="50.1" customHeight="1">
      <c r="A8" s="31"/>
      <c r="B8" s="747" t="s">
        <v>1080</v>
      </c>
      <c r="C8" s="748"/>
      <c r="D8" s="258">
        <v>82275662000</v>
      </c>
    </row>
    <row r="9" spans="1:4" ht="50.1" customHeight="1">
      <c r="A9" s="31"/>
      <c r="B9" s="747" t="s">
        <v>1081</v>
      </c>
      <c r="C9" s="748"/>
      <c r="D9" s="258">
        <f>D8-D7</f>
        <v>19480861877.047615</v>
      </c>
    </row>
  </sheetData>
  <mergeCells count="2">
    <mergeCell ref="B8:C8"/>
    <mergeCell ref="B9:C9"/>
  </mergeCells>
  <pageMargins left="0.7" right="0.7" top="2.19" bottom="0.75" header="0.66" footer="0.3"/>
  <pageSetup scale="90" orientation="landscape" r:id="rId1"/>
  <headerFooter>
    <oddHeader>&amp;C&amp;"Times New Roman,Bold"&amp;36Soo koobida Kharashaadka Daruuriga ah.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="60" workbookViewId="0">
      <selection activeCell="D5" sqref="D5"/>
    </sheetView>
  </sheetViews>
  <sheetFormatPr defaultRowHeight="12.75"/>
  <cols>
    <col min="1" max="1" width="15.1640625" bestFit="1" customWidth="1"/>
    <col min="2" max="3" width="23.33203125" bestFit="1" customWidth="1"/>
    <col min="4" max="4" width="21" customWidth="1"/>
    <col min="9" max="9" width="12.1640625" bestFit="1" customWidth="1"/>
    <col min="10" max="10" width="9.6640625" bestFit="1" customWidth="1"/>
    <col min="11" max="11" width="12" bestFit="1" customWidth="1"/>
    <col min="12" max="12" width="13.83203125" bestFit="1" customWidth="1"/>
  </cols>
  <sheetData>
    <row r="2" spans="1:12" ht="15.75">
      <c r="A2" s="259"/>
      <c r="B2" s="259"/>
      <c r="C2" s="749" t="s">
        <v>1082</v>
      </c>
      <c r="D2" s="749"/>
      <c r="E2" s="749"/>
      <c r="F2" s="749"/>
      <c r="G2" s="259"/>
      <c r="H2" s="259"/>
      <c r="I2" s="259"/>
      <c r="J2" s="259"/>
      <c r="K2" s="259"/>
      <c r="L2" s="259"/>
    </row>
    <row r="3" spans="1:12" ht="15.75">
      <c r="A3" s="259"/>
      <c r="B3" s="259" t="s">
        <v>1083</v>
      </c>
      <c r="C3" s="259" t="s">
        <v>1084</v>
      </c>
      <c r="D3" s="259" t="s">
        <v>1085</v>
      </c>
      <c r="E3" s="259" t="s">
        <v>1086</v>
      </c>
      <c r="F3" s="259" t="s">
        <v>1087</v>
      </c>
      <c r="G3" s="259" t="s">
        <v>1088</v>
      </c>
      <c r="H3" s="259" t="s">
        <v>1089</v>
      </c>
      <c r="I3" s="259" t="s">
        <v>1090</v>
      </c>
      <c r="J3" s="259" t="s">
        <v>1091</v>
      </c>
      <c r="K3" s="259" t="s">
        <v>1092</v>
      </c>
      <c r="L3" s="259" t="s">
        <v>1093</v>
      </c>
    </row>
    <row r="4" spans="1:12" ht="15.75">
      <c r="A4" s="259" t="s">
        <v>1094</v>
      </c>
      <c r="B4" s="260">
        <f>Sheet1!D8/2</f>
        <v>41137831000</v>
      </c>
      <c r="C4" s="260">
        <f>B4*2</f>
        <v>82275662000</v>
      </c>
      <c r="D4" s="261">
        <f>C4-C5</f>
        <v>19480861877.047615</v>
      </c>
      <c r="E4" s="259"/>
      <c r="F4" s="259"/>
      <c r="G4" s="259"/>
      <c r="H4" s="259"/>
      <c r="I4" s="259"/>
      <c r="J4" s="259"/>
      <c r="K4" s="259"/>
      <c r="L4" s="259"/>
    </row>
    <row r="5" spans="1:12" ht="15.75">
      <c r="A5" s="259" t="s">
        <v>1095</v>
      </c>
      <c r="B5" s="262">
        <f>Sheet1!D7/2</f>
        <v>31397400061.476192</v>
      </c>
      <c r="C5" s="262">
        <f>B5*2</f>
        <v>62794800122.952385</v>
      </c>
      <c r="D5" s="263">
        <f>D4+B5</f>
        <v>50878261938.523804</v>
      </c>
      <c r="E5" s="259"/>
      <c r="F5" s="259"/>
      <c r="G5" s="259"/>
      <c r="H5" s="259"/>
      <c r="I5" s="259"/>
      <c r="J5" s="259"/>
      <c r="K5" s="259"/>
      <c r="L5" s="259"/>
    </row>
    <row r="6" spans="1:12" ht="15.75">
      <c r="A6" s="259"/>
      <c r="B6" s="262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ht="15.75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</row>
    <row r="8" spans="1:12" ht="15.7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</row>
    <row r="9" spans="1:12" ht="15.7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 ht="15.75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</row>
    <row r="11" spans="1:12" ht="15.75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5.7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</row>
    <row r="13" spans="1:12" ht="15.75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</row>
    <row r="14" spans="1:12" ht="15.7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</row>
    <row r="15" spans="1:12" ht="15.7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</row>
    <row r="16" spans="1:12" ht="15.75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</row>
    <row r="17" spans="1:12" ht="15.75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</row>
    <row r="18" spans="1:12" ht="15.75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</row>
    <row r="19" spans="1:12" ht="15.75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</row>
    <row r="20" spans="1:12" ht="15.75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</row>
    <row r="21" spans="1:12" ht="15.75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</row>
    <row r="22" spans="1:12" ht="15.75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</row>
    <row r="23" spans="1:12" ht="15.75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</row>
    <row r="24" spans="1:12" ht="15.75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</row>
    <row r="25" spans="1:12" ht="15.75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</row>
    <row r="26" spans="1:12" ht="15.75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</row>
    <row r="27" spans="1:12" ht="15.75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</row>
    <row r="28" spans="1:12" ht="15.75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</row>
    <row r="29" spans="1:12" ht="15.75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</row>
    <row r="30" spans="1:12" ht="15.75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</row>
    <row r="31" spans="1:12" ht="15.7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</row>
    <row r="32" spans="1:12" ht="15.7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</row>
    <row r="33" spans="1:12" ht="15.7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</row>
  </sheetData>
  <mergeCells count="1">
    <mergeCell ref="C2:F2"/>
  </mergeCells>
  <pageMargins left="0.7" right="0.7" top="0.75" bottom="0.75" header="0.3" footer="0.3"/>
  <pageSetup scale="80" orientation="landscape" r:id="rId1"/>
  <headerFooter>
    <oddHeader>&amp;C&amp;36Cash Budgetting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topLeftCell="B40" zoomScale="60" zoomScaleNormal="62" workbookViewId="0">
      <selection activeCell="M58" sqref="M58"/>
    </sheetView>
  </sheetViews>
  <sheetFormatPr defaultRowHeight="21" customHeight="1"/>
  <cols>
    <col min="1" max="1" width="19.6640625" style="95" bestFit="1" customWidth="1"/>
    <col min="2" max="2" width="95.1640625" style="95" bestFit="1" customWidth="1"/>
    <col min="3" max="3" width="27.33203125" style="95" hidden="1" customWidth="1"/>
    <col min="4" max="4" width="27.5" style="95" hidden="1" customWidth="1"/>
    <col min="5" max="11" width="9.33203125" style="95" hidden="1" customWidth="1"/>
    <col min="12" max="12" width="29.83203125" style="95" bestFit="1" customWidth="1"/>
    <col min="13" max="13" width="28.5" style="95" customWidth="1"/>
    <col min="14" max="14" width="29.1640625" style="95" hidden="1" customWidth="1"/>
    <col min="15" max="15" width="28.5" style="95" customWidth="1"/>
    <col min="16" max="16" width="38" style="345" bestFit="1" customWidth="1"/>
    <col min="17" max="17" width="23.5" style="345" bestFit="1" customWidth="1"/>
    <col min="18" max="18" width="23.33203125" style="345" bestFit="1" customWidth="1"/>
    <col min="19" max="16384" width="9.33203125" style="95"/>
  </cols>
  <sheetData>
    <row r="1" spans="1:18" ht="21" customHeight="1">
      <c r="A1" s="134" t="s">
        <v>44</v>
      </c>
      <c r="B1" s="207" t="s">
        <v>870</v>
      </c>
      <c r="C1" s="136"/>
      <c r="D1" s="136"/>
      <c r="E1" s="136"/>
      <c r="F1" s="136"/>
      <c r="G1" s="136"/>
      <c r="H1" s="136"/>
      <c r="I1" s="136"/>
      <c r="J1" s="136"/>
      <c r="K1" s="136"/>
      <c r="L1" s="207"/>
      <c r="M1" s="207"/>
      <c r="N1" s="207"/>
      <c r="O1" s="207"/>
      <c r="P1" s="340" t="s">
        <v>1193</v>
      </c>
      <c r="Q1" s="340" t="s">
        <v>1111</v>
      </c>
      <c r="R1" s="340" t="s">
        <v>63</v>
      </c>
    </row>
    <row r="2" spans="1:18" ht="21" customHeight="1">
      <c r="A2" s="134" t="s">
        <v>248</v>
      </c>
      <c r="B2" s="207" t="s">
        <v>165</v>
      </c>
      <c r="C2" s="136"/>
      <c r="D2" s="136"/>
      <c r="E2" s="136"/>
      <c r="F2" s="136"/>
      <c r="G2" s="136"/>
      <c r="H2" s="341"/>
      <c r="I2" s="341"/>
      <c r="J2" s="341" t="s">
        <v>180</v>
      </c>
      <c r="K2" s="341" t="s">
        <v>297</v>
      </c>
      <c r="L2" s="207" t="s">
        <v>641</v>
      </c>
      <c r="M2" s="207" t="s">
        <v>641</v>
      </c>
      <c r="N2" s="207" t="s">
        <v>1103</v>
      </c>
      <c r="O2" s="207" t="s">
        <v>63</v>
      </c>
      <c r="P2" s="342">
        <v>2012</v>
      </c>
      <c r="Q2" s="342"/>
      <c r="R2" s="342"/>
    </row>
    <row r="3" spans="1:18" ht="21" customHeight="1">
      <c r="A3" s="134" t="s">
        <v>249</v>
      </c>
      <c r="B3" s="207" t="s">
        <v>250</v>
      </c>
      <c r="C3" s="136">
        <v>61545000</v>
      </c>
      <c r="D3" s="136">
        <v>74124000</v>
      </c>
      <c r="E3" s="136">
        <v>64128000</v>
      </c>
      <c r="F3" s="136">
        <v>72660000</v>
      </c>
      <c r="G3" s="136">
        <v>72660000</v>
      </c>
      <c r="H3" s="136">
        <f>72660000+42936000</f>
        <v>115596000</v>
      </c>
      <c r="I3" s="136">
        <f>150274800+4149600+13104000+3198000</f>
        <v>170726400</v>
      </c>
      <c r="J3" s="136"/>
      <c r="K3" s="136"/>
      <c r="L3" s="136"/>
      <c r="M3" s="136"/>
      <c r="N3" s="136"/>
      <c r="O3" s="136"/>
      <c r="P3" s="343"/>
      <c r="Q3" s="343"/>
      <c r="R3" s="343"/>
    </row>
    <row r="4" spans="1:18" ht="21" customHeight="1">
      <c r="A4" s="296" t="s">
        <v>247</v>
      </c>
      <c r="B4" s="136" t="s">
        <v>508</v>
      </c>
      <c r="C4" s="136">
        <v>1180900</v>
      </c>
      <c r="D4" s="136"/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305572400</v>
      </c>
      <c r="K4" s="136">
        <f>539449200+174686000+80800</f>
        <v>714216000</v>
      </c>
      <c r="L4" s="136">
        <v>636043200</v>
      </c>
      <c r="M4" s="136">
        <f>L4</f>
        <v>636043200</v>
      </c>
      <c r="N4" s="136">
        <v>632268000</v>
      </c>
      <c r="O4" s="136">
        <f>M4-L4</f>
        <v>0</v>
      </c>
      <c r="P4" s="343"/>
      <c r="Q4" s="343"/>
      <c r="R4" s="343"/>
    </row>
    <row r="5" spans="1:18" ht="21" customHeight="1">
      <c r="A5" s="296" t="s">
        <v>251</v>
      </c>
      <c r="B5" s="136" t="s">
        <v>901</v>
      </c>
      <c r="C5" s="136">
        <v>1123486000</v>
      </c>
      <c r="D5" s="136">
        <v>1227036000</v>
      </c>
      <c r="E5" s="136">
        <v>1192428000</v>
      </c>
      <c r="F5" s="136">
        <f>1935276000+1200000</f>
        <v>1936476000</v>
      </c>
      <c r="G5" s="136">
        <f>1936476000+600000000</f>
        <v>2536476000</v>
      </c>
      <c r="H5" s="136">
        <f>2529276000+54000000</f>
        <v>2583276000</v>
      </c>
      <c r="I5" s="136">
        <f>2530476000+4800000</f>
        <v>2535276000</v>
      </c>
      <c r="J5" s="136">
        <v>0</v>
      </c>
      <c r="K5" s="136">
        <v>61320000</v>
      </c>
      <c r="L5" s="136">
        <v>194520000</v>
      </c>
      <c r="M5" s="136">
        <f t="shared" ref="M5:N9" si="0">L5</f>
        <v>194520000</v>
      </c>
      <c r="N5" s="136">
        <v>158520000</v>
      </c>
      <c r="O5" s="136">
        <f t="shared" ref="O5:O58" si="1">M5-L5</f>
        <v>0</v>
      </c>
      <c r="P5" s="343"/>
      <c r="Q5" s="343"/>
      <c r="R5" s="343"/>
    </row>
    <row r="6" spans="1:18" ht="21" customHeight="1">
      <c r="A6" s="296" t="s">
        <v>252</v>
      </c>
      <c r="B6" s="136" t="s">
        <v>1106</v>
      </c>
      <c r="C6" s="136"/>
      <c r="D6" s="136"/>
      <c r="E6" s="136"/>
      <c r="F6" s="136"/>
      <c r="G6" s="136"/>
      <c r="H6" s="136"/>
      <c r="I6" s="136"/>
      <c r="J6" s="136">
        <v>338400000</v>
      </c>
      <c r="K6" s="136">
        <v>828000000</v>
      </c>
      <c r="L6" s="136">
        <v>644400000</v>
      </c>
      <c r="M6" s="136">
        <f t="shared" si="0"/>
        <v>644400000</v>
      </c>
      <c r="N6" s="136">
        <v>622800000</v>
      </c>
      <c r="O6" s="136">
        <f t="shared" si="1"/>
        <v>0</v>
      </c>
      <c r="P6" s="343"/>
      <c r="Q6" s="343"/>
      <c r="R6" s="343"/>
    </row>
    <row r="7" spans="1:18" ht="21" customHeight="1">
      <c r="A7" s="296" t="s">
        <v>254</v>
      </c>
      <c r="B7" s="136" t="s">
        <v>776</v>
      </c>
      <c r="C7" s="136">
        <v>2500000</v>
      </c>
      <c r="D7" s="136">
        <v>2000000</v>
      </c>
      <c r="E7" s="136">
        <v>2000000</v>
      </c>
      <c r="F7" s="136">
        <v>2000000</v>
      </c>
      <c r="G7" s="136">
        <v>1600000</v>
      </c>
      <c r="H7" s="136">
        <v>41000000</v>
      </c>
      <c r="I7" s="136">
        <v>41000000</v>
      </c>
      <c r="J7" s="136">
        <v>0</v>
      </c>
      <c r="K7" s="136">
        <v>827864000</v>
      </c>
      <c r="L7" s="136">
        <f>K7</f>
        <v>827864000</v>
      </c>
      <c r="M7" s="136">
        <f t="shared" si="0"/>
        <v>827864000</v>
      </c>
      <c r="N7" s="136">
        <f t="shared" si="0"/>
        <v>827864000</v>
      </c>
      <c r="O7" s="136">
        <f t="shared" si="1"/>
        <v>0</v>
      </c>
      <c r="P7" s="343"/>
      <c r="Q7" s="343"/>
      <c r="R7" s="343"/>
    </row>
    <row r="8" spans="1:18" ht="21" customHeight="1">
      <c r="A8" s="134" t="s">
        <v>255</v>
      </c>
      <c r="B8" s="207" t="s">
        <v>256</v>
      </c>
      <c r="C8" s="136"/>
      <c r="D8" s="136"/>
      <c r="E8" s="136"/>
      <c r="F8" s="136"/>
      <c r="G8" s="136"/>
      <c r="H8" s="136"/>
      <c r="I8" s="136"/>
      <c r="J8" s="136">
        <v>0</v>
      </c>
      <c r="K8" s="136">
        <v>0</v>
      </c>
      <c r="L8" s="136">
        <v>0</v>
      </c>
      <c r="M8" s="136">
        <f t="shared" si="0"/>
        <v>0</v>
      </c>
      <c r="N8" s="136">
        <f t="shared" si="0"/>
        <v>0</v>
      </c>
      <c r="O8" s="136">
        <f t="shared" si="1"/>
        <v>0</v>
      </c>
      <c r="P8" s="343"/>
      <c r="Q8" s="343"/>
      <c r="R8" s="343"/>
    </row>
    <row r="9" spans="1:18" ht="21" customHeight="1">
      <c r="A9" s="296" t="s">
        <v>257</v>
      </c>
      <c r="B9" s="136" t="s">
        <v>506</v>
      </c>
      <c r="C9" s="136">
        <v>0</v>
      </c>
      <c r="D9" s="136">
        <v>0</v>
      </c>
      <c r="E9" s="136">
        <v>0</v>
      </c>
      <c r="F9" s="136">
        <v>0</v>
      </c>
      <c r="G9" s="136"/>
      <c r="H9" s="136">
        <v>0</v>
      </c>
      <c r="I9" s="136">
        <v>0</v>
      </c>
      <c r="J9" s="136">
        <v>0</v>
      </c>
      <c r="K9" s="136">
        <v>216000000</v>
      </c>
      <c r="L9" s="136">
        <v>238410000</v>
      </c>
      <c r="M9" s="136">
        <f t="shared" si="0"/>
        <v>238410000</v>
      </c>
      <c r="N9" s="136">
        <f t="shared" si="0"/>
        <v>238410000</v>
      </c>
      <c r="O9" s="136">
        <f t="shared" si="1"/>
        <v>0</v>
      </c>
      <c r="P9" s="343"/>
      <c r="Q9" s="343"/>
      <c r="R9" s="343"/>
    </row>
    <row r="10" spans="1:18" ht="21" customHeight="1">
      <c r="A10" s="296" t="s">
        <v>259</v>
      </c>
      <c r="B10" s="136" t="s">
        <v>211</v>
      </c>
      <c r="C10" s="136">
        <v>56250000</v>
      </c>
      <c r="D10" s="136">
        <v>65000000</v>
      </c>
      <c r="E10" s="136">
        <v>65000000</v>
      </c>
      <c r="F10" s="136">
        <v>65000000</v>
      </c>
      <c r="G10" s="136">
        <v>86788800</v>
      </c>
      <c r="H10" s="136">
        <v>141500000</v>
      </c>
      <c r="I10" s="136">
        <v>200000000</v>
      </c>
      <c r="J10" s="136">
        <v>6869200</v>
      </c>
      <c r="K10" s="136">
        <v>35612200</v>
      </c>
      <c r="L10" s="136">
        <v>0</v>
      </c>
      <c r="M10" s="136"/>
      <c r="N10" s="136">
        <f>M10</f>
        <v>0</v>
      </c>
      <c r="O10" s="136">
        <f t="shared" si="1"/>
        <v>0</v>
      </c>
      <c r="P10" s="343"/>
      <c r="Q10" s="343"/>
      <c r="R10" s="343"/>
    </row>
    <row r="11" spans="1:18" ht="21" customHeight="1">
      <c r="A11" s="296" t="s">
        <v>258</v>
      </c>
      <c r="B11" s="136" t="s">
        <v>261</v>
      </c>
      <c r="C11" s="136">
        <v>18000000</v>
      </c>
      <c r="D11" s="136">
        <f>25000000-2000000</f>
        <v>23000000</v>
      </c>
      <c r="E11" s="136">
        <v>23000000</v>
      </c>
      <c r="F11" s="136">
        <v>23000000</v>
      </c>
      <c r="G11" s="136">
        <v>18400000</v>
      </c>
      <c r="H11" s="136">
        <v>56000000</v>
      </c>
      <c r="I11" s="136">
        <v>100000000</v>
      </c>
      <c r="J11" s="136">
        <v>0</v>
      </c>
      <c r="K11" s="136">
        <v>0</v>
      </c>
      <c r="L11" s="136">
        <v>0</v>
      </c>
      <c r="M11" s="136"/>
      <c r="N11" s="136">
        <f>M11</f>
        <v>0</v>
      </c>
      <c r="O11" s="136">
        <f t="shared" si="1"/>
        <v>0</v>
      </c>
      <c r="P11" s="343"/>
      <c r="Q11" s="343"/>
      <c r="R11" s="343"/>
    </row>
    <row r="12" spans="1:18" ht="21" customHeight="1">
      <c r="A12" s="296"/>
      <c r="B12" s="207" t="s">
        <v>119</v>
      </c>
      <c r="C12" s="136">
        <v>11878000</v>
      </c>
      <c r="D12" s="136">
        <f>2000000+2000000</f>
        <v>4000000</v>
      </c>
      <c r="E12" s="136">
        <v>2000000</v>
      </c>
      <c r="F12" s="136">
        <v>2000000</v>
      </c>
      <c r="G12" s="136">
        <v>1600000</v>
      </c>
      <c r="H12" s="136">
        <v>30000000</v>
      </c>
      <c r="I12" s="136">
        <v>60000000</v>
      </c>
      <c r="J12" s="207">
        <f>SUM(J4:J11)</f>
        <v>650841600</v>
      </c>
      <c r="K12" s="207">
        <f>SUM(K4:K11)</f>
        <v>2683012200</v>
      </c>
      <c r="L12" s="207">
        <f>SUM(L4:L11)</f>
        <v>2541237200</v>
      </c>
      <c r="M12" s="207">
        <f>SUM(M4:M11)</f>
        <v>2541237200</v>
      </c>
      <c r="N12" s="207">
        <f>SUM(N4:N11)</f>
        <v>2479862000</v>
      </c>
      <c r="O12" s="207">
        <f t="shared" si="1"/>
        <v>0</v>
      </c>
      <c r="P12" s="343"/>
      <c r="Q12" s="343"/>
      <c r="R12" s="343"/>
    </row>
    <row r="13" spans="1:18" ht="21" customHeight="1">
      <c r="A13" s="134" t="s">
        <v>262</v>
      </c>
      <c r="B13" s="207" t="s">
        <v>263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200000000</v>
      </c>
      <c r="I13" s="136">
        <v>200000000</v>
      </c>
      <c r="J13" s="136"/>
      <c r="K13" s="136"/>
      <c r="L13" s="136"/>
      <c r="M13" s="136"/>
      <c r="N13" s="136"/>
      <c r="O13" s="136">
        <f t="shared" si="1"/>
        <v>0</v>
      </c>
      <c r="P13" s="343"/>
      <c r="Q13" s="343"/>
      <c r="R13" s="343"/>
    </row>
    <row r="14" spans="1:18" ht="21" customHeight="1">
      <c r="A14" s="134" t="s">
        <v>265</v>
      </c>
      <c r="B14" s="207" t="s">
        <v>264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>
        <f t="shared" si="1"/>
        <v>0</v>
      </c>
      <c r="P14" s="343"/>
      <c r="Q14" s="343"/>
      <c r="R14" s="343"/>
    </row>
    <row r="15" spans="1:18" ht="21" customHeight="1">
      <c r="A15" s="344" t="s">
        <v>266</v>
      </c>
      <c r="B15" s="295" t="s">
        <v>38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356850000</v>
      </c>
      <c r="I15" s="295">
        <v>0</v>
      </c>
      <c r="J15" s="295">
        <v>11479200</v>
      </c>
      <c r="K15" s="295">
        <f>39500000*70%</f>
        <v>27650000</v>
      </c>
      <c r="L15" s="295">
        <f>39500000*70%</f>
        <v>27650000</v>
      </c>
      <c r="M15" s="295">
        <v>17650000</v>
      </c>
      <c r="N15" s="295">
        <f>M15</f>
        <v>17650000</v>
      </c>
      <c r="O15" s="295">
        <f t="shared" si="1"/>
        <v>-10000000</v>
      </c>
      <c r="P15" s="343">
        <v>10000000</v>
      </c>
      <c r="Q15" s="343">
        <f>P15</f>
        <v>10000000</v>
      </c>
      <c r="R15" s="343">
        <f>Q15-P15</f>
        <v>0</v>
      </c>
    </row>
    <row r="16" spans="1:18" ht="21" customHeight="1">
      <c r="A16" s="344" t="s">
        <v>267</v>
      </c>
      <c r="B16" s="295" t="s">
        <v>152</v>
      </c>
      <c r="C16" s="295">
        <v>1500000</v>
      </c>
      <c r="D16" s="295">
        <v>5500000</v>
      </c>
      <c r="E16" s="295">
        <v>500000</v>
      </c>
      <c r="F16" s="295">
        <v>500000</v>
      </c>
      <c r="G16" s="295">
        <v>400000</v>
      </c>
      <c r="H16" s="295">
        <v>12000000</v>
      </c>
      <c r="I16" s="295">
        <v>20000000</v>
      </c>
      <c r="J16" s="295">
        <v>0</v>
      </c>
      <c r="K16" s="295">
        <f>693900000*70%</f>
        <v>485729999.99999994</v>
      </c>
      <c r="L16" s="295">
        <f>693900000*70%</f>
        <v>485729999.99999994</v>
      </c>
      <c r="M16" s="295">
        <v>335730000</v>
      </c>
      <c r="N16" s="295">
        <f>M16</f>
        <v>335730000</v>
      </c>
      <c r="O16" s="295">
        <f t="shared" si="1"/>
        <v>-149999999.99999994</v>
      </c>
      <c r="P16" s="343">
        <v>150000000</v>
      </c>
      <c r="Q16" s="343">
        <f t="shared" ref="Q16:Q56" si="2">P16</f>
        <v>150000000</v>
      </c>
      <c r="R16" s="343">
        <f t="shared" ref="R16:R58" si="3">Q16-P16</f>
        <v>0</v>
      </c>
    </row>
    <row r="17" spans="1:18" ht="21" customHeight="1">
      <c r="A17" s="344" t="s">
        <v>268</v>
      </c>
      <c r="B17" s="295" t="s">
        <v>153</v>
      </c>
      <c r="C17" s="295"/>
      <c r="D17" s="295"/>
      <c r="E17" s="295"/>
      <c r="F17" s="295"/>
      <c r="G17" s="295"/>
      <c r="H17" s="295"/>
      <c r="I17" s="295"/>
      <c r="J17" s="295">
        <v>8500000</v>
      </c>
      <c r="K17" s="295">
        <f>2340000000*70%</f>
        <v>1638000000</v>
      </c>
      <c r="L17" s="295">
        <f>K17</f>
        <v>1638000000</v>
      </c>
      <c r="M17" s="295">
        <v>1578000000</v>
      </c>
      <c r="N17" s="295">
        <v>1878000000</v>
      </c>
      <c r="O17" s="295">
        <f t="shared" si="1"/>
        <v>-60000000</v>
      </c>
      <c r="P17" s="343">
        <v>60000000</v>
      </c>
      <c r="Q17" s="343">
        <f t="shared" si="2"/>
        <v>60000000</v>
      </c>
      <c r="R17" s="343">
        <f t="shared" si="3"/>
        <v>0</v>
      </c>
    </row>
    <row r="18" spans="1:18" ht="21" customHeight="1">
      <c r="A18" s="344" t="s">
        <v>269</v>
      </c>
      <c r="B18" s="295" t="s">
        <v>186</v>
      </c>
      <c r="C18" s="295"/>
      <c r="D18" s="295"/>
      <c r="E18" s="295"/>
      <c r="F18" s="295"/>
      <c r="G18" s="295"/>
      <c r="H18" s="295"/>
      <c r="I18" s="295"/>
      <c r="J18" s="295">
        <v>32726886</v>
      </c>
      <c r="K18" s="295">
        <f>275160000*70%</f>
        <v>192612000</v>
      </c>
      <c r="L18" s="295">
        <f>275160000*70%</f>
        <v>192612000</v>
      </c>
      <c r="M18" s="295">
        <v>152612000</v>
      </c>
      <c r="N18" s="295">
        <f>M18</f>
        <v>152612000</v>
      </c>
      <c r="O18" s="295">
        <f t="shared" si="1"/>
        <v>-40000000</v>
      </c>
      <c r="P18" s="343">
        <v>40000000</v>
      </c>
      <c r="Q18" s="343">
        <f t="shared" si="2"/>
        <v>40000000</v>
      </c>
      <c r="R18" s="343">
        <f t="shared" si="3"/>
        <v>0</v>
      </c>
    </row>
    <row r="19" spans="1:18" ht="21" customHeight="1">
      <c r="A19" s="344" t="s">
        <v>270</v>
      </c>
      <c r="B19" s="295" t="s">
        <v>581</v>
      </c>
      <c r="C19" s="295"/>
      <c r="D19" s="295"/>
      <c r="E19" s="295"/>
      <c r="F19" s="295"/>
      <c r="G19" s="295"/>
      <c r="H19" s="295"/>
      <c r="I19" s="295"/>
      <c r="J19" s="295">
        <v>136500000</v>
      </c>
      <c r="K19" s="295">
        <f>136500000*70%+400000000</f>
        <v>495550000</v>
      </c>
      <c r="L19" s="295">
        <f>136500000*70%+400000000</f>
        <v>495550000</v>
      </c>
      <c r="M19" s="295">
        <f>L19</f>
        <v>495550000</v>
      </c>
      <c r="N19" s="295">
        <f>M19</f>
        <v>495550000</v>
      </c>
      <c r="O19" s="295">
        <f t="shared" si="1"/>
        <v>0</v>
      </c>
      <c r="P19" s="343">
        <v>0</v>
      </c>
      <c r="Q19" s="343">
        <f t="shared" si="2"/>
        <v>0</v>
      </c>
      <c r="R19" s="343">
        <f t="shared" si="3"/>
        <v>0</v>
      </c>
    </row>
    <row r="20" spans="1:18" ht="21" customHeight="1">
      <c r="A20" s="344" t="s">
        <v>271</v>
      </c>
      <c r="B20" s="295" t="s">
        <v>154</v>
      </c>
      <c r="C20" s="295">
        <v>2500000</v>
      </c>
      <c r="D20" s="295">
        <v>2000000</v>
      </c>
      <c r="E20" s="295">
        <v>2000000</v>
      </c>
      <c r="F20" s="295">
        <v>2000000</v>
      </c>
      <c r="G20" s="295">
        <v>1600000</v>
      </c>
      <c r="H20" s="295">
        <v>41000000</v>
      </c>
      <c r="I20" s="295">
        <v>41000000</v>
      </c>
      <c r="J20" s="295">
        <v>15735744</v>
      </c>
      <c r="K20" s="295">
        <f>40400000*70%</f>
        <v>28280000</v>
      </c>
      <c r="L20" s="295">
        <v>20000000</v>
      </c>
      <c r="M20" s="295">
        <f>L20</f>
        <v>20000000</v>
      </c>
      <c r="N20" s="295">
        <f>M20</f>
        <v>20000000</v>
      </c>
      <c r="O20" s="295">
        <f t="shared" si="1"/>
        <v>0</v>
      </c>
      <c r="P20" s="343">
        <v>0</v>
      </c>
      <c r="Q20" s="343">
        <f t="shared" si="2"/>
        <v>0</v>
      </c>
      <c r="R20" s="343">
        <f t="shared" si="3"/>
        <v>0</v>
      </c>
    </row>
    <row r="21" spans="1:18" ht="21" customHeight="1">
      <c r="A21" s="344" t="s">
        <v>272</v>
      </c>
      <c r="B21" s="295" t="s">
        <v>54</v>
      </c>
      <c r="C21" s="295">
        <f t="shared" ref="C21:I21" si="4">SUM(C15:C20)</f>
        <v>4000000</v>
      </c>
      <c r="D21" s="295">
        <f t="shared" si="4"/>
        <v>7500000</v>
      </c>
      <c r="E21" s="295">
        <f t="shared" si="4"/>
        <v>2500000</v>
      </c>
      <c r="F21" s="295">
        <f t="shared" si="4"/>
        <v>2500000</v>
      </c>
      <c r="G21" s="295">
        <f t="shared" si="4"/>
        <v>2000000</v>
      </c>
      <c r="H21" s="295">
        <f t="shared" si="4"/>
        <v>409850000</v>
      </c>
      <c r="I21" s="346">
        <f t="shared" si="4"/>
        <v>61000000</v>
      </c>
      <c r="J21" s="295">
        <v>19737600</v>
      </c>
      <c r="K21" s="295">
        <v>1447754000</v>
      </c>
      <c r="L21" s="295">
        <f>K21</f>
        <v>1447754000</v>
      </c>
      <c r="M21" s="295">
        <v>1247754000</v>
      </c>
      <c r="N21" s="295">
        <v>1547754000</v>
      </c>
      <c r="O21" s="295">
        <f t="shared" si="1"/>
        <v>-200000000</v>
      </c>
      <c r="P21" s="343">
        <v>200000000</v>
      </c>
      <c r="Q21" s="343">
        <f t="shared" si="2"/>
        <v>200000000</v>
      </c>
      <c r="R21" s="343">
        <f t="shared" si="3"/>
        <v>0</v>
      </c>
    </row>
    <row r="22" spans="1:18" ht="21" customHeight="1">
      <c r="A22" s="344" t="s">
        <v>273</v>
      </c>
      <c r="B22" s="295" t="s">
        <v>120</v>
      </c>
      <c r="C22" s="295"/>
      <c r="D22" s="295"/>
      <c r="E22" s="295"/>
      <c r="F22" s="295"/>
      <c r="G22" s="295"/>
      <c r="H22" s="295"/>
      <c r="I22" s="295"/>
      <c r="J22" s="295">
        <v>0</v>
      </c>
      <c r="K22" s="295">
        <v>2527600000</v>
      </c>
      <c r="L22" s="295">
        <f>K22</f>
        <v>2527600000</v>
      </c>
      <c r="M22" s="295">
        <v>2507600000</v>
      </c>
      <c r="N22" s="295">
        <v>3307600000</v>
      </c>
      <c r="O22" s="295">
        <f t="shared" si="1"/>
        <v>-20000000</v>
      </c>
      <c r="P22" s="343">
        <v>20000000</v>
      </c>
      <c r="Q22" s="343">
        <f t="shared" si="2"/>
        <v>20000000</v>
      </c>
      <c r="R22" s="343">
        <f t="shared" si="3"/>
        <v>0</v>
      </c>
    </row>
    <row r="23" spans="1:18" ht="21" customHeight="1">
      <c r="A23" s="344" t="s">
        <v>274</v>
      </c>
      <c r="B23" s="295" t="s">
        <v>164</v>
      </c>
      <c r="C23" s="295">
        <v>23000000</v>
      </c>
      <c r="D23" s="295">
        <v>15000000</v>
      </c>
      <c r="E23" s="295">
        <v>8949700</v>
      </c>
      <c r="F23" s="295">
        <v>8949700</v>
      </c>
      <c r="G23" s="295">
        <v>12000000</v>
      </c>
      <c r="H23" s="295">
        <v>80000000</v>
      </c>
      <c r="I23" s="295">
        <v>80000000</v>
      </c>
      <c r="J23" s="295">
        <v>25610000</v>
      </c>
      <c r="K23" s="295">
        <f>127605000*70%</f>
        <v>89323500</v>
      </c>
      <c r="L23" s="295">
        <f>127605000*70%</f>
        <v>89323500</v>
      </c>
      <c r="M23" s="295">
        <v>59323500</v>
      </c>
      <c r="N23" s="295">
        <f>M23</f>
        <v>59323500</v>
      </c>
      <c r="O23" s="295">
        <f t="shared" si="1"/>
        <v>-30000000</v>
      </c>
      <c r="P23" s="343">
        <v>30000000</v>
      </c>
      <c r="Q23" s="343">
        <f t="shared" si="2"/>
        <v>30000000</v>
      </c>
      <c r="R23" s="343">
        <f t="shared" si="3"/>
        <v>0</v>
      </c>
    </row>
    <row r="24" spans="1:18" ht="21" customHeight="1">
      <c r="A24" s="344" t="s">
        <v>275</v>
      </c>
      <c r="B24" s="295" t="s">
        <v>40</v>
      </c>
      <c r="C24" s="295">
        <v>10061000</v>
      </c>
      <c r="D24" s="295">
        <v>2000000</v>
      </c>
      <c r="E24" s="295">
        <v>0</v>
      </c>
      <c r="F24" s="295">
        <v>0</v>
      </c>
      <c r="G24" s="295">
        <v>0</v>
      </c>
      <c r="H24" s="295">
        <v>30000000</v>
      </c>
      <c r="I24" s="295">
        <v>40000000</v>
      </c>
      <c r="J24" s="295">
        <v>3038784</v>
      </c>
      <c r="K24" s="295">
        <v>70800000</v>
      </c>
      <c r="L24" s="295">
        <v>70800000</v>
      </c>
      <c r="M24" s="295">
        <f>L24</f>
        <v>70800000</v>
      </c>
      <c r="N24" s="295">
        <f>M24</f>
        <v>70800000</v>
      </c>
      <c r="O24" s="295">
        <f t="shared" si="1"/>
        <v>0</v>
      </c>
      <c r="P24" s="343">
        <v>0</v>
      </c>
      <c r="Q24" s="343">
        <f t="shared" si="2"/>
        <v>0</v>
      </c>
      <c r="R24" s="343">
        <f t="shared" si="3"/>
        <v>0</v>
      </c>
    </row>
    <row r="25" spans="1:18" ht="21" customHeight="1">
      <c r="A25" s="344" t="s">
        <v>526</v>
      </c>
      <c r="B25" s="295" t="s">
        <v>527</v>
      </c>
      <c r="C25" s="295"/>
      <c r="D25" s="295"/>
      <c r="E25" s="295"/>
      <c r="F25" s="295"/>
      <c r="G25" s="295"/>
      <c r="H25" s="295"/>
      <c r="I25" s="295"/>
      <c r="J25" s="295">
        <v>0</v>
      </c>
      <c r="K25" s="295">
        <f>315450000*70%</f>
        <v>220815000</v>
      </c>
      <c r="L25" s="295">
        <f>315450000*70%</f>
        <v>220815000</v>
      </c>
      <c r="M25" s="295">
        <f>L25</f>
        <v>220815000</v>
      </c>
      <c r="N25" s="295">
        <f>M25</f>
        <v>220815000</v>
      </c>
      <c r="O25" s="295">
        <f t="shared" si="1"/>
        <v>0</v>
      </c>
      <c r="P25" s="343">
        <v>0</v>
      </c>
      <c r="Q25" s="343">
        <f t="shared" si="2"/>
        <v>0</v>
      </c>
      <c r="R25" s="343">
        <f t="shared" si="3"/>
        <v>0</v>
      </c>
    </row>
    <row r="26" spans="1:18" ht="21" customHeight="1">
      <c r="A26" s="344" t="s">
        <v>342</v>
      </c>
      <c r="B26" s="295" t="s">
        <v>312</v>
      </c>
      <c r="C26" s="295"/>
      <c r="D26" s="295"/>
      <c r="E26" s="295"/>
      <c r="F26" s="295"/>
      <c r="G26" s="295"/>
      <c r="H26" s="295"/>
      <c r="I26" s="295"/>
      <c r="J26" s="295">
        <v>9256033256</v>
      </c>
      <c r="K26" s="295">
        <f>16005243233</f>
        <v>16005243233</v>
      </c>
      <c r="L26" s="295">
        <f>K26</f>
        <v>16005243233</v>
      </c>
      <c r="M26" s="295">
        <f>L26</f>
        <v>16005243233</v>
      </c>
      <c r="N26" s="295">
        <f>M26</f>
        <v>16005243233</v>
      </c>
      <c r="O26" s="295">
        <f t="shared" si="1"/>
        <v>0</v>
      </c>
      <c r="P26" s="343">
        <v>0</v>
      </c>
      <c r="Q26" s="343">
        <f t="shared" si="2"/>
        <v>0</v>
      </c>
      <c r="R26" s="343">
        <f t="shared" si="3"/>
        <v>0</v>
      </c>
    </row>
    <row r="27" spans="1:18" ht="21" customHeight="1">
      <c r="A27" s="344" t="s">
        <v>277</v>
      </c>
      <c r="B27" s="295" t="s">
        <v>218</v>
      </c>
      <c r="C27" s="295">
        <v>3000000</v>
      </c>
      <c r="D27" s="295">
        <v>1500000</v>
      </c>
      <c r="E27" s="295">
        <v>0</v>
      </c>
      <c r="F27" s="295">
        <v>0</v>
      </c>
      <c r="G27" s="295">
        <v>0</v>
      </c>
      <c r="H27" s="295">
        <v>15000000</v>
      </c>
      <c r="I27" s="295">
        <v>20000000</v>
      </c>
      <c r="J27" s="295">
        <v>1355821960</v>
      </c>
      <c r="K27" s="295">
        <v>2306215372</v>
      </c>
      <c r="L27" s="295">
        <v>2283805372</v>
      </c>
      <c r="M27" s="295">
        <v>2200785718</v>
      </c>
      <c r="N27" s="295">
        <f>M27</f>
        <v>2200785718</v>
      </c>
      <c r="O27" s="295">
        <f t="shared" si="1"/>
        <v>-83019654</v>
      </c>
      <c r="P27" s="343">
        <v>83019654</v>
      </c>
      <c r="Q27" s="343">
        <f t="shared" si="2"/>
        <v>83019654</v>
      </c>
      <c r="R27" s="343">
        <f t="shared" si="3"/>
        <v>0</v>
      </c>
    </row>
    <row r="28" spans="1:18" ht="21" customHeight="1">
      <c r="A28" s="344" t="s">
        <v>805</v>
      </c>
      <c r="B28" s="295" t="s">
        <v>806</v>
      </c>
      <c r="C28" s="295"/>
      <c r="D28" s="295"/>
      <c r="E28" s="295"/>
      <c r="F28" s="295"/>
      <c r="G28" s="295"/>
      <c r="H28" s="295"/>
      <c r="I28" s="295"/>
      <c r="J28" s="295"/>
      <c r="K28" s="295">
        <v>0</v>
      </c>
      <c r="L28" s="295">
        <v>200000000</v>
      </c>
      <c r="M28" s="295">
        <v>0</v>
      </c>
      <c r="N28" s="295">
        <v>0</v>
      </c>
      <c r="O28" s="295">
        <f t="shared" si="1"/>
        <v>-200000000</v>
      </c>
      <c r="P28" s="343">
        <v>0</v>
      </c>
      <c r="Q28" s="343">
        <f t="shared" si="2"/>
        <v>0</v>
      </c>
      <c r="R28" s="343">
        <f t="shared" si="3"/>
        <v>0</v>
      </c>
    </row>
    <row r="29" spans="1:18" ht="21" customHeight="1">
      <c r="A29" s="344" t="s">
        <v>1125</v>
      </c>
      <c r="B29" s="295" t="s">
        <v>1126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>
        <v>0</v>
      </c>
      <c r="N29" s="295">
        <v>0</v>
      </c>
      <c r="O29" s="295">
        <f t="shared" si="1"/>
        <v>0</v>
      </c>
      <c r="P29" s="343">
        <v>0</v>
      </c>
      <c r="Q29" s="343">
        <f t="shared" si="2"/>
        <v>0</v>
      </c>
      <c r="R29" s="343">
        <f t="shared" si="3"/>
        <v>0</v>
      </c>
    </row>
    <row r="30" spans="1:18" ht="21" customHeight="1">
      <c r="A30" s="344" t="s">
        <v>276</v>
      </c>
      <c r="B30" s="295" t="s">
        <v>830</v>
      </c>
      <c r="C30" s="295">
        <v>0</v>
      </c>
      <c r="D30" s="295">
        <v>0</v>
      </c>
      <c r="E30" s="295">
        <v>0</v>
      </c>
      <c r="F30" s="295">
        <v>0</v>
      </c>
      <c r="G30" s="295">
        <v>0</v>
      </c>
      <c r="H30" s="295">
        <v>40000000</v>
      </c>
      <c r="I30" s="295">
        <v>70000000</v>
      </c>
      <c r="J30" s="295">
        <v>0</v>
      </c>
      <c r="K30" s="295">
        <v>5100000000</v>
      </c>
      <c r="L30" s="295">
        <v>5900000000</v>
      </c>
      <c r="M30" s="295">
        <v>0</v>
      </c>
      <c r="N30" s="295">
        <v>0</v>
      </c>
      <c r="O30" s="295">
        <f t="shared" si="1"/>
        <v>-5900000000</v>
      </c>
      <c r="P30" s="343">
        <v>0</v>
      </c>
      <c r="Q30" s="343">
        <f t="shared" si="2"/>
        <v>0</v>
      </c>
      <c r="R30" s="343">
        <f t="shared" si="3"/>
        <v>0</v>
      </c>
    </row>
    <row r="31" spans="1:18" ht="21" customHeight="1">
      <c r="A31" s="344" t="s">
        <v>623</v>
      </c>
      <c r="B31" s="295" t="s">
        <v>751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>
        <v>0</v>
      </c>
      <c r="N31" s="295">
        <v>1000000000</v>
      </c>
      <c r="O31" s="295">
        <f t="shared" si="1"/>
        <v>0</v>
      </c>
      <c r="P31" s="343">
        <v>0</v>
      </c>
      <c r="Q31" s="343">
        <f t="shared" si="2"/>
        <v>0</v>
      </c>
      <c r="R31" s="343">
        <f t="shared" si="3"/>
        <v>0</v>
      </c>
    </row>
    <row r="32" spans="1:18" ht="21" customHeight="1">
      <c r="A32" s="344"/>
      <c r="B32" s="346" t="s">
        <v>119</v>
      </c>
      <c r="C32" s="295">
        <v>0</v>
      </c>
      <c r="D32" s="295">
        <v>0</v>
      </c>
      <c r="E32" s="295">
        <v>0</v>
      </c>
      <c r="F32" s="295">
        <v>0</v>
      </c>
      <c r="G32" s="295">
        <v>16000000</v>
      </c>
      <c r="H32" s="295">
        <v>360113000</v>
      </c>
      <c r="I32" s="295">
        <v>208212162</v>
      </c>
      <c r="J32" s="346">
        <f>SUM(J15:J30)</f>
        <v>10865183430</v>
      </c>
      <c r="K32" s="346">
        <f>SUM(K15:K30)</f>
        <v>30635573105</v>
      </c>
      <c r="L32" s="346">
        <f>SUM(L15:L30)</f>
        <v>31604883105</v>
      </c>
      <c r="M32" s="346">
        <f>SUM(M15:M31)</f>
        <v>24911863451</v>
      </c>
      <c r="N32" s="346">
        <f>SUM(N15:N31)</f>
        <v>27311863451</v>
      </c>
      <c r="O32" s="346">
        <f t="shared" si="1"/>
        <v>-6693019654</v>
      </c>
      <c r="P32" s="340">
        <f>SUM(P13:P31)</f>
        <v>593019654</v>
      </c>
      <c r="Q32" s="340">
        <f>P32</f>
        <v>593019654</v>
      </c>
      <c r="R32" s="343">
        <f t="shared" si="3"/>
        <v>0</v>
      </c>
    </row>
    <row r="33" spans="1:18" ht="21" customHeight="1">
      <c r="A33" s="347" t="s">
        <v>279</v>
      </c>
      <c r="B33" s="346" t="s">
        <v>278</v>
      </c>
      <c r="C33" s="295"/>
      <c r="D33" s="295"/>
      <c r="E33" s="295"/>
      <c r="F33" s="295"/>
      <c r="G33" s="295"/>
      <c r="H33" s="295"/>
      <c r="I33" s="295">
        <v>0</v>
      </c>
      <c r="J33" s="295"/>
      <c r="K33" s="295"/>
      <c r="L33" s="295"/>
      <c r="M33" s="295"/>
      <c r="N33" s="295"/>
      <c r="O33" s="295">
        <f t="shared" si="1"/>
        <v>0</v>
      </c>
      <c r="P33" s="343">
        <v>0</v>
      </c>
      <c r="Q33" s="343">
        <f t="shared" si="2"/>
        <v>0</v>
      </c>
      <c r="R33" s="343">
        <f t="shared" si="3"/>
        <v>0</v>
      </c>
    </row>
    <row r="34" spans="1:18" ht="21" customHeight="1">
      <c r="A34" s="344" t="s">
        <v>280</v>
      </c>
      <c r="B34" s="295" t="s">
        <v>160</v>
      </c>
      <c r="C34" s="346" t="e">
        <f>#REF!+#REF!+#REF!+#REF!+#REF!</f>
        <v>#REF!</v>
      </c>
      <c r="D34" s="346" t="e">
        <f>#REF!+#REF!+#REF!+#REF!+#REF!</f>
        <v>#REF!</v>
      </c>
      <c r="E34" s="346" t="e">
        <f>#REF!+#REF!+#REF!+#REF!+#REF!</f>
        <v>#REF!</v>
      </c>
      <c r="F34" s="346" t="e">
        <f>#REF!+#REF!+#REF!+#REF!+#REF!</f>
        <v>#REF!</v>
      </c>
      <c r="G34" s="346" t="e">
        <f>#REF!+#REF!+#REF!+#REF!+#REF!</f>
        <v>#REF!</v>
      </c>
      <c r="H34" s="346" t="e">
        <f>#REF!+#REF!+#REF!+#REF!+#REF!</f>
        <v>#REF!</v>
      </c>
      <c r="I34" s="346" t="e">
        <f>#REF!+#REF!+#REF!+#REF!+#REF!</f>
        <v>#REF!</v>
      </c>
      <c r="J34" s="295">
        <v>7800000</v>
      </c>
      <c r="K34" s="295">
        <f>7800000*70%</f>
        <v>5460000</v>
      </c>
      <c r="L34" s="295">
        <f>7800000*70%</f>
        <v>5460000</v>
      </c>
      <c r="M34" s="295">
        <f>L34</f>
        <v>5460000</v>
      </c>
      <c r="N34" s="295">
        <f>M34</f>
        <v>5460000</v>
      </c>
      <c r="O34" s="295">
        <f t="shared" si="1"/>
        <v>0</v>
      </c>
      <c r="P34" s="343">
        <v>0</v>
      </c>
      <c r="Q34" s="343">
        <f t="shared" si="2"/>
        <v>0</v>
      </c>
      <c r="R34" s="343">
        <f t="shared" si="3"/>
        <v>0</v>
      </c>
    </row>
    <row r="35" spans="1:18" ht="21" customHeight="1">
      <c r="A35" s="344" t="s">
        <v>281</v>
      </c>
      <c r="B35" s="295" t="s">
        <v>161</v>
      </c>
      <c r="C35" s="348"/>
      <c r="D35" s="348"/>
      <c r="E35" s="348"/>
      <c r="F35" s="349">
        <v>0</v>
      </c>
      <c r="G35" s="349" t="s">
        <v>4</v>
      </c>
      <c r="H35" s="349"/>
      <c r="I35" s="349"/>
      <c r="J35" s="295">
        <v>660119248</v>
      </c>
      <c r="K35" s="295">
        <v>1334950874</v>
      </c>
      <c r="L35" s="295">
        <f>K35</f>
        <v>1334950874</v>
      </c>
      <c r="M35" s="295">
        <v>1134950874</v>
      </c>
      <c r="N35" s="295">
        <f>M35</f>
        <v>1134950874</v>
      </c>
      <c r="O35" s="295">
        <f t="shared" si="1"/>
        <v>-200000000</v>
      </c>
      <c r="P35" s="343">
        <v>200000000</v>
      </c>
      <c r="Q35" s="343">
        <f t="shared" si="2"/>
        <v>200000000</v>
      </c>
      <c r="R35" s="343">
        <f t="shared" si="3"/>
        <v>0</v>
      </c>
    </row>
    <row r="36" spans="1:18" ht="21" customHeight="1">
      <c r="A36" s="344" t="s">
        <v>282</v>
      </c>
      <c r="B36" s="295" t="s">
        <v>155</v>
      </c>
      <c r="C36" s="348"/>
      <c r="D36" s="348"/>
      <c r="E36" s="348"/>
      <c r="F36" s="349"/>
      <c r="G36" s="349"/>
      <c r="H36" s="349"/>
      <c r="I36" s="349"/>
      <c r="J36" s="295">
        <v>38304400</v>
      </c>
      <c r="K36" s="295">
        <v>120715500</v>
      </c>
      <c r="L36" s="295">
        <v>120715500</v>
      </c>
      <c r="M36" s="295">
        <v>107715500</v>
      </c>
      <c r="N36" s="295">
        <f>M36</f>
        <v>107715500</v>
      </c>
      <c r="O36" s="295">
        <f t="shared" si="1"/>
        <v>-13000000</v>
      </c>
      <c r="P36" s="343">
        <v>13000000</v>
      </c>
      <c r="Q36" s="343">
        <f t="shared" si="2"/>
        <v>13000000</v>
      </c>
      <c r="R36" s="343">
        <f t="shared" si="3"/>
        <v>0</v>
      </c>
    </row>
    <row r="37" spans="1:18" ht="21" customHeight="1">
      <c r="A37" s="344" t="s">
        <v>283</v>
      </c>
      <c r="B37" s="295" t="s">
        <v>156</v>
      </c>
      <c r="C37" s="295"/>
      <c r="D37" s="295"/>
      <c r="E37" s="295"/>
      <c r="F37" s="295"/>
      <c r="G37" s="295"/>
      <c r="H37" s="295"/>
      <c r="I37" s="295"/>
      <c r="J37" s="295">
        <v>6017984</v>
      </c>
      <c r="K37" s="295">
        <f>72185000*70%</f>
        <v>50529500</v>
      </c>
      <c r="L37" s="295">
        <f>72185000*70%</f>
        <v>50529500</v>
      </c>
      <c r="M37" s="295">
        <v>44529500</v>
      </c>
      <c r="N37" s="295">
        <f>M37</f>
        <v>44529500</v>
      </c>
      <c r="O37" s="295">
        <f t="shared" si="1"/>
        <v>-6000000</v>
      </c>
      <c r="P37" s="343">
        <v>6000000</v>
      </c>
      <c r="Q37" s="343">
        <f t="shared" si="2"/>
        <v>6000000</v>
      </c>
      <c r="R37" s="343">
        <f t="shared" si="3"/>
        <v>0</v>
      </c>
    </row>
    <row r="38" spans="1:18" ht="21" customHeight="1">
      <c r="A38" s="344" t="s">
        <v>284</v>
      </c>
      <c r="B38" s="295" t="s">
        <v>162</v>
      </c>
      <c r="C38" s="295">
        <v>4000000</v>
      </c>
      <c r="D38" s="295">
        <v>2000000</v>
      </c>
      <c r="E38" s="295">
        <v>0</v>
      </c>
      <c r="F38" s="295">
        <v>0</v>
      </c>
      <c r="G38" s="295">
        <v>0</v>
      </c>
      <c r="H38" s="295">
        <v>200000000</v>
      </c>
      <c r="I38" s="295">
        <v>200000000</v>
      </c>
      <c r="J38" s="295">
        <v>0</v>
      </c>
      <c r="K38" s="295">
        <v>0</v>
      </c>
      <c r="L38" s="295">
        <v>0</v>
      </c>
      <c r="M38" s="295">
        <f>L38</f>
        <v>0</v>
      </c>
      <c r="N38" s="295">
        <f>M38</f>
        <v>0</v>
      </c>
      <c r="O38" s="295">
        <f t="shared" si="1"/>
        <v>0</v>
      </c>
      <c r="P38" s="343">
        <v>0</v>
      </c>
      <c r="Q38" s="343">
        <f t="shared" si="2"/>
        <v>0</v>
      </c>
      <c r="R38" s="343">
        <f t="shared" si="3"/>
        <v>0</v>
      </c>
    </row>
    <row r="39" spans="1:18" ht="21" customHeight="1">
      <c r="A39" s="344" t="s">
        <v>298</v>
      </c>
      <c r="B39" s="295" t="s">
        <v>219</v>
      </c>
      <c r="C39" s="295">
        <v>0</v>
      </c>
      <c r="D39" s="295">
        <v>0</v>
      </c>
      <c r="E39" s="295">
        <v>0</v>
      </c>
      <c r="F39" s="295">
        <v>0</v>
      </c>
      <c r="G39" s="295">
        <v>0</v>
      </c>
      <c r="H39" s="295">
        <v>150000000</v>
      </c>
      <c r="I39" s="295">
        <v>150000000</v>
      </c>
      <c r="J39" s="295">
        <v>21501800</v>
      </c>
      <c r="K39" s="295">
        <f>1385605000*70%</f>
        <v>969923499.99999988</v>
      </c>
      <c r="L39" s="295">
        <v>300000000</v>
      </c>
      <c r="M39" s="295">
        <v>280000000</v>
      </c>
      <c r="N39" s="295">
        <f>M39</f>
        <v>280000000</v>
      </c>
      <c r="O39" s="295">
        <f t="shared" si="1"/>
        <v>-20000000</v>
      </c>
      <c r="P39" s="343">
        <v>20000000</v>
      </c>
      <c r="Q39" s="343">
        <f t="shared" si="2"/>
        <v>20000000</v>
      </c>
      <c r="R39" s="343">
        <f t="shared" si="3"/>
        <v>0</v>
      </c>
    </row>
    <row r="40" spans="1:18" ht="21" customHeight="1">
      <c r="A40" s="344"/>
      <c r="B40" s="346" t="s">
        <v>119</v>
      </c>
      <c r="C40" s="295">
        <v>10089000</v>
      </c>
      <c r="D40" s="295">
        <v>10004000</v>
      </c>
      <c r="E40" s="295">
        <v>20004000</v>
      </c>
      <c r="F40" s="295">
        <v>20004000</v>
      </c>
      <c r="G40" s="295">
        <v>40003200</v>
      </c>
      <c r="H40" s="295">
        <v>100000000</v>
      </c>
      <c r="I40" s="295">
        <v>100000000</v>
      </c>
      <c r="J40" s="346">
        <f>SUM(J34:J39)</f>
        <v>733743432</v>
      </c>
      <c r="K40" s="346">
        <f>SUM(K34:K39)</f>
        <v>2481579374</v>
      </c>
      <c r="L40" s="346">
        <f>SUM(L34:L39)</f>
        <v>1811655874</v>
      </c>
      <c r="M40" s="346">
        <f>SUM(M34:M39)</f>
        <v>1572655874</v>
      </c>
      <c r="N40" s="346">
        <f>SUM(N34:N39)</f>
        <v>1572655874</v>
      </c>
      <c r="O40" s="346">
        <f t="shared" si="1"/>
        <v>-239000000</v>
      </c>
      <c r="P40" s="340">
        <f>SUM(P33:P39)</f>
        <v>239000000</v>
      </c>
      <c r="Q40" s="340">
        <f t="shared" si="2"/>
        <v>239000000</v>
      </c>
      <c r="R40" s="343">
        <f t="shared" si="3"/>
        <v>0</v>
      </c>
    </row>
    <row r="41" spans="1:18" ht="21" customHeight="1">
      <c r="A41" s="347" t="s">
        <v>285</v>
      </c>
      <c r="B41" s="346" t="s">
        <v>158</v>
      </c>
      <c r="C41" s="295">
        <v>0</v>
      </c>
      <c r="D41" s="295">
        <v>0</v>
      </c>
      <c r="E41" s="295">
        <v>0</v>
      </c>
      <c r="F41" s="295">
        <v>0</v>
      </c>
      <c r="G41" s="295">
        <v>0</v>
      </c>
      <c r="H41" s="295">
        <v>616200000</v>
      </c>
      <c r="I41" s="295">
        <v>616200000</v>
      </c>
      <c r="J41" s="295"/>
      <c r="K41" s="295"/>
      <c r="L41" s="295"/>
      <c r="M41" s="295"/>
      <c r="N41" s="295"/>
      <c r="O41" s="295">
        <f t="shared" si="1"/>
        <v>0</v>
      </c>
      <c r="P41" s="343">
        <v>0</v>
      </c>
      <c r="Q41" s="343">
        <f t="shared" si="2"/>
        <v>0</v>
      </c>
      <c r="R41" s="343">
        <f t="shared" si="3"/>
        <v>0</v>
      </c>
    </row>
    <row r="42" spans="1:18" ht="21" customHeight="1">
      <c r="A42" s="344" t="s">
        <v>286</v>
      </c>
      <c r="B42" s="295" t="s">
        <v>55</v>
      </c>
      <c r="C42" s="295">
        <v>13333000</v>
      </c>
      <c r="D42" s="295">
        <v>5000000</v>
      </c>
      <c r="E42" s="295">
        <v>0</v>
      </c>
      <c r="F42" s="295">
        <v>0</v>
      </c>
      <c r="G42" s="295">
        <v>0</v>
      </c>
      <c r="H42" s="295">
        <v>100000000</v>
      </c>
      <c r="I42" s="295">
        <v>70000000</v>
      </c>
      <c r="J42" s="295">
        <v>59340500</v>
      </c>
      <c r="K42" s="295">
        <v>117060845</v>
      </c>
      <c r="L42" s="295">
        <v>117060845</v>
      </c>
      <c r="M42" s="295">
        <v>87060845</v>
      </c>
      <c r="N42" s="295">
        <f>M42</f>
        <v>87060845</v>
      </c>
      <c r="O42" s="295">
        <f t="shared" si="1"/>
        <v>-30000000</v>
      </c>
      <c r="P42" s="343">
        <v>30000000</v>
      </c>
      <c r="Q42" s="343">
        <f t="shared" si="2"/>
        <v>30000000</v>
      </c>
      <c r="R42" s="343">
        <f t="shared" si="3"/>
        <v>0</v>
      </c>
    </row>
    <row r="43" spans="1:18" ht="21" customHeight="1">
      <c r="A43" s="344" t="s">
        <v>288</v>
      </c>
      <c r="B43" s="295" t="s">
        <v>287</v>
      </c>
      <c r="C43" s="295">
        <v>0</v>
      </c>
      <c r="D43" s="295">
        <v>0</v>
      </c>
      <c r="E43" s="295">
        <v>0</v>
      </c>
      <c r="F43" s="295">
        <v>0</v>
      </c>
      <c r="G43" s="295">
        <v>0</v>
      </c>
      <c r="H43" s="295">
        <v>0</v>
      </c>
      <c r="I43" s="295">
        <v>0</v>
      </c>
      <c r="J43" s="295">
        <v>4424000</v>
      </c>
      <c r="K43" s="295">
        <f>36424000*70%</f>
        <v>25496800</v>
      </c>
      <c r="L43" s="295">
        <f>36424000*70%</f>
        <v>25496800</v>
      </c>
      <c r="M43" s="295">
        <v>9496800</v>
      </c>
      <c r="N43" s="295">
        <f>M43</f>
        <v>9496800</v>
      </c>
      <c r="O43" s="295">
        <f t="shared" si="1"/>
        <v>-16000000</v>
      </c>
      <c r="P43" s="343">
        <v>16000000</v>
      </c>
      <c r="Q43" s="343">
        <f t="shared" si="2"/>
        <v>16000000</v>
      </c>
      <c r="R43" s="343">
        <f t="shared" si="3"/>
        <v>0</v>
      </c>
    </row>
    <row r="44" spans="1:18" ht="21" customHeight="1">
      <c r="A44" s="344"/>
      <c r="B44" s="346" t="s">
        <v>119</v>
      </c>
      <c r="C44" s="346" t="e">
        <f>#REF!+#REF!+C37+C21+#REF!</f>
        <v>#REF!</v>
      </c>
      <c r="D44" s="346" t="e">
        <f>#REF!+#REF!+D37+D21+#REF!</f>
        <v>#REF!</v>
      </c>
      <c r="E44" s="346" t="e">
        <f>#REF!+#REF!+E37+E21+#REF!</f>
        <v>#REF!</v>
      </c>
      <c r="F44" s="346" t="e">
        <f>#REF!+#REF!+F37+F21+#REF!</f>
        <v>#REF!</v>
      </c>
      <c r="G44" s="346" t="e">
        <f>#REF!+#REF!+G21+G37+#REF!</f>
        <v>#REF!</v>
      </c>
      <c r="H44" s="346" t="e">
        <f>#REF!+#REF!+H37+H21+#REF!</f>
        <v>#REF!</v>
      </c>
      <c r="I44" s="346" t="e">
        <f>#REF!+#REF!+I37+I21+#REF!</f>
        <v>#REF!</v>
      </c>
      <c r="J44" s="346">
        <f>SUM(J42:J43)</f>
        <v>63764500</v>
      </c>
      <c r="K44" s="346">
        <f>SUM(K42:K43)</f>
        <v>142557645</v>
      </c>
      <c r="L44" s="346">
        <f>SUM(L42:L43)</f>
        <v>142557645</v>
      </c>
      <c r="M44" s="346">
        <f>SUM(M42:M43)</f>
        <v>96557645</v>
      </c>
      <c r="N44" s="346">
        <f>SUM(N42:N43)</f>
        <v>96557645</v>
      </c>
      <c r="O44" s="346">
        <f t="shared" si="1"/>
        <v>-46000000</v>
      </c>
      <c r="P44" s="340">
        <f>SUM(P41:P43)</f>
        <v>46000000</v>
      </c>
      <c r="Q44" s="340">
        <f t="shared" si="2"/>
        <v>46000000</v>
      </c>
      <c r="R44" s="343">
        <f t="shared" si="3"/>
        <v>0</v>
      </c>
    </row>
    <row r="45" spans="1:18" ht="21" customHeight="1">
      <c r="A45" s="347" t="s">
        <v>293</v>
      </c>
      <c r="B45" s="346" t="s">
        <v>292</v>
      </c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>
        <f t="shared" si="1"/>
        <v>0</v>
      </c>
      <c r="P45" s="343">
        <v>0</v>
      </c>
      <c r="Q45" s="343">
        <f t="shared" si="2"/>
        <v>0</v>
      </c>
      <c r="R45" s="343">
        <f t="shared" si="3"/>
        <v>0</v>
      </c>
    </row>
    <row r="46" spans="1:18" ht="21" customHeight="1">
      <c r="A46" s="347" t="s">
        <v>294</v>
      </c>
      <c r="B46" s="346" t="s">
        <v>291</v>
      </c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>
        <f t="shared" si="1"/>
        <v>0</v>
      </c>
      <c r="P46" s="343">
        <v>0</v>
      </c>
      <c r="Q46" s="343">
        <f t="shared" si="2"/>
        <v>0</v>
      </c>
      <c r="R46" s="343">
        <f t="shared" si="3"/>
        <v>0</v>
      </c>
    </row>
    <row r="47" spans="1:18" ht="21" customHeight="1">
      <c r="A47" s="344" t="s">
        <v>389</v>
      </c>
      <c r="B47" s="295" t="s">
        <v>307</v>
      </c>
      <c r="C47" s="295"/>
      <c r="D47" s="295"/>
      <c r="E47" s="295"/>
      <c r="F47" s="295"/>
      <c r="G47" s="295"/>
      <c r="H47" s="295"/>
      <c r="I47" s="295"/>
      <c r="J47" s="295">
        <v>7480000</v>
      </c>
      <c r="K47" s="295">
        <f>146040000*70%</f>
        <v>102228000</v>
      </c>
      <c r="L47" s="295">
        <f>K47</f>
        <v>102228000</v>
      </c>
      <c r="M47" s="295">
        <v>90228000</v>
      </c>
      <c r="N47" s="295">
        <f>M47</f>
        <v>90228000</v>
      </c>
      <c r="O47" s="295">
        <f t="shared" si="1"/>
        <v>-12000000</v>
      </c>
      <c r="P47" s="343">
        <v>12000000</v>
      </c>
      <c r="Q47" s="343">
        <f t="shared" si="2"/>
        <v>12000000</v>
      </c>
      <c r="R47" s="343">
        <f t="shared" si="3"/>
        <v>0</v>
      </c>
    </row>
    <row r="48" spans="1:18" ht="21" customHeight="1">
      <c r="A48" s="344" t="s">
        <v>388</v>
      </c>
      <c r="B48" s="295" t="s">
        <v>728</v>
      </c>
      <c r="C48" s="295"/>
      <c r="D48" s="295"/>
      <c r="E48" s="295"/>
      <c r="F48" s="295"/>
      <c r="G48" s="295"/>
      <c r="H48" s="295"/>
      <c r="I48" s="295"/>
      <c r="J48" s="295">
        <v>524149920</v>
      </c>
      <c r="K48" s="295">
        <v>599475000</v>
      </c>
      <c r="L48" s="295">
        <v>126000000</v>
      </c>
      <c r="M48" s="295">
        <v>0</v>
      </c>
      <c r="N48" s="295">
        <v>240000000</v>
      </c>
      <c r="O48" s="295">
        <f t="shared" si="1"/>
        <v>-126000000</v>
      </c>
      <c r="P48" s="343">
        <v>0</v>
      </c>
      <c r="Q48" s="343">
        <f t="shared" si="2"/>
        <v>0</v>
      </c>
      <c r="R48" s="343">
        <f t="shared" si="3"/>
        <v>0</v>
      </c>
    </row>
    <row r="49" spans="1:18" ht="21" customHeight="1">
      <c r="A49" s="344" t="s">
        <v>295</v>
      </c>
      <c r="B49" s="295" t="s">
        <v>176</v>
      </c>
      <c r="C49" s="295"/>
      <c r="D49" s="295"/>
      <c r="E49" s="295"/>
      <c r="F49" s="295"/>
      <c r="G49" s="295"/>
      <c r="H49" s="295"/>
      <c r="I49" s="295"/>
      <c r="J49" s="295">
        <v>0</v>
      </c>
      <c r="K49" s="295">
        <f>40085000*70%</f>
        <v>28059500</v>
      </c>
      <c r="L49" s="295">
        <f>K49</f>
        <v>28059500</v>
      </c>
      <c r="M49" s="295">
        <f>L49</f>
        <v>28059500</v>
      </c>
      <c r="N49" s="295">
        <f>M49</f>
        <v>28059500</v>
      </c>
      <c r="O49" s="295">
        <f t="shared" si="1"/>
        <v>0</v>
      </c>
      <c r="P49" s="343">
        <v>0</v>
      </c>
      <c r="Q49" s="343">
        <f t="shared" si="2"/>
        <v>0</v>
      </c>
      <c r="R49" s="343">
        <f t="shared" si="3"/>
        <v>0</v>
      </c>
    </row>
    <row r="50" spans="1:18" ht="21" customHeight="1">
      <c r="A50" s="344" t="s">
        <v>579</v>
      </c>
      <c r="B50" s="295" t="s">
        <v>580</v>
      </c>
      <c r="C50" s="295"/>
      <c r="D50" s="295"/>
      <c r="E50" s="295"/>
      <c r="F50" s="295"/>
      <c r="G50" s="295"/>
      <c r="H50" s="295"/>
      <c r="I50" s="295"/>
      <c r="J50" s="295">
        <v>0</v>
      </c>
      <c r="K50" s="295">
        <f>14085000*70%</f>
        <v>9859500</v>
      </c>
      <c r="L50" s="295">
        <f>K50</f>
        <v>9859500</v>
      </c>
      <c r="M50" s="295">
        <v>0</v>
      </c>
      <c r="N50" s="295">
        <f>M50</f>
        <v>0</v>
      </c>
      <c r="O50" s="295">
        <f t="shared" si="1"/>
        <v>-9859500</v>
      </c>
      <c r="P50" s="343">
        <v>9859500</v>
      </c>
      <c r="Q50" s="343">
        <f t="shared" si="2"/>
        <v>9859500</v>
      </c>
      <c r="R50" s="343">
        <f t="shared" si="3"/>
        <v>0</v>
      </c>
    </row>
    <row r="51" spans="1:18" ht="21" customHeight="1">
      <c r="A51" s="344"/>
      <c r="B51" s="346" t="s">
        <v>119</v>
      </c>
      <c r="C51" s="295"/>
      <c r="D51" s="295"/>
      <c r="E51" s="295"/>
      <c r="F51" s="295"/>
      <c r="G51" s="295"/>
      <c r="H51" s="295"/>
      <c r="I51" s="295"/>
      <c r="J51" s="346">
        <f>SUM(J47:J50)</f>
        <v>531629920</v>
      </c>
      <c r="K51" s="346">
        <f>SUM(K47:K50)</f>
        <v>739622000</v>
      </c>
      <c r="L51" s="346">
        <f>SUM(L47:L50)</f>
        <v>266147000</v>
      </c>
      <c r="M51" s="346">
        <f>SUM(M47:M50)</f>
        <v>118287500</v>
      </c>
      <c r="N51" s="346">
        <f>SUM(N47:N50)</f>
        <v>358287500</v>
      </c>
      <c r="O51" s="346">
        <f t="shared" si="1"/>
        <v>-147859500</v>
      </c>
      <c r="P51" s="340">
        <f>SUM(P45:P50)</f>
        <v>21859500</v>
      </c>
      <c r="Q51" s="340">
        <f t="shared" si="2"/>
        <v>21859500</v>
      </c>
      <c r="R51" s="343">
        <f t="shared" si="3"/>
        <v>0</v>
      </c>
    </row>
    <row r="52" spans="1:18" ht="21" customHeight="1">
      <c r="A52" s="350" t="s">
        <v>611</v>
      </c>
      <c r="B52" s="351" t="s">
        <v>612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>
        <f t="shared" si="1"/>
        <v>0</v>
      </c>
      <c r="P52" s="343">
        <v>0</v>
      </c>
      <c r="Q52" s="343">
        <f t="shared" si="2"/>
        <v>0</v>
      </c>
      <c r="R52" s="343">
        <f t="shared" si="3"/>
        <v>0</v>
      </c>
    </row>
    <row r="53" spans="1:18" ht="21" customHeight="1">
      <c r="A53" s="344" t="s">
        <v>433</v>
      </c>
      <c r="B53" s="295" t="s">
        <v>599</v>
      </c>
      <c r="C53" s="295"/>
      <c r="D53" s="295"/>
      <c r="E53" s="295"/>
      <c r="F53" s="295"/>
      <c r="G53" s="295"/>
      <c r="H53" s="295"/>
      <c r="I53" s="295"/>
      <c r="J53" s="295">
        <v>350400000</v>
      </c>
      <c r="K53" s="295">
        <f>350400000*70%</f>
        <v>245279999.99999997</v>
      </c>
      <c r="L53" s="295">
        <v>400000000</v>
      </c>
      <c r="M53" s="295">
        <v>0</v>
      </c>
      <c r="N53" s="295">
        <v>0</v>
      </c>
      <c r="O53" s="295">
        <f t="shared" si="1"/>
        <v>-400000000</v>
      </c>
      <c r="P53" s="343">
        <v>0</v>
      </c>
      <c r="Q53" s="343">
        <f t="shared" si="2"/>
        <v>0</v>
      </c>
      <c r="R53" s="343">
        <f t="shared" si="3"/>
        <v>0</v>
      </c>
    </row>
    <row r="54" spans="1:18" ht="21" customHeight="1">
      <c r="A54" s="344"/>
      <c r="B54" s="346" t="s">
        <v>119</v>
      </c>
      <c r="C54" s="295"/>
      <c r="D54" s="295"/>
      <c r="E54" s="295"/>
      <c r="F54" s="295"/>
      <c r="G54" s="295"/>
      <c r="H54" s="295"/>
      <c r="I54" s="295"/>
      <c r="J54" s="346">
        <f>SUM(J53)</f>
        <v>350400000</v>
      </c>
      <c r="K54" s="346">
        <f>SUM(K53)</f>
        <v>245279999.99999997</v>
      </c>
      <c r="L54" s="346">
        <f>SUM(L53:L53)</f>
        <v>400000000</v>
      </c>
      <c r="M54" s="346">
        <f>SUM(M53)</f>
        <v>0</v>
      </c>
      <c r="N54" s="346">
        <f>SUM(N53)</f>
        <v>0</v>
      </c>
      <c r="O54" s="346">
        <f t="shared" si="1"/>
        <v>-400000000</v>
      </c>
      <c r="P54" s="343">
        <v>0</v>
      </c>
      <c r="Q54" s="343">
        <f t="shared" si="2"/>
        <v>0</v>
      </c>
      <c r="R54" s="343">
        <f t="shared" si="3"/>
        <v>0</v>
      </c>
    </row>
    <row r="55" spans="1:18" ht="21" customHeight="1">
      <c r="A55" s="352" t="s">
        <v>338</v>
      </c>
      <c r="B55" s="353" t="s">
        <v>683</v>
      </c>
      <c r="C55" s="354"/>
      <c r="D55" s="354"/>
      <c r="E55" s="354"/>
      <c r="F55" s="354"/>
      <c r="G55" s="354"/>
      <c r="H55" s="354"/>
      <c r="I55" s="354"/>
      <c r="J55" s="353"/>
      <c r="K55" s="353"/>
      <c r="L55" s="353"/>
      <c r="M55" s="353"/>
      <c r="N55" s="353"/>
      <c r="O55" s="353">
        <f t="shared" si="1"/>
        <v>0</v>
      </c>
      <c r="P55" s="343">
        <v>0</v>
      </c>
      <c r="Q55" s="343">
        <f t="shared" si="2"/>
        <v>0</v>
      </c>
      <c r="R55" s="343">
        <f t="shared" si="3"/>
        <v>0</v>
      </c>
    </row>
    <row r="56" spans="1:18" ht="21" customHeight="1">
      <c r="A56" s="352" t="s">
        <v>446</v>
      </c>
      <c r="B56" s="354" t="s">
        <v>749</v>
      </c>
      <c r="C56" s="354"/>
      <c r="D56" s="354"/>
      <c r="E56" s="354"/>
      <c r="F56" s="354"/>
      <c r="G56" s="354"/>
      <c r="H56" s="354"/>
      <c r="I56" s="354"/>
      <c r="J56" s="353"/>
      <c r="K56" s="353">
        <v>0</v>
      </c>
      <c r="L56" s="354">
        <v>900000000</v>
      </c>
      <c r="M56" s="354">
        <v>0</v>
      </c>
      <c r="N56" s="354">
        <v>0</v>
      </c>
      <c r="O56" s="354">
        <f t="shared" si="1"/>
        <v>-900000000</v>
      </c>
      <c r="P56" s="343">
        <v>900000000</v>
      </c>
      <c r="Q56" s="343">
        <f t="shared" si="2"/>
        <v>900000000</v>
      </c>
      <c r="R56" s="343">
        <f t="shared" si="3"/>
        <v>0</v>
      </c>
    </row>
    <row r="57" spans="1:18" ht="21" customHeight="1">
      <c r="A57" s="352"/>
      <c r="B57" s="354" t="s">
        <v>119</v>
      </c>
      <c r="C57" s="354"/>
      <c r="D57" s="354"/>
      <c r="E57" s="354"/>
      <c r="F57" s="354"/>
      <c r="G57" s="354"/>
      <c r="H57" s="354"/>
      <c r="I57" s="354"/>
      <c r="J57" s="353"/>
      <c r="K57" s="353">
        <v>0</v>
      </c>
      <c r="L57" s="353">
        <f>SUM(L56)</f>
        <v>900000000</v>
      </c>
      <c r="M57" s="353">
        <f>SUM(M56)</f>
        <v>0</v>
      </c>
      <c r="N57" s="353">
        <v>0</v>
      </c>
      <c r="O57" s="353">
        <f t="shared" si="1"/>
        <v>-900000000</v>
      </c>
      <c r="P57" s="340">
        <v>0</v>
      </c>
      <c r="Q57" s="340">
        <v>0</v>
      </c>
      <c r="R57" s="343">
        <f t="shared" si="3"/>
        <v>0</v>
      </c>
    </row>
    <row r="58" spans="1:18" ht="21" customHeight="1" thickBot="1">
      <c r="A58" s="355"/>
      <c r="B58" s="356" t="s">
        <v>42</v>
      </c>
      <c r="C58" s="357"/>
      <c r="D58" s="357"/>
      <c r="E58" s="357"/>
      <c r="F58" s="357"/>
      <c r="G58" s="357"/>
      <c r="H58" s="357"/>
      <c r="I58" s="357"/>
      <c r="J58" s="356">
        <f>J54+J51+J44+J40+J32+J12</f>
        <v>13195562882</v>
      </c>
      <c r="K58" s="356">
        <f>K54+K51+K44+K40+K32+K12</f>
        <v>36927624324</v>
      </c>
      <c r="L58" s="356">
        <f>L57+L54+L51+L44+L40+L32+L12</f>
        <v>37666480824</v>
      </c>
      <c r="M58" s="356">
        <f>M57+M54+M51+M44+M40+M32+M12</f>
        <v>29240601670</v>
      </c>
      <c r="N58" s="356">
        <f>N57+N54+N51+N44+N40+N32+N12</f>
        <v>31819226470</v>
      </c>
      <c r="O58" s="356">
        <f t="shared" si="1"/>
        <v>-8425879154</v>
      </c>
      <c r="P58" s="340"/>
      <c r="Q58" s="340">
        <v>1200000000</v>
      </c>
      <c r="R58" s="340">
        <f t="shared" si="3"/>
        <v>1200000000</v>
      </c>
    </row>
    <row r="59" spans="1:18" ht="21" customHeight="1">
      <c r="P59" s="340">
        <f>P57+P51+P44+P40+P32</f>
        <v>899879154</v>
      </c>
      <c r="Q59" s="340">
        <f>Q58+Q57+Q51+Q44+Q40+Q32</f>
        <v>2099879154</v>
      </c>
      <c r="R59" s="340">
        <f>Q59-P59</f>
        <v>1200000000</v>
      </c>
    </row>
    <row r="61" spans="1:18" ht="21" customHeight="1">
      <c r="Q61" s="340">
        <v>2200000000</v>
      </c>
      <c r="R61" s="340">
        <f>Q59-Q61</f>
        <v>-100120846</v>
      </c>
    </row>
    <row r="66" spans="18:18" ht="21" customHeight="1">
      <c r="R66" s="345">
        <f>P59+Q58</f>
        <v>2099879154</v>
      </c>
    </row>
  </sheetData>
  <pageMargins left="0.7" right="0.7" top="0.75" bottom="0.75" header="0.3" footer="0.3"/>
  <pageSetup scale="50" orientation="portrait" r:id="rId1"/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O49"/>
  <sheetViews>
    <sheetView view="pageBreakPreview" topLeftCell="A36" zoomScale="60" zoomScaleNormal="60" workbookViewId="0">
      <selection activeCell="A36" sqref="A1:XFD1048576"/>
    </sheetView>
  </sheetViews>
  <sheetFormatPr defaultRowHeight="26.1" customHeight="1"/>
  <cols>
    <col min="1" max="1" width="16" style="410" customWidth="1"/>
    <col min="2" max="2" width="85.83203125" style="410" customWidth="1"/>
    <col min="3" max="3" width="22.6640625" style="410" hidden="1" customWidth="1"/>
    <col min="4" max="4" width="19.83203125" style="410" hidden="1" customWidth="1"/>
    <col min="5" max="5" width="18" style="410" hidden="1" customWidth="1"/>
    <col min="6" max="6" width="17" style="410" hidden="1" customWidth="1"/>
    <col min="7" max="7" width="20.6640625" style="410" hidden="1" customWidth="1"/>
    <col min="8" max="8" width="20.5" style="410" hidden="1" customWidth="1"/>
    <col min="9" max="9" width="4" style="410" hidden="1" customWidth="1"/>
    <col min="10" max="10" width="24.6640625" style="410" hidden="1" customWidth="1"/>
    <col min="11" max="11" width="26.33203125" style="410" hidden="1" customWidth="1"/>
    <col min="12" max="12" width="27.6640625" style="410" hidden="1" customWidth="1"/>
    <col min="13" max="14" width="26.5" style="410" customWidth="1"/>
    <col min="15" max="15" width="27.33203125" style="417" bestFit="1" customWidth="1"/>
    <col min="16" max="16384" width="9.33203125" style="410"/>
  </cols>
  <sheetData>
    <row r="1" spans="1:15" ht="26.1" customHeight="1">
      <c r="A1" s="371" t="s">
        <v>44</v>
      </c>
      <c r="B1" s="371" t="s">
        <v>1241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411" customFormat="1" ht="26.1" customHeight="1">
      <c r="A2" s="371" t="s">
        <v>28</v>
      </c>
      <c r="B2" s="371" t="s">
        <v>29</v>
      </c>
      <c r="C2" s="292" t="s">
        <v>43</v>
      </c>
      <c r="D2" s="292" t="s">
        <v>2</v>
      </c>
      <c r="E2" s="292" t="s">
        <v>48</v>
      </c>
      <c r="F2" s="292" t="s">
        <v>52</v>
      </c>
      <c r="G2" s="292" t="s">
        <v>62</v>
      </c>
      <c r="H2" s="271" t="s">
        <v>70</v>
      </c>
      <c r="I2" s="271" t="s">
        <v>130</v>
      </c>
      <c r="J2" s="271" t="s">
        <v>135</v>
      </c>
      <c r="K2" s="271" t="s">
        <v>166</v>
      </c>
      <c r="L2" s="271" t="s">
        <v>300</v>
      </c>
      <c r="M2" s="271" t="s">
        <v>641</v>
      </c>
      <c r="N2" s="271" t="s">
        <v>1103</v>
      </c>
      <c r="O2" s="271" t="s">
        <v>63</v>
      </c>
    </row>
    <row r="3" spans="1:15" ht="26.1" customHeight="1">
      <c r="A3" s="292" t="s">
        <v>248</v>
      </c>
      <c r="B3" s="292" t="s">
        <v>165</v>
      </c>
      <c r="C3" s="284"/>
      <c r="D3" s="284"/>
      <c r="E3" s="284"/>
      <c r="F3" s="284"/>
      <c r="G3" s="284"/>
      <c r="H3" s="400"/>
      <c r="I3" s="400"/>
      <c r="J3" s="401"/>
      <c r="K3" s="400"/>
      <c r="L3" s="400"/>
      <c r="M3" s="400"/>
      <c r="N3" s="400"/>
      <c r="O3" s="284"/>
    </row>
    <row r="4" spans="1:15" ht="26.1" customHeight="1">
      <c r="A4" s="292" t="s">
        <v>249</v>
      </c>
      <c r="B4" s="292" t="s">
        <v>250</v>
      </c>
      <c r="C4" s="284">
        <v>61545000</v>
      </c>
      <c r="D4" s="284">
        <v>74124000</v>
      </c>
      <c r="E4" s="284">
        <v>64128000</v>
      </c>
      <c r="F4" s="284">
        <v>72660000</v>
      </c>
      <c r="G4" s="284">
        <v>72660000</v>
      </c>
      <c r="H4" s="284">
        <f>72660000+42936000</f>
        <v>115596000</v>
      </c>
      <c r="I4" s="284">
        <f>150274800+4149600+13104000+3198000</f>
        <v>170726400</v>
      </c>
      <c r="J4" s="334">
        <f>170726400+3198000</f>
        <v>173924400</v>
      </c>
      <c r="K4" s="284"/>
      <c r="L4" s="284"/>
      <c r="M4" s="284"/>
      <c r="N4" s="284"/>
      <c r="O4" s="284"/>
    </row>
    <row r="5" spans="1:15" ht="26.1" customHeight="1">
      <c r="A5" s="284" t="s">
        <v>247</v>
      </c>
      <c r="B5" s="284" t="s">
        <v>508</v>
      </c>
      <c r="C5" s="284">
        <v>1180900</v>
      </c>
      <c r="D5" s="284"/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334">
        <v>0</v>
      </c>
      <c r="K5" s="284">
        <v>114472800</v>
      </c>
      <c r="L5" s="284">
        <f>'shaq,3'!H7+11*423800*12*2+111883200</f>
        <v>328816800</v>
      </c>
      <c r="M5" s="284">
        <v>105050400</v>
      </c>
      <c r="N5" s="284">
        <v>154003200</v>
      </c>
      <c r="O5" s="284">
        <f>N5-M5</f>
        <v>48952800</v>
      </c>
    </row>
    <row r="6" spans="1:15" ht="26.1" customHeight="1">
      <c r="A6" s="284" t="s">
        <v>251</v>
      </c>
      <c r="B6" s="284" t="s">
        <v>833</v>
      </c>
      <c r="C6" s="284">
        <v>1123486000</v>
      </c>
      <c r="D6" s="284">
        <v>1227036000</v>
      </c>
      <c r="E6" s="284">
        <v>1192428000</v>
      </c>
      <c r="F6" s="284">
        <f>1935276000+1200000</f>
        <v>1936476000</v>
      </c>
      <c r="G6" s="284">
        <f>1936476000+600000000</f>
        <v>2536476000</v>
      </c>
      <c r="H6" s="284">
        <f>2529276000+54000000</f>
        <v>2583276000</v>
      </c>
      <c r="I6" s="284">
        <f>2530476000+4800000</f>
        <v>2535276000</v>
      </c>
      <c r="J6" s="334">
        <f>2535276000+2400000</f>
        <v>2537676000</v>
      </c>
      <c r="K6" s="284">
        <v>0</v>
      </c>
      <c r="L6" s="284">
        <v>0</v>
      </c>
      <c r="M6" s="284">
        <v>1120024800</v>
      </c>
      <c r="N6" s="284">
        <v>1069200000</v>
      </c>
      <c r="O6" s="284">
        <f t="shared" ref="O6:O47" si="0">N6-M6</f>
        <v>-50824800</v>
      </c>
    </row>
    <row r="7" spans="1:15" ht="26.1" customHeight="1">
      <c r="A7" s="284" t="s">
        <v>252</v>
      </c>
      <c r="B7" s="284" t="s">
        <v>1106</v>
      </c>
      <c r="C7" s="284"/>
      <c r="D7" s="284"/>
      <c r="E7" s="284"/>
      <c r="F7" s="284"/>
      <c r="G7" s="284"/>
      <c r="H7" s="284"/>
      <c r="I7" s="284"/>
      <c r="J7" s="334"/>
      <c r="K7" s="284">
        <v>468468000</v>
      </c>
      <c r="L7" s="284">
        <v>468468000</v>
      </c>
      <c r="M7" s="284">
        <v>84000000</v>
      </c>
      <c r="N7" s="284">
        <v>156000000</v>
      </c>
      <c r="O7" s="284">
        <f t="shared" si="0"/>
        <v>72000000</v>
      </c>
    </row>
    <row r="8" spans="1:15" ht="26.1" customHeight="1">
      <c r="A8" s="284" t="s">
        <v>254</v>
      </c>
      <c r="B8" s="284" t="s">
        <v>773</v>
      </c>
      <c r="C8" s="284">
        <v>2500000</v>
      </c>
      <c r="D8" s="284">
        <v>2000000</v>
      </c>
      <c r="E8" s="284">
        <v>2000000</v>
      </c>
      <c r="F8" s="284">
        <v>2000000</v>
      </c>
      <c r="G8" s="284">
        <v>1600000</v>
      </c>
      <c r="H8" s="284">
        <v>41000000</v>
      </c>
      <c r="I8" s="284">
        <v>41000000</v>
      </c>
      <c r="J8" s="334"/>
      <c r="K8" s="284">
        <v>25200000</v>
      </c>
      <c r="L8" s="284">
        <v>25200000</v>
      </c>
      <c r="M8" s="284">
        <f>L8</f>
        <v>25200000</v>
      </c>
      <c r="N8" s="284">
        <f>M8</f>
        <v>25200000</v>
      </c>
      <c r="O8" s="284">
        <f t="shared" si="0"/>
        <v>0</v>
      </c>
    </row>
    <row r="9" spans="1:15" s="412" customFormat="1" ht="26.1" customHeight="1">
      <c r="A9" s="292" t="s">
        <v>255</v>
      </c>
      <c r="B9" s="292" t="s">
        <v>256</v>
      </c>
      <c r="C9" s="284"/>
      <c r="D9" s="284"/>
      <c r="E9" s="284"/>
      <c r="F9" s="284"/>
      <c r="G9" s="284"/>
      <c r="H9" s="284"/>
      <c r="I9" s="284"/>
      <c r="J9" s="334"/>
      <c r="K9" s="292"/>
      <c r="L9" s="292"/>
      <c r="M9" s="292"/>
      <c r="N9" s="292"/>
      <c r="O9" s="284">
        <f t="shared" si="0"/>
        <v>0</v>
      </c>
    </row>
    <row r="10" spans="1:15" ht="26.1" customHeight="1">
      <c r="A10" s="284"/>
      <c r="B10" s="292" t="s">
        <v>119</v>
      </c>
      <c r="C10" s="284">
        <v>11878000</v>
      </c>
      <c r="D10" s="284">
        <f>2000000+2000000</f>
        <v>4000000</v>
      </c>
      <c r="E10" s="284">
        <v>2000000</v>
      </c>
      <c r="F10" s="284">
        <v>2000000</v>
      </c>
      <c r="G10" s="284">
        <v>1600000</v>
      </c>
      <c r="H10" s="284">
        <v>30000000</v>
      </c>
      <c r="I10" s="284">
        <v>60000000</v>
      </c>
      <c r="J10" s="334">
        <v>50000000</v>
      </c>
      <c r="K10" s="292">
        <f>SUM(K5:K9)</f>
        <v>608140800</v>
      </c>
      <c r="L10" s="292">
        <f>SUM(L5:L9)</f>
        <v>822484800</v>
      </c>
      <c r="M10" s="292">
        <f>SUM(M5:M9)</f>
        <v>1334275200</v>
      </c>
      <c r="N10" s="292">
        <f>SUM(N5:N9)</f>
        <v>1404403200</v>
      </c>
      <c r="O10" s="292">
        <f t="shared" si="0"/>
        <v>70128000</v>
      </c>
    </row>
    <row r="11" spans="1:15" ht="26.1" customHeight="1">
      <c r="A11" s="292" t="s">
        <v>262</v>
      </c>
      <c r="B11" s="292" t="s">
        <v>263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200000000</v>
      </c>
      <c r="I11" s="284">
        <v>200000000</v>
      </c>
      <c r="J11" s="334">
        <v>280000000</v>
      </c>
      <c r="K11" s="284"/>
      <c r="L11" s="284"/>
      <c r="M11" s="284"/>
      <c r="N11" s="284"/>
      <c r="O11" s="284">
        <f t="shared" si="0"/>
        <v>0</v>
      </c>
    </row>
    <row r="12" spans="1:15" s="412" customFormat="1" ht="26.1" customHeight="1">
      <c r="A12" s="292" t="s">
        <v>265</v>
      </c>
      <c r="B12" s="292" t="s">
        <v>264</v>
      </c>
      <c r="C12" s="284"/>
      <c r="D12" s="284"/>
      <c r="E12" s="284"/>
      <c r="F12" s="284"/>
      <c r="G12" s="284"/>
      <c r="H12" s="284"/>
      <c r="I12" s="284"/>
      <c r="J12" s="334"/>
      <c r="K12" s="284"/>
      <c r="L12" s="284"/>
      <c r="M12" s="284"/>
      <c r="N12" s="284"/>
      <c r="O12" s="284">
        <f t="shared" si="0"/>
        <v>0</v>
      </c>
    </row>
    <row r="13" spans="1:15" ht="26.1" customHeight="1">
      <c r="A13" s="284" t="s">
        <v>266</v>
      </c>
      <c r="B13" s="284" t="s">
        <v>38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356850000</v>
      </c>
      <c r="I13" s="284">
        <v>0</v>
      </c>
      <c r="J13" s="334">
        <v>84000000</v>
      </c>
      <c r="K13" s="284">
        <v>30620000</v>
      </c>
      <c r="L13" s="284">
        <f>30620000*70%</f>
        <v>21434000</v>
      </c>
      <c r="M13" s="284">
        <v>27864200</v>
      </c>
      <c r="N13" s="284">
        <v>47864200</v>
      </c>
      <c r="O13" s="284">
        <f t="shared" si="0"/>
        <v>20000000</v>
      </c>
    </row>
    <row r="14" spans="1:15" ht="26.1" customHeight="1">
      <c r="A14" s="284" t="s">
        <v>267</v>
      </c>
      <c r="B14" s="284" t="s">
        <v>152</v>
      </c>
      <c r="C14" s="284">
        <v>1500000</v>
      </c>
      <c r="D14" s="284">
        <v>5500000</v>
      </c>
      <c r="E14" s="284">
        <v>500000</v>
      </c>
      <c r="F14" s="284">
        <v>500000</v>
      </c>
      <c r="G14" s="284">
        <v>400000</v>
      </c>
      <c r="H14" s="284">
        <v>12000000</v>
      </c>
      <c r="I14" s="284">
        <v>20000000</v>
      </c>
      <c r="J14" s="334">
        <v>20000000</v>
      </c>
      <c r="K14" s="284">
        <v>0</v>
      </c>
      <c r="L14" s="284">
        <v>0</v>
      </c>
      <c r="M14" s="284">
        <v>0</v>
      </c>
      <c r="N14" s="284">
        <v>0</v>
      </c>
      <c r="O14" s="284">
        <f t="shared" si="0"/>
        <v>0</v>
      </c>
    </row>
    <row r="15" spans="1:15" ht="26.1" customHeight="1">
      <c r="A15" s="284" t="s">
        <v>268</v>
      </c>
      <c r="B15" s="284" t="s">
        <v>153</v>
      </c>
      <c r="C15" s="284"/>
      <c r="D15" s="284"/>
      <c r="E15" s="284"/>
      <c r="F15" s="284"/>
      <c r="G15" s="284"/>
      <c r="H15" s="284"/>
      <c r="I15" s="284"/>
      <c r="J15" s="334"/>
      <c r="K15" s="284">
        <v>0</v>
      </c>
      <c r="L15" s="284">
        <v>0</v>
      </c>
      <c r="M15" s="284">
        <v>0</v>
      </c>
      <c r="N15" s="284">
        <v>0</v>
      </c>
      <c r="O15" s="284">
        <f t="shared" si="0"/>
        <v>0</v>
      </c>
    </row>
    <row r="16" spans="1:15" ht="26.1" customHeight="1">
      <c r="A16" s="284" t="s">
        <v>269</v>
      </c>
      <c r="B16" s="284" t="s">
        <v>186</v>
      </c>
      <c r="C16" s="284"/>
      <c r="D16" s="284"/>
      <c r="E16" s="284"/>
      <c r="F16" s="284"/>
      <c r="G16" s="284"/>
      <c r="H16" s="284"/>
      <c r="I16" s="284"/>
      <c r="J16" s="334"/>
      <c r="K16" s="284">
        <v>58358400</v>
      </c>
      <c r="L16" s="284">
        <f>58358400*70%</f>
        <v>40850880</v>
      </c>
      <c r="M16" s="284">
        <f>58358400*70%</f>
        <v>40850880</v>
      </c>
      <c r="N16" s="284">
        <v>50850880</v>
      </c>
      <c r="O16" s="284">
        <f t="shared" si="0"/>
        <v>10000000</v>
      </c>
    </row>
    <row r="17" spans="1:15" ht="26.1" customHeight="1">
      <c r="A17" s="284" t="s">
        <v>270</v>
      </c>
      <c r="B17" s="284" t="s">
        <v>163</v>
      </c>
      <c r="C17" s="284"/>
      <c r="D17" s="284"/>
      <c r="E17" s="284"/>
      <c r="F17" s="284"/>
      <c r="G17" s="284"/>
      <c r="H17" s="284"/>
      <c r="I17" s="284"/>
      <c r="J17" s="334"/>
      <c r="K17" s="284">
        <v>0</v>
      </c>
      <c r="L17" s="284">
        <f>21600000*70%</f>
        <v>15119999.999999998</v>
      </c>
      <c r="M17" s="284">
        <v>0</v>
      </c>
      <c r="N17" s="284">
        <v>0</v>
      </c>
      <c r="O17" s="284">
        <f t="shared" si="0"/>
        <v>0</v>
      </c>
    </row>
    <row r="18" spans="1:15" ht="26.1" customHeight="1">
      <c r="A18" s="284" t="s">
        <v>271</v>
      </c>
      <c r="B18" s="284" t="s">
        <v>154</v>
      </c>
      <c r="C18" s="284">
        <v>2500000</v>
      </c>
      <c r="D18" s="284">
        <v>2000000</v>
      </c>
      <c r="E18" s="284">
        <v>2000000</v>
      </c>
      <c r="F18" s="284">
        <v>2000000</v>
      </c>
      <c r="G18" s="284">
        <v>1600000</v>
      </c>
      <c r="H18" s="284">
        <v>41000000</v>
      </c>
      <c r="I18" s="284">
        <v>41000000</v>
      </c>
      <c r="J18" s="334">
        <v>31000000</v>
      </c>
      <c r="K18" s="284">
        <v>0</v>
      </c>
      <c r="L18" s="284">
        <v>0</v>
      </c>
      <c r="M18" s="284">
        <v>0</v>
      </c>
      <c r="N18" s="284">
        <v>0</v>
      </c>
      <c r="O18" s="284">
        <f t="shared" si="0"/>
        <v>0</v>
      </c>
    </row>
    <row r="19" spans="1:15" ht="26.1" customHeight="1">
      <c r="A19" s="284" t="s">
        <v>272</v>
      </c>
      <c r="B19" s="284" t="s">
        <v>54</v>
      </c>
      <c r="C19" s="284">
        <f t="shared" ref="C19:J19" si="1">SUM(C13:C18)</f>
        <v>4000000</v>
      </c>
      <c r="D19" s="284">
        <f t="shared" si="1"/>
        <v>7500000</v>
      </c>
      <c r="E19" s="284">
        <f t="shared" si="1"/>
        <v>2500000</v>
      </c>
      <c r="F19" s="284">
        <f t="shared" si="1"/>
        <v>2500000</v>
      </c>
      <c r="G19" s="284">
        <f t="shared" si="1"/>
        <v>2000000</v>
      </c>
      <c r="H19" s="284">
        <f t="shared" si="1"/>
        <v>409850000</v>
      </c>
      <c r="I19" s="292">
        <f t="shared" si="1"/>
        <v>61000000</v>
      </c>
      <c r="J19" s="402">
        <f t="shared" si="1"/>
        <v>135000000</v>
      </c>
      <c r="K19" s="284">
        <v>20000000</v>
      </c>
      <c r="L19" s="284">
        <f>20000000*70%</f>
        <v>14000000</v>
      </c>
      <c r="M19" s="284">
        <f>L19*70%</f>
        <v>9800000</v>
      </c>
      <c r="N19" s="284">
        <v>9800000</v>
      </c>
      <c r="O19" s="284">
        <f t="shared" si="0"/>
        <v>0</v>
      </c>
    </row>
    <row r="20" spans="1:15" ht="26.1" customHeight="1">
      <c r="A20" s="284" t="s">
        <v>273</v>
      </c>
      <c r="B20" s="284" t="s">
        <v>120</v>
      </c>
      <c r="C20" s="284"/>
      <c r="D20" s="284"/>
      <c r="E20" s="284"/>
      <c r="F20" s="284"/>
      <c r="G20" s="284"/>
      <c r="H20" s="284"/>
      <c r="I20" s="284"/>
      <c r="J20" s="334"/>
      <c r="K20" s="292">
        <v>0</v>
      </c>
      <c r="L20" s="292">
        <v>0</v>
      </c>
      <c r="M20" s="284">
        <v>24500000</v>
      </c>
      <c r="N20" s="284">
        <v>24500000</v>
      </c>
      <c r="O20" s="284">
        <f t="shared" si="0"/>
        <v>0</v>
      </c>
    </row>
    <row r="21" spans="1:15" ht="26.1" customHeight="1">
      <c r="A21" s="284" t="s">
        <v>274</v>
      </c>
      <c r="B21" s="284" t="s">
        <v>164</v>
      </c>
      <c r="C21" s="284">
        <v>23000000</v>
      </c>
      <c r="D21" s="284">
        <v>15000000</v>
      </c>
      <c r="E21" s="284">
        <v>8949700</v>
      </c>
      <c r="F21" s="284">
        <v>8949700</v>
      </c>
      <c r="G21" s="284">
        <v>12000000</v>
      </c>
      <c r="H21" s="284">
        <v>80000000</v>
      </c>
      <c r="I21" s="284">
        <v>80000000</v>
      </c>
      <c r="J21" s="334">
        <v>80000000</v>
      </c>
      <c r="K21" s="284">
        <v>10000000</v>
      </c>
      <c r="L21" s="284">
        <f>10000000*70%</f>
        <v>7000000</v>
      </c>
      <c r="M21" s="284">
        <f>10000000*70%</f>
        <v>7000000</v>
      </c>
      <c r="N21" s="284">
        <f>10000000*70%</f>
        <v>7000000</v>
      </c>
      <c r="O21" s="284">
        <f t="shared" si="0"/>
        <v>0</v>
      </c>
    </row>
    <row r="22" spans="1:15" ht="26.1" customHeight="1">
      <c r="A22" s="284" t="s">
        <v>275</v>
      </c>
      <c r="B22" s="284" t="s">
        <v>40</v>
      </c>
      <c r="C22" s="284">
        <v>10061000</v>
      </c>
      <c r="D22" s="284">
        <v>2000000</v>
      </c>
      <c r="E22" s="284">
        <v>0</v>
      </c>
      <c r="F22" s="284">
        <v>0</v>
      </c>
      <c r="G22" s="284">
        <v>0</v>
      </c>
      <c r="H22" s="284">
        <v>30000000</v>
      </c>
      <c r="I22" s="284">
        <v>40000000</v>
      </c>
      <c r="J22" s="334">
        <v>30000000</v>
      </c>
      <c r="K22" s="284">
        <v>21172000</v>
      </c>
      <c r="L22" s="284">
        <f>21172000*70%</f>
        <v>14820399.999999998</v>
      </c>
      <c r="M22" s="284">
        <f>21172000*70%</f>
        <v>14820399.999999998</v>
      </c>
      <c r="N22" s="284">
        <v>24820400</v>
      </c>
      <c r="O22" s="284">
        <f t="shared" si="0"/>
        <v>10000000.000000002</v>
      </c>
    </row>
    <row r="23" spans="1:15" ht="26.1" customHeight="1">
      <c r="A23" s="284" t="s">
        <v>302</v>
      </c>
      <c r="B23" s="284" t="s">
        <v>303</v>
      </c>
      <c r="C23" s="284"/>
      <c r="D23" s="284"/>
      <c r="E23" s="284"/>
      <c r="F23" s="284"/>
      <c r="G23" s="284"/>
      <c r="H23" s="284"/>
      <c r="I23" s="284"/>
      <c r="J23" s="334"/>
      <c r="K23" s="284">
        <v>10000000</v>
      </c>
      <c r="L23" s="284">
        <f>10000000*70%</f>
        <v>7000000</v>
      </c>
      <c r="M23" s="284">
        <v>10500000</v>
      </c>
      <c r="N23" s="284">
        <v>10500000</v>
      </c>
      <c r="O23" s="284">
        <f t="shared" si="0"/>
        <v>0</v>
      </c>
    </row>
    <row r="24" spans="1:15" ht="26.1" customHeight="1">
      <c r="A24" s="284" t="s">
        <v>304</v>
      </c>
      <c r="B24" s="284" t="s">
        <v>305</v>
      </c>
      <c r="C24" s="284"/>
      <c r="D24" s="284"/>
      <c r="E24" s="284"/>
      <c r="F24" s="284"/>
      <c r="G24" s="284"/>
      <c r="H24" s="284"/>
      <c r="I24" s="284"/>
      <c r="J24" s="334"/>
      <c r="K24" s="284">
        <v>20000000</v>
      </c>
      <c r="L24" s="284">
        <f>20000000*70%</f>
        <v>14000000</v>
      </c>
      <c r="M24" s="284">
        <v>21000000</v>
      </c>
      <c r="N24" s="284">
        <v>21000000</v>
      </c>
      <c r="O24" s="284">
        <f t="shared" si="0"/>
        <v>0</v>
      </c>
    </row>
    <row r="25" spans="1:15" s="412" customFormat="1" ht="26.1" customHeight="1">
      <c r="A25" s="284" t="s">
        <v>277</v>
      </c>
      <c r="B25" s="284" t="s">
        <v>218</v>
      </c>
      <c r="C25" s="284">
        <v>3000000</v>
      </c>
      <c r="D25" s="284">
        <v>1500000</v>
      </c>
      <c r="E25" s="284">
        <v>0</v>
      </c>
      <c r="F25" s="284">
        <v>0</v>
      </c>
      <c r="G25" s="284">
        <v>0</v>
      </c>
      <c r="H25" s="284">
        <v>15000000</v>
      </c>
      <c r="I25" s="284">
        <v>20000000</v>
      </c>
      <c r="J25" s="334">
        <v>20000000</v>
      </c>
      <c r="K25" s="284">
        <v>35000000</v>
      </c>
      <c r="L25" s="284">
        <f>35000000*70%</f>
        <v>24500000</v>
      </c>
      <c r="M25" s="284">
        <v>0</v>
      </c>
      <c r="N25" s="284">
        <v>0</v>
      </c>
      <c r="O25" s="284">
        <f t="shared" si="0"/>
        <v>0</v>
      </c>
    </row>
    <row r="26" spans="1:15" s="412" customFormat="1" ht="26.1" customHeight="1">
      <c r="A26" s="284" t="s">
        <v>733</v>
      </c>
      <c r="B26" s="284" t="s">
        <v>751</v>
      </c>
      <c r="C26" s="284"/>
      <c r="D26" s="284"/>
      <c r="E26" s="284"/>
      <c r="F26" s="284"/>
      <c r="G26" s="284"/>
      <c r="H26" s="284"/>
      <c r="I26" s="284"/>
      <c r="J26" s="334"/>
      <c r="K26" s="284"/>
      <c r="L26" s="284"/>
      <c r="M26" s="284">
        <v>0</v>
      </c>
      <c r="N26" s="284">
        <v>10000000</v>
      </c>
      <c r="O26" s="284">
        <f t="shared" si="0"/>
        <v>10000000</v>
      </c>
    </row>
    <row r="27" spans="1:15" ht="26.1" customHeight="1">
      <c r="A27" s="284"/>
      <c r="B27" s="292" t="s">
        <v>119</v>
      </c>
      <c r="C27" s="284">
        <v>0</v>
      </c>
      <c r="D27" s="284">
        <v>0</v>
      </c>
      <c r="E27" s="284">
        <v>0</v>
      </c>
      <c r="F27" s="284">
        <v>0</v>
      </c>
      <c r="G27" s="284">
        <v>16000000</v>
      </c>
      <c r="H27" s="284">
        <v>360113000</v>
      </c>
      <c r="I27" s="284">
        <v>208212162</v>
      </c>
      <c r="J27" s="334">
        <v>330000000</v>
      </c>
      <c r="K27" s="292">
        <f>SUM(K13:K25)</f>
        <v>205150400</v>
      </c>
      <c r="L27" s="292">
        <f>SUM(L13:L25)</f>
        <v>158725280</v>
      </c>
      <c r="M27" s="292">
        <f>SUM(M13:M26)</f>
        <v>156335480</v>
      </c>
      <c r="N27" s="292">
        <f>SUM(N13:N26)</f>
        <v>206335480</v>
      </c>
      <c r="O27" s="292">
        <f t="shared" si="0"/>
        <v>50000000</v>
      </c>
    </row>
    <row r="28" spans="1:15" ht="26.1" customHeight="1">
      <c r="A28" s="292" t="s">
        <v>279</v>
      </c>
      <c r="B28" s="292" t="s">
        <v>278</v>
      </c>
      <c r="C28" s="284"/>
      <c r="D28" s="284"/>
      <c r="E28" s="284"/>
      <c r="F28" s="284"/>
      <c r="G28" s="284"/>
      <c r="H28" s="284"/>
      <c r="I28" s="284">
        <v>0</v>
      </c>
      <c r="J28" s="334">
        <v>35000000</v>
      </c>
      <c r="K28" s="292"/>
      <c r="L28" s="292"/>
      <c r="M28" s="292"/>
      <c r="N28" s="292"/>
      <c r="O28" s="284">
        <f t="shared" si="0"/>
        <v>0</v>
      </c>
    </row>
    <row r="29" spans="1:15" ht="26.1" customHeight="1">
      <c r="A29" s="284" t="s">
        <v>280</v>
      </c>
      <c r="B29" s="284" t="s">
        <v>160</v>
      </c>
      <c r="C29" s="292" t="e">
        <f>#REF!+#REF!+#REF!+#REF!+#REF!</f>
        <v>#REF!</v>
      </c>
      <c r="D29" s="292" t="e">
        <f>#REF!+#REF!+#REF!+#REF!+#REF!</f>
        <v>#REF!</v>
      </c>
      <c r="E29" s="292" t="e">
        <f>#REF!+#REF!+#REF!+#REF!+#REF!</f>
        <v>#REF!</v>
      </c>
      <c r="F29" s="292" t="e">
        <f>#REF!+#REF!+#REF!+#REF!+#REF!</f>
        <v>#REF!</v>
      </c>
      <c r="G29" s="292" t="e">
        <f>#REF!+#REF!+#REF!+#REF!+#REF!</f>
        <v>#REF!</v>
      </c>
      <c r="H29" s="292" t="e">
        <f>#REF!+#REF!+#REF!+#REF!+#REF!</f>
        <v>#REF!</v>
      </c>
      <c r="I29" s="292" t="e">
        <f>#REF!+#REF!+#REF!+#REF!+#REF!</f>
        <v>#REF!</v>
      </c>
      <c r="J29" s="402" t="e">
        <f>#REF!+#REF!+#REF!+#REF!+#REF!</f>
        <v>#REF!</v>
      </c>
      <c r="K29" s="284">
        <v>0</v>
      </c>
      <c r="L29" s="284">
        <v>0</v>
      </c>
      <c r="M29" s="284">
        <v>0</v>
      </c>
      <c r="N29" s="284">
        <v>0</v>
      </c>
      <c r="O29" s="284">
        <f t="shared" si="0"/>
        <v>0</v>
      </c>
    </row>
    <row r="30" spans="1:15" ht="26.1" customHeight="1">
      <c r="A30" s="284" t="s">
        <v>281</v>
      </c>
      <c r="B30" s="284" t="s">
        <v>161</v>
      </c>
      <c r="C30" s="335"/>
      <c r="D30" s="335"/>
      <c r="E30" s="335"/>
      <c r="F30" s="336">
        <v>0</v>
      </c>
      <c r="G30" s="336" t="s">
        <v>4</v>
      </c>
      <c r="H30" s="336"/>
      <c r="I30" s="336"/>
      <c r="J30" s="403"/>
      <c r="K30" s="284">
        <v>216204000</v>
      </c>
      <c r="L30" s="284">
        <f>216204000*70%</f>
        <v>151342800</v>
      </c>
      <c r="M30" s="284">
        <f>L30*80%</f>
        <v>121074240</v>
      </c>
      <c r="N30" s="284">
        <v>121074240</v>
      </c>
      <c r="O30" s="284">
        <f t="shared" si="0"/>
        <v>0</v>
      </c>
    </row>
    <row r="31" spans="1:15" s="412" customFormat="1" ht="26.1" customHeight="1">
      <c r="A31" s="284" t="s">
        <v>282</v>
      </c>
      <c r="B31" s="284" t="s">
        <v>155</v>
      </c>
      <c r="C31" s="335"/>
      <c r="D31" s="335"/>
      <c r="E31" s="335"/>
      <c r="F31" s="336"/>
      <c r="G31" s="336"/>
      <c r="H31" s="336"/>
      <c r="I31" s="336"/>
      <c r="J31" s="403"/>
      <c r="K31" s="284">
        <v>30000000</v>
      </c>
      <c r="L31" s="284">
        <f>30000000*70%</f>
        <v>21000000</v>
      </c>
      <c r="M31" s="284">
        <f>30000000*70%</f>
        <v>21000000</v>
      </c>
      <c r="N31" s="284">
        <f>30000000*70%</f>
        <v>21000000</v>
      </c>
      <c r="O31" s="284">
        <f t="shared" si="0"/>
        <v>0</v>
      </c>
    </row>
    <row r="32" spans="1:15" ht="26.1" customHeight="1">
      <c r="A32" s="284" t="s">
        <v>283</v>
      </c>
      <c r="B32" s="284" t="s">
        <v>156</v>
      </c>
      <c r="C32" s="284"/>
      <c r="D32" s="284"/>
      <c r="E32" s="284"/>
      <c r="F32" s="284"/>
      <c r="G32" s="284"/>
      <c r="H32" s="284"/>
      <c r="I32" s="284"/>
      <c r="J32" s="334"/>
      <c r="K32" s="336">
        <v>6000000</v>
      </c>
      <c r="L32" s="336">
        <f>6000000*70%</f>
        <v>4200000</v>
      </c>
      <c r="M32" s="336">
        <f>6000000*70%</f>
        <v>4200000</v>
      </c>
      <c r="N32" s="336">
        <f>6000000*70%</f>
        <v>4200000</v>
      </c>
      <c r="O32" s="284">
        <f t="shared" si="0"/>
        <v>0</v>
      </c>
    </row>
    <row r="33" spans="1:15" ht="26.1" customHeight="1">
      <c r="A33" s="284" t="s">
        <v>284</v>
      </c>
      <c r="B33" s="284" t="s">
        <v>162</v>
      </c>
      <c r="C33" s="284">
        <v>4000000</v>
      </c>
      <c r="D33" s="284">
        <v>2000000</v>
      </c>
      <c r="E33" s="284">
        <v>0</v>
      </c>
      <c r="F33" s="284">
        <v>0</v>
      </c>
      <c r="G33" s="284">
        <v>0</v>
      </c>
      <c r="H33" s="284">
        <v>200000000</v>
      </c>
      <c r="I33" s="284">
        <v>200000000</v>
      </c>
      <c r="J33" s="334">
        <v>200000000</v>
      </c>
      <c r="K33" s="361">
        <v>0</v>
      </c>
      <c r="L33" s="361">
        <v>0</v>
      </c>
      <c r="M33" s="361">
        <v>0</v>
      </c>
      <c r="N33" s="361">
        <v>0</v>
      </c>
      <c r="O33" s="284">
        <f t="shared" si="0"/>
        <v>0</v>
      </c>
    </row>
    <row r="34" spans="1:15" ht="26.1" customHeight="1">
      <c r="A34" s="284" t="s">
        <v>298</v>
      </c>
      <c r="B34" s="284" t="s">
        <v>219</v>
      </c>
      <c r="C34" s="284">
        <v>0</v>
      </c>
      <c r="D34" s="284">
        <v>0</v>
      </c>
      <c r="E34" s="284">
        <v>0</v>
      </c>
      <c r="F34" s="284">
        <v>0</v>
      </c>
      <c r="G34" s="284">
        <v>0</v>
      </c>
      <c r="H34" s="284">
        <v>150000000</v>
      </c>
      <c r="I34" s="284">
        <v>150000000</v>
      </c>
      <c r="J34" s="334">
        <v>150000000</v>
      </c>
      <c r="K34" s="284">
        <v>0</v>
      </c>
      <c r="L34" s="284">
        <v>0</v>
      </c>
      <c r="M34" s="284">
        <v>0</v>
      </c>
      <c r="N34" s="284">
        <v>0</v>
      </c>
      <c r="O34" s="284">
        <f t="shared" si="0"/>
        <v>0</v>
      </c>
    </row>
    <row r="35" spans="1:15" ht="26.1" customHeight="1">
      <c r="A35" s="284"/>
      <c r="B35" s="292" t="s">
        <v>119</v>
      </c>
      <c r="C35" s="284">
        <v>10089000</v>
      </c>
      <c r="D35" s="284">
        <v>10004000</v>
      </c>
      <c r="E35" s="284">
        <v>20004000</v>
      </c>
      <c r="F35" s="284">
        <v>20004000</v>
      </c>
      <c r="G35" s="284">
        <v>40003200</v>
      </c>
      <c r="H35" s="284">
        <v>100000000</v>
      </c>
      <c r="I35" s="284">
        <v>100000000</v>
      </c>
      <c r="J35" s="334">
        <v>100000000</v>
      </c>
      <c r="K35" s="292">
        <f>SUM(K29:K34)</f>
        <v>252204000</v>
      </c>
      <c r="L35" s="292">
        <f>SUM(L29:L34)</f>
        <v>176542800</v>
      </c>
      <c r="M35" s="292">
        <f>SUM(M29:M34)</f>
        <v>146274240</v>
      </c>
      <c r="N35" s="292">
        <f>SUM(N29:N34)</f>
        <v>146274240</v>
      </c>
      <c r="O35" s="284">
        <f t="shared" si="0"/>
        <v>0</v>
      </c>
    </row>
    <row r="36" spans="1:15" ht="26.1" customHeight="1">
      <c r="A36" s="292" t="s">
        <v>285</v>
      </c>
      <c r="B36" s="292" t="s">
        <v>158</v>
      </c>
      <c r="C36" s="284">
        <v>0</v>
      </c>
      <c r="D36" s="284">
        <v>0</v>
      </c>
      <c r="E36" s="284">
        <v>0</v>
      </c>
      <c r="F36" s="284">
        <v>0</v>
      </c>
      <c r="G36" s="284">
        <v>0</v>
      </c>
      <c r="H36" s="284">
        <v>616200000</v>
      </c>
      <c r="I36" s="284">
        <v>616200000</v>
      </c>
      <c r="J36" s="334">
        <v>616200000</v>
      </c>
      <c r="K36" s="284"/>
      <c r="L36" s="284"/>
      <c r="M36" s="284"/>
      <c r="N36" s="284"/>
      <c r="O36" s="284">
        <f t="shared" si="0"/>
        <v>0</v>
      </c>
    </row>
    <row r="37" spans="1:15" ht="26.1" customHeight="1">
      <c r="A37" s="284" t="s">
        <v>286</v>
      </c>
      <c r="B37" s="284" t="s">
        <v>55</v>
      </c>
      <c r="C37" s="284">
        <v>13333000</v>
      </c>
      <c r="D37" s="284">
        <v>5000000</v>
      </c>
      <c r="E37" s="284">
        <v>0</v>
      </c>
      <c r="F37" s="284">
        <v>0</v>
      </c>
      <c r="G37" s="284">
        <v>0</v>
      </c>
      <c r="H37" s="284">
        <v>100000000</v>
      </c>
      <c r="I37" s="284">
        <v>70000000</v>
      </c>
      <c r="J37" s="334">
        <v>70000000</v>
      </c>
      <c r="K37" s="284">
        <v>26896000</v>
      </c>
      <c r="L37" s="284">
        <f>26896000*70%</f>
        <v>18827200</v>
      </c>
      <c r="M37" s="284">
        <f>26896000*70%</f>
        <v>18827200</v>
      </c>
      <c r="N37" s="284">
        <f>26896000*70%</f>
        <v>18827200</v>
      </c>
      <c r="O37" s="284">
        <f t="shared" si="0"/>
        <v>0</v>
      </c>
    </row>
    <row r="38" spans="1:15" ht="26.1" customHeight="1">
      <c r="A38" s="284" t="s">
        <v>288</v>
      </c>
      <c r="B38" s="284" t="s">
        <v>287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334">
        <v>0</v>
      </c>
      <c r="K38" s="284">
        <v>10000000</v>
      </c>
      <c r="L38" s="284">
        <f>10000000*70%</f>
        <v>7000000</v>
      </c>
      <c r="M38" s="284">
        <f>10000000*70%</f>
        <v>7000000</v>
      </c>
      <c r="N38" s="284">
        <v>157000000</v>
      </c>
      <c r="O38" s="284">
        <f t="shared" si="0"/>
        <v>150000000</v>
      </c>
    </row>
    <row r="39" spans="1:15" ht="26.1" customHeight="1">
      <c r="A39" s="284" t="s">
        <v>289</v>
      </c>
      <c r="B39" s="284" t="s">
        <v>290</v>
      </c>
      <c r="C39" s="292">
        <f t="shared" ref="C39:J39" si="2">SUM(C37:C38)</f>
        <v>13333000</v>
      </c>
      <c r="D39" s="292">
        <f t="shared" si="2"/>
        <v>5000000</v>
      </c>
      <c r="E39" s="292">
        <f t="shared" si="2"/>
        <v>0</v>
      </c>
      <c r="F39" s="292">
        <f t="shared" si="2"/>
        <v>0</v>
      </c>
      <c r="G39" s="292">
        <f t="shared" si="2"/>
        <v>0</v>
      </c>
      <c r="H39" s="292">
        <f t="shared" si="2"/>
        <v>100000000</v>
      </c>
      <c r="I39" s="292">
        <f t="shared" si="2"/>
        <v>70000000</v>
      </c>
      <c r="J39" s="402">
        <f t="shared" si="2"/>
        <v>70000000</v>
      </c>
      <c r="K39" s="284">
        <v>0</v>
      </c>
      <c r="L39" s="284">
        <v>0</v>
      </c>
      <c r="M39" s="284">
        <v>0</v>
      </c>
      <c r="N39" s="284">
        <v>0</v>
      </c>
      <c r="O39" s="284">
        <f t="shared" si="0"/>
        <v>0</v>
      </c>
    </row>
    <row r="40" spans="1:15" ht="26.1" customHeight="1">
      <c r="A40" s="284"/>
      <c r="B40" s="292" t="s">
        <v>119</v>
      </c>
      <c r="C40" s="292" t="e">
        <f>C39+#REF!+C32+C19+#REF!</f>
        <v>#REF!</v>
      </c>
      <c r="D40" s="292" t="e">
        <f>D39+#REF!+D32+D19+#REF!</f>
        <v>#REF!</v>
      </c>
      <c r="E40" s="292" t="e">
        <f>E39+#REF!+E32+E19+#REF!</f>
        <v>#REF!</v>
      </c>
      <c r="F40" s="292" t="e">
        <f>F39+#REF!+F32+F19+#REF!</f>
        <v>#REF!</v>
      </c>
      <c r="G40" s="292" t="e">
        <f>G39+#REF!+G19+G32+#REF!</f>
        <v>#REF!</v>
      </c>
      <c r="H40" s="292" t="e">
        <f>H39+#REF!+H32+H19+#REF!</f>
        <v>#REF!</v>
      </c>
      <c r="I40" s="292" t="e">
        <f>I39+#REF!+I32+I19+#REF!</f>
        <v>#REF!</v>
      </c>
      <c r="J40" s="402" t="e">
        <f>SUM(#REF!+J19+J32+J39)</f>
        <v>#REF!</v>
      </c>
      <c r="K40" s="292">
        <f>SUM(K37:K39)</f>
        <v>36896000</v>
      </c>
      <c r="L40" s="292">
        <f>SUM(L37:L39)</f>
        <v>25827200</v>
      </c>
      <c r="M40" s="292">
        <f>SUM(M37:M39)</f>
        <v>25827200</v>
      </c>
      <c r="N40" s="292">
        <f>SUM(N37:N39)</f>
        <v>175827200</v>
      </c>
      <c r="O40" s="292">
        <f t="shared" si="0"/>
        <v>150000000</v>
      </c>
    </row>
    <row r="41" spans="1:15" ht="26.1" customHeight="1">
      <c r="A41" s="284"/>
      <c r="B41" s="292" t="s">
        <v>119</v>
      </c>
      <c r="C41" s="413"/>
      <c r="D41" s="413"/>
      <c r="E41" s="413"/>
      <c r="F41" s="413"/>
      <c r="G41" s="413"/>
      <c r="H41" s="413"/>
      <c r="I41" s="413"/>
      <c r="J41" s="413"/>
      <c r="K41" s="292"/>
      <c r="L41" s="292"/>
      <c r="M41" s="292"/>
      <c r="N41" s="292"/>
      <c r="O41" s="284">
        <f t="shared" si="0"/>
        <v>0</v>
      </c>
    </row>
    <row r="42" spans="1:15" ht="26.1" customHeight="1">
      <c r="A42" s="292" t="s">
        <v>293</v>
      </c>
      <c r="B42" s="292" t="s">
        <v>292</v>
      </c>
      <c r="C42" s="395"/>
      <c r="D42" s="395"/>
      <c r="E42" s="395"/>
      <c r="F42" s="395"/>
      <c r="G42" s="395"/>
      <c r="H42" s="395"/>
      <c r="I42" s="395"/>
      <c r="J42" s="395"/>
      <c r="K42" s="292"/>
      <c r="L42" s="292"/>
      <c r="M42" s="292"/>
      <c r="N42" s="292"/>
      <c r="O42" s="284">
        <f t="shared" si="0"/>
        <v>0</v>
      </c>
    </row>
    <row r="43" spans="1:15" ht="26.1" customHeight="1">
      <c r="A43" s="292" t="s">
        <v>294</v>
      </c>
      <c r="B43" s="292" t="s">
        <v>291</v>
      </c>
      <c r="C43" s="395"/>
      <c r="D43" s="395"/>
      <c r="E43" s="395"/>
      <c r="F43" s="395"/>
      <c r="G43" s="395"/>
      <c r="H43" s="395"/>
      <c r="I43" s="395"/>
      <c r="J43" s="395"/>
      <c r="K43" s="292"/>
      <c r="L43" s="292"/>
      <c r="M43" s="292"/>
      <c r="N43" s="292"/>
      <c r="O43" s="284">
        <f t="shared" si="0"/>
        <v>0</v>
      </c>
    </row>
    <row r="44" spans="1:15" ht="26.1" customHeight="1">
      <c r="A44" s="284" t="s">
        <v>499</v>
      </c>
      <c r="B44" s="284" t="s">
        <v>1121</v>
      </c>
      <c r="C44" s="395"/>
      <c r="D44" s="395"/>
      <c r="E44" s="395"/>
      <c r="F44" s="395"/>
      <c r="G44" s="395"/>
      <c r="H44" s="395"/>
      <c r="I44" s="395"/>
      <c r="J44" s="395"/>
      <c r="K44" s="284"/>
      <c r="L44" s="284"/>
      <c r="M44" s="284"/>
      <c r="N44" s="284">
        <v>30000000</v>
      </c>
      <c r="O44" s="284">
        <f t="shared" si="0"/>
        <v>30000000</v>
      </c>
    </row>
    <row r="45" spans="1:15" ht="26.1" customHeight="1">
      <c r="A45" s="284" t="s">
        <v>295</v>
      </c>
      <c r="B45" s="284" t="s">
        <v>176</v>
      </c>
      <c r="C45" s="395"/>
      <c r="D45" s="395"/>
      <c r="E45" s="395"/>
      <c r="F45" s="395"/>
      <c r="G45" s="395"/>
      <c r="H45" s="395"/>
      <c r="I45" s="395"/>
      <c r="J45" s="395"/>
      <c r="K45" s="284">
        <v>6000000</v>
      </c>
      <c r="L45" s="284">
        <f>6000000*70%</f>
        <v>4200000</v>
      </c>
      <c r="M45" s="284">
        <v>0</v>
      </c>
      <c r="N45" s="284">
        <v>0</v>
      </c>
      <c r="O45" s="284">
        <f t="shared" si="0"/>
        <v>0</v>
      </c>
    </row>
    <row r="46" spans="1:15" ht="26.1" customHeight="1">
      <c r="A46" s="284" t="s">
        <v>296</v>
      </c>
      <c r="B46" s="284" t="s">
        <v>177</v>
      </c>
      <c r="C46" s="395"/>
      <c r="D46" s="395"/>
      <c r="E46" s="395"/>
      <c r="F46" s="395"/>
      <c r="G46" s="395"/>
      <c r="H46" s="395"/>
      <c r="I46" s="395"/>
      <c r="J46" s="395"/>
      <c r="K46" s="284">
        <v>6000000</v>
      </c>
      <c r="L46" s="284">
        <f>6000000*70%</f>
        <v>4200000</v>
      </c>
      <c r="M46" s="284">
        <v>0</v>
      </c>
      <c r="N46" s="284">
        <v>0</v>
      </c>
      <c r="O46" s="284">
        <f t="shared" si="0"/>
        <v>0</v>
      </c>
    </row>
    <row r="47" spans="1:15" ht="26.1" customHeight="1">
      <c r="A47" s="284"/>
      <c r="B47" s="292" t="s">
        <v>119</v>
      </c>
      <c r="C47" s="395"/>
      <c r="D47" s="395"/>
      <c r="E47" s="395"/>
      <c r="F47" s="395"/>
      <c r="G47" s="395"/>
      <c r="H47" s="395"/>
      <c r="I47" s="395"/>
      <c r="J47" s="395"/>
      <c r="K47" s="292">
        <f>SUM(K45:K46)</f>
        <v>12000000</v>
      </c>
      <c r="L47" s="292">
        <f>SUM(L45:L46)</f>
        <v>8400000</v>
      </c>
      <c r="M47" s="292">
        <f>SUM(M45:M46)</f>
        <v>0</v>
      </c>
      <c r="N47" s="292">
        <f>SUM(N44:N46)</f>
        <v>30000000</v>
      </c>
      <c r="O47" s="284">
        <f t="shared" si="0"/>
        <v>30000000</v>
      </c>
    </row>
    <row r="48" spans="1:15" ht="26.1" customHeight="1" thickBot="1">
      <c r="A48" s="404"/>
      <c r="B48" s="405" t="s">
        <v>42</v>
      </c>
      <c r="C48" s="414"/>
      <c r="D48" s="414"/>
      <c r="E48" s="414"/>
      <c r="F48" s="414"/>
      <c r="G48" s="414"/>
      <c r="H48" s="414"/>
      <c r="I48" s="414"/>
      <c r="J48" s="414"/>
      <c r="K48" s="405">
        <f>K10+K27+K35+K40+K47</f>
        <v>1114391200</v>
      </c>
      <c r="L48" s="405">
        <f>L10+L27+L35+L40+L47</f>
        <v>1191980080</v>
      </c>
      <c r="M48" s="405">
        <f>M10+M27+M35+M40+M47</f>
        <v>1662712120</v>
      </c>
      <c r="N48" s="405">
        <f>N10+N27+N35+N40+N47</f>
        <v>1962840120</v>
      </c>
      <c r="O48" s="292">
        <f>SUM(O5:O47)</f>
        <v>600256000</v>
      </c>
    </row>
    <row r="49" spans="1:14" ht="26.1" customHeight="1">
      <c r="A49" s="415"/>
      <c r="B49" s="415"/>
      <c r="C49" s="415"/>
      <c r="D49" s="415"/>
      <c r="E49" s="415"/>
      <c r="F49" s="415"/>
      <c r="G49" s="415"/>
      <c r="H49" s="415"/>
      <c r="I49" s="415"/>
      <c r="J49" s="415"/>
      <c r="K49" s="416"/>
      <c r="L49" s="416"/>
      <c r="M49" s="416"/>
      <c r="N49" s="416"/>
    </row>
  </sheetData>
  <phoneticPr fontId="0" type="noConversion"/>
  <printOptions gridLines="1"/>
  <pageMargins left="0.76" right="0.26" top="0.79" bottom="0.64" header="0.25" footer="0.27"/>
  <pageSetup scale="55" orientation="portrait" r:id="rId1"/>
  <headerFooter alignWithMargins="0">
    <oddHeader xml:space="preserve">&amp;C&amp;"Algerian,Bold"&amp;36Makamada Sare </oddHeader>
    <oddFooter xml:space="preserve">&amp;R&amp;"Times New Roman,Bold"&amp;14 &amp;16 5&amp;"Times New Roman,Regular"&amp;14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U51"/>
  <sheetViews>
    <sheetView view="pageBreakPreview" zoomScale="60" zoomScaleNormal="75" workbookViewId="0">
      <selection sqref="A1:XFD1048576"/>
    </sheetView>
  </sheetViews>
  <sheetFormatPr defaultRowHeight="21.95" customHeight="1"/>
  <cols>
    <col min="1" max="1" width="16.6640625" style="418" bestFit="1" customWidth="1"/>
    <col min="2" max="2" width="93.1640625" style="418" bestFit="1" customWidth="1"/>
    <col min="3" max="3" width="16" style="418" hidden="1" customWidth="1"/>
    <col min="4" max="4" width="17.1640625" style="418" hidden="1" customWidth="1"/>
    <col min="5" max="5" width="18" style="418" hidden="1" customWidth="1"/>
    <col min="6" max="6" width="16.5" style="418" hidden="1" customWidth="1"/>
    <col min="7" max="7" width="20.6640625" style="418" hidden="1" customWidth="1"/>
    <col min="8" max="10" width="20.5" style="418" hidden="1" customWidth="1"/>
    <col min="11" max="11" width="29.33203125" style="418" hidden="1" customWidth="1"/>
    <col min="12" max="12" width="27.83203125" style="418" hidden="1" customWidth="1"/>
    <col min="13" max="15" width="30.6640625" style="418" customWidth="1"/>
    <col min="16" max="16384" width="9.33203125" style="418"/>
  </cols>
  <sheetData>
    <row r="1" spans="1:21" ht="26.1" customHeight="1">
      <c r="A1" s="371" t="s">
        <v>44</v>
      </c>
      <c r="B1" s="372">
        <v>5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21" s="419" customFormat="1" ht="26.1" customHeight="1">
      <c r="A2" s="371" t="s">
        <v>28</v>
      </c>
      <c r="B2" s="371" t="s">
        <v>29</v>
      </c>
      <c r="C2" s="292" t="s">
        <v>43</v>
      </c>
      <c r="D2" s="292" t="s">
        <v>2</v>
      </c>
      <c r="E2" s="292" t="s">
        <v>48</v>
      </c>
      <c r="F2" s="292" t="s">
        <v>52</v>
      </c>
      <c r="G2" s="292" t="s">
        <v>62</v>
      </c>
      <c r="H2" s="271" t="s">
        <v>70</v>
      </c>
      <c r="I2" s="271" t="s">
        <v>130</v>
      </c>
      <c r="J2" s="271" t="s">
        <v>135</v>
      </c>
      <c r="K2" s="271" t="s">
        <v>166</v>
      </c>
      <c r="L2" s="271" t="s">
        <v>300</v>
      </c>
      <c r="M2" s="271" t="s">
        <v>643</v>
      </c>
      <c r="N2" s="271" t="s">
        <v>1102</v>
      </c>
      <c r="O2" s="271" t="s">
        <v>63</v>
      </c>
    </row>
    <row r="3" spans="1:21" ht="26.1" customHeight="1">
      <c r="A3" s="292" t="s">
        <v>248</v>
      </c>
      <c r="B3" s="292" t="s">
        <v>165</v>
      </c>
      <c r="C3" s="284"/>
      <c r="D3" s="284"/>
      <c r="E3" s="284"/>
      <c r="F3" s="284"/>
      <c r="G3" s="284"/>
      <c r="H3" s="400"/>
      <c r="I3" s="400"/>
      <c r="J3" s="401"/>
      <c r="K3" s="400"/>
      <c r="L3" s="400"/>
      <c r="M3" s="400"/>
      <c r="N3" s="400"/>
      <c r="O3" s="400"/>
    </row>
    <row r="4" spans="1:21" ht="26.1" customHeight="1">
      <c r="A4" s="292" t="s">
        <v>249</v>
      </c>
      <c r="B4" s="292" t="s">
        <v>250</v>
      </c>
      <c r="C4" s="284">
        <v>61545000</v>
      </c>
      <c r="D4" s="284">
        <v>74124000</v>
      </c>
      <c r="E4" s="284">
        <v>64128000</v>
      </c>
      <c r="F4" s="284">
        <v>72660000</v>
      </c>
      <c r="G4" s="284">
        <v>72660000</v>
      </c>
      <c r="H4" s="284">
        <f>72660000+42936000</f>
        <v>115596000</v>
      </c>
      <c r="I4" s="284">
        <f>150274800+4149600+13104000+3198000</f>
        <v>170726400</v>
      </c>
      <c r="J4" s="334">
        <f>170726400+3198000</f>
        <v>173924400</v>
      </c>
      <c r="K4" s="284"/>
      <c r="L4" s="284"/>
      <c r="M4" s="284"/>
      <c r="N4" s="284"/>
      <c r="O4" s="284"/>
    </row>
    <row r="5" spans="1:21" ht="26.1" customHeight="1">
      <c r="A5" s="284" t="s">
        <v>247</v>
      </c>
      <c r="B5" s="284" t="s">
        <v>32</v>
      </c>
      <c r="C5" s="284">
        <v>1180900</v>
      </c>
      <c r="D5" s="284"/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334">
        <v>0</v>
      </c>
      <c r="K5" s="284">
        <v>171974400</v>
      </c>
      <c r="L5" s="284">
        <f>'shaq,3'!H8+101712000+20373600</f>
        <v>338395200</v>
      </c>
      <c r="M5" s="284">
        <v>224608800</v>
      </c>
      <c r="N5" s="284">
        <v>504691200</v>
      </c>
      <c r="O5" s="284">
        <f>N5-M5</f>
        <v>280082400</v>
      </c>
    </row>
    <row r="6" spans="1:21" ht="26.1" customHeight="1">
      <c r="A6" s="284" t="s">
        <v>251</v>
      </c>
      <c r="B6" s="420" t="s">
        <v>771</v>
      </c>
      <c r="C6" s="284">
        <v>1123486000</v>
      </c>
      <c r="D6" s="284">
        <v>1227036000</v>
      </c>
      <c r="E6" s="284">
        <v>1192428000</v>
      </c>
      <c r="F6" s="284">
        <f>1935276000+1200000</f>
        <v>1936476000</v>
      </c>
      <c r="G6" s="284">
        <f>1936476000+600000000</f>
        <v>2536476000</v>
      </c>
      <c r="H6" s="284">
        <f>2529276000+54000000</f>
        <v>2583276000</v>
      </c>
      <c r="I6" s="284">
        <f>2530476000+4800000</f>
        <v>2535276000</v>
      </c>
      <c r="J6" s="334">
        <f>2535276000+2400000</f>
        <v>2537676000</v>
      </c>
      <c r="K6" s="284">
        <v>0</v>
      </c>
      <c r="L6" s="284">
        <v>0</v>
      </c>
      <c r="M6" s="284">
        <v>331137600</v>
      </c>
      <c r="N6" s="284">
        <v>361651200</v>
      </c>
      <c r="O6" s="284">
        <f t="shared" ref="O6:O50" si="0">N6-M6</f>
        <v>30513600</v>
      </c>
    </row>
    <row r="7" spans="1:21" ht="26.1" customHeight="1">
      <c r="A7" s="284" t="s">
        <v>252</v>
      </c>
      <c r="B7" s="284" t="s">
        <v>1105</v>
      </c>
      <c r="C7" s="284"/>
      <c r="D7" s="284"/>
      <c r="E7" s="284"/>
      <c r="F7" s="284"/>
      <c r="G7" s="284"/>
      <c r="H7" s="284"/>
      <c r="I7" s="284"/>
      <c r="J7" s="334"/>
      <c r="K7" s="284">
        <v>349956000</v>
      </c>
      <c r="L7" s="284">
        <f>411400000+3600000</f>
        <v>415000000</v>
      </c>
      <c r="M7" s="284">
        <v>757224000</v>
      </c>
      <c r="N7" s="284">
        <v>828288000</v>
      </c>
      <c r="O7" s="284">
        <f t="shared" si="0"/>
        <v>71064000</v>
      </c>
    </row>
    <row r="8" spans="1:21" ht="26.1" customHeight="1">
      <c r="A8" s="284" t="s">
        <v>253</v>
      </c>
      <c r="B8" s="284" t="s">
        <v>1122</v>
      </c>
      <c r="C8" s="284"/>
      <c r="D8" s="284"/>
      <c r="E8" s="284"/>
      <c r="F8" s="284"/>
      <c r="G8" s="284"/>
      <c r="H8" s="284"/>
      <c r="I8" s="284"/>
      <c r="J8" s="334"/>
      <c r="K8" s="284"/>
      <c r="L8" s="284"/>
      <c r="M8" s="284"/>
      <c r="N8" s="284">
        <v>50400000</v>
      </c>
      <c r="O8" s="284">
        <f t="shared" si="0"/>
        <v>50400000</v>
      </c>
    </row>
    <row r="9" spans="1:21" ht="26.1" customHeight="1">
      <c r="A9" s="284" t="s">
        <v>254</v>
      </c>
      <c r="B9" s="284" t="s">
        <v>774</v>
      </c>
      <c r="C9" s="284">
        <v>2500000</v>
      </c>
      <c r="D9" s="284">
        <v>2000000</v>
      </c>
      <c r="E9" s="284">
        <v>2000000</v>
      </c>
      <c r="F9" s="284">
        <v>2000000</v>
      </c>
      <c r="G9" s="284">
        <v>1600000</v>
      </c>
      <c r="H9" s="284">
        <v>41000000</v>
      </c>
      <c r="I9" s="284">
        <v>41000000</v>
      </c>
      <c r="J9" s="334"/>
      <c r="K9" s="284">
        <v>64800000</v>
      </c>
      <c r="L9" s="284">
        <v>75600000</v>
      </c>
      <c r="M9" s="284">
        <f>L9</f>
        <v>75600000</v>
      </c>
      <c r="N9" s="284">
        <f>M9</f>
        <v>75600000</v>
      </c>
      <c r="O9" s="284">
        <f t="shared" si="0"/>
        <v>0</v>
      </c>
    </row>
    <row r="10" spans="1:21" ht="26.1" customHeight="1">
      <c r="A10" s="292" t="s">
        <v>255</v>
      </c>
      <c r="B10" s="292" t="s">
        <v>256</v>
      </c>
      <c r="C10" s="284"/>
      <c r="D10" s="284"/>
      <c r="E10" s="284"/>
      <c r="F10" s="284"/>
      <c r="G10" s="284"/>
      <c r="H10" s="284"/>
      <c r="I10" s="284"/>
      <c r="J10" s="334"/>
      <c r="K10" s="292"/>
      <c r="L10" s="292"/>
      <c r="M10" s="292"/>
      <c r="N10" s="292"/>
      <c r="O10" s="284">
        <f t="shared" si="0"/>
        <v>0</v>
      </c>
    </row>
    <row r="11" spans="1:21" ht="26.1" customHeight="1">
      <c r="A11" s="284"/>
      <c r="B11" s="292" t="s">
        <v>119</v>
      </c>
      <c r="C11" s="284">
        <v>11878000</v>
      </c>
      <c r="D11" s="284">
        <f>2000000+2000000</f>
        <v>4000000</v>
      </c>
      <c r="E11" s="284">
        <v>2000000</v>
      </c>
      <c r="F11" s="284">
        <v>2000000</v>
      </c>
      <c r="G11" s="284">
        <v>1600000</v>
      </c>
      <c r="H11" s="284">
        <v>30000000</v>
      </c>
      <c r="I11" s="284">
        <v>60000000</v>
      </c>
      <c r="J11" s="334">
        <v>50000000</v>
      </c>
      <c r="K11" s="292">
        <f>SUM(K5:K10)</f>
        <v>586730400</v>
      </c>
      <c r="L11" s="271">
        <f>SUM(L5:L10)</f>
        <v>828995200</v>
      </c>
      <c r="M11" s="271">
        <f>SUM(M5:M10)</f>
        <v>1388570400</v>
      </c>
      <c r="N11" s="271">
        <f>SUM(N5:N10)</f>
        <v>1820630400</v>
      </c>
      <c r="O11" s="292">
        <f t="shared" si="0"/>
        <v>432060000</v>
      </c>
    </row>
    <row r="12" spans="1:21" ht="26.1" customHeight="1">
      <c r="A12" s="292" t="s">
        <v>262</v>
      </c>
      <c r="B12" s="292" t="s">
        <v>263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200000000</v>
      </c>
      <c r="I12" s="284">
        <v>200000000</v>
      </c>
      <c r="J12" s="334">
        <v>280000000</v>
      </c>
      <c r="K12" s="284"/>
      <c r="L12" s="284"/>
      <c r="M12" s="284"/>
      <c r="N12" s="284"/>
      <c r="O12" s="284">
        <f t="shared" si="0"/>
        <v>0</v>
      </c>
    </row>
    <row r="13" spans="1:21" ht="26.1" customHeight="1">
      <c r="A13" s="292" t="s">
        <v>265</v>
      </c>
      <c r="B13" s="292" t="s">
        <v>264</v>
      </c>
      <c r="C13" s="284"/>
      <c r="D13" s="284"/>
      <c r="E13" s="284"/>
      <c r="F13" s="284"/>
      <c r="G13" s="284"/>
      <c r="H13" s="284"/>
      <c r="I13" s="284"/>
      <c r="J13" s="334"/>
      <c r="K13" s="284"/>
      <c r="L13" s="284"/>
      <c r="M13" s="284"/>
      <c r="N13" s="284"/>
      <c r="O13" s="284">
        <f t="shared" si="0"/>
        <v>0</v>
      </c>
      <c r="U13" s="418" t="s">
        <v>50</v>
      </c>
    </row>
    <row r="14" spans="1:21" ht="26.1" customHeight="1">
      <c r="A14" s="284" t="s">
        <v>266</v>
      </c>
      <c r="B14" s="284" t="s">
        <v>38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356850000</v>
      </c>
      <c r="I14" s="284">
        <v>0</v>
      </c>
      <c r="J14" s="334">
        <v>84000000</v>
      </c>
      <c r="K14" s="284">
        <v>13406400</v>
      </c>
      <c r="L14" s="284">
        <f>20000000*70%</f>
        <v>14000000</v>
      </c>
      <c r="M14" s="284">
        <v>74000000</v>
      </c>
      <c r="N14" s="284">
        <v>74000000</v>
      </c>
      <c r="O14" s="284">
        <f t="shared" si="0"/>
        <v>0</v>
      </c>
    </row>
    <row r="15" spans="1:21" ht="26.1" customHeight="1">
      <c r="A15" s="284" t="s">
        <v>267</v>
      </c>
      <c r="B15" s="284" t="s">
        <v>152</v>
      </c>
      <c r="C15" s="284">
        <v>1500000</v>
      </c>
      <c r="D15" s="284">
        <v>5500000</v>
      </c>
      <c r="E15" s="284">
        <v>500000</v>
      </c>
      <c r="F15" s="284">
        <v>500000</v>
      </c>
      <c r="G15" s="284">
        <v>400000</v>
      </c>
      <c r="H15" s="284">
        <v>12000000</v>
      </c>
      <c r="I15" s="284">
        <v>20000000</v>
      </c>
      <c r="J15" s="334">
        <v>20000000</v>
      </c>
      <c r="K15" s="284">
        <v>0</v>
      </c>
      <c r="L15" s="284">
        <v>0</v>
      </c>
      <c r="M15" s="284">
        <v>0</v>
      </c>
      <c r="N15" s="284">
        <v>0</v>
      </c>
      <c r="O15" s="284">
        <f t="shared" si="0"/>
        <v>0</v>
      </c>
    </row>
    <row r="16" spans="1:21" ht="26.1" customHeight="1">
      <c r="A16" s="284" t="s">
        <v>268</v>
      </c>
      <c r="B16" s="284" t="s">
        <v>153</v>
      </c>
      <c r="C16" s="284"/>
      <c r="D16" s="284"/>
      <c r="E16" s="284"/>
      <c r="F16" s="284"/>
      <c r="G16" s="284"/>
      <c r="H16" s="284"/>
      <c r="I16" s="284"/>
      <c r="J16" s="334"/>
      <c r="K16" s="284">
        <v>0</v>
      </c>
      <c r="L16" s="284">
        <v>0</v>
      </c>
      <c r="M16" s="284">
        <v>0</v>
      </c>
      <c r="N16" s="284">
        <v>0</v>
      </c>
      <c r="O16" s="284">
        <f t="shared" si="0"/>
        <v>0</v>
      </c>
    </row>
    <row r="17" spans="1:17" ht="26.1" customHeight="1">
      <c r="A17" s="284" t="s">
        <v>269</v>
      </c>
      <c r="B17" s="284" t="s">
        <v>186</v>
      </c>
      <c r="C17" s="284"/>
      <c r="D17" s="284"/>
      <c r="E17" s="284"/>
      <c r="F17" s="284"/>
      <c r="G17" s="284"/>
      <c r="H17" s="284"/>
      <c r="I17" s="284"/>
      <c r="J17" s="334"/>
      <c r="K17" s="284">
        <v>16448000</v>
      </c>
      <c r="L17" s="284">
        <f>25000000*70%</f>
        <v>17500000</v>
      </c>
      <c r="M17" s="284">
        <f>25000000*70%</f>
        <v>17500000</v>
      </c>
      <c r="N17" s="284">
        <f>25000000*70%</f>
        <v>17500000</v>
      </c>
      <c r="O17" s="284">
        <f t="shared" si="0"/>
        <v>0</v>
      </c>
    </row>
    <row r="18" spans="1:17" ht="26.1" customHeight="1">
      <c r="A18" s="284" t="s">
        <v>270</v>
      </c>
      <c r="B18" s="284" t="s">
        <v>163</v>
      </c>
      <c r="C18" s="284"/>
      <c r="D18" s="284"/>
      <c r="E18" s="284"/>
      <c r="F18" s="284"/>
      <c r="G18" s="284"/>
      <c r="H18" s="284"/>
      <c r="I18" s="284"/>
      <c r="J18" s="334"/>
      <c r="K18" s="284">
        <v>0</v>
      </c>
      <c r="L18" s="284">
        <v>0</v>
      </c>
      <c r="M18" s="284">
        <v>0</v>
      </c>
      <c r="N18" s="284">
        <v>0</v>
      </c>
      <c r="O18" s="284">
        <f t="shared" si="0"/>
        <v>0</v>
      </c>
    </row>
    <row r="19" spans="1:17" ht="26.1" customHeight="1">
      <c r="A19" s="284" t="s">
        <v>271</v>
      </c>
      <c r="B19" s="284" t="s">
        <v>154</v>
      </c>
      <c r="C19" s="284">
        <v>2500000</v>
      </c>
      <c r="D19" s="284">
        <v>2000000</v>
      </c>
      <c r="E19" s="284">
        <v>2000000</v>
      </c>
      <c r="F19" s="284">
        <v>2000000</v>
      </c>
      <c r="G19" s="284">
        <v>1600000</v>
      </c>
      <c r="H19" s="284">
        <v>41000000</v>
      </c>
      <c r="I19" s="284">
        <v>41000000</v>
      </c>
      <c r="J19" s="334">
        <v>31000000</v>
      </c>
      <c r="K19" s="284">
        <v>0</v>
      </c>
      <c r="L19" s="284">
        <v>0</v>
      </c>
      <c r="M19" s="284">
        <v>0</v>
      </c>
      <c r="N19" s="284">
        <v>0</v>
      </c>
      <c r="O19" s="284">
        <f t="shared" si="0"/>
        <v>0</v>
      </c>
    </row>
    <row r="20" spans="1:17" ht="26.1" customHeight="1">
      <c r="A20" s="284" t="s">
        <v>272</v>
      </c>
      <c r="B20" s="284" t="s">
        <v>54</v>
      </c>
      <c r="C20" s="284">
        <f t="shared" ref="C20:J20" si="1">SUM(C14:C19)</f>
        <v>4000000</v>
      </c>
      <c r="D20" s="284">
        <f t="shared" si="1"/>
        <v>7500000</v>
      </c>
      <c r="E20" s="284">
        <f t="shared" si="1"/>
        <v>2500000</v>
      </c>
      <c r="F20" s="284">
        <f t="shared" si="1"/>
        <v>2500000</v>
      </c>
      <c r="G20" s="284">
        <f t="shared" si="1"/>
        <v>2000000</v>
      </c>
      <c r="H20" s="284">
        <f t="shared" si="1"/>
        <v>409850000</v>
      </c>
      <c r="I20" s="292">
        <f t="shared" si="1"/>
        <v>61000000</v>
      </c>
      <c r="J20" s="402">
        <f t="shared" si="1"/>
        <v>135000000</v>
      </c>
      <c r="K20" s="284">
        <v>0</v>
      </c>
      <c r="L20" s="284">
        <f>5000000*70%</f>
        <v>3500000</v>
      </c>
      <c r="M20" s="284">
        <v>52450000</v>
      </c>
      <c r="N20" s="284">
        <v>22450000</v>
      </c>
      <c r="O20" s="284">
        <f t="shared" si="0"/>
        <v>-30000000</v>
      </c>
    </row>
    <row r="21" spans="1:17" ht="26.1" customHeight="1">
      <c r="A21" s="284" t="s">
        <v>273</v>
      </c>
      <c r="B21" s="284" t="s">
        <v>120</v>
      </c>
      <c r="C21" s="284"/>
      <c r="D21" s="284"/>
      <c r="E21" s="284"/>
      <c r="F21" s="284"/>
      <c r="G21" s="284"/>
      <c r="H21" s="284"/>
      <c r="I21" s="284"/>
      <c r="J21" s="334"/>
      <c r="K21" s="292">
        <v>0</v>
      </c>
      <c r="L21" s="292">
        <v>0</v>
      </c>
      <c r="M21" s="292">
        <v>0</v>
      </c>
      <c r="N21" s="292">
        <v>0</v>
      </c>
      <c r="O21" s="284">
        <f t="shared" si="0"/>
        <v>0</v>
      </c>
    </row>
    <row r="22" spans="1:17" s="412" customFormat="1" ht="26.1" customHeight="1">
      <c r="A22" s="284" t="s">
        <v>274</v>
      </c>
      <c r="B22" s="284" t="s">
        <v>164</v>
      </c>
      <c r="C22" s="284">
        <v>23000000</v>
      </c>
      <c r="D22" s="284">
        <v>15000000</v>
      </c>
      <c r="E22" s="284">
        <v>8949700</v>
      </c>
      <c r="F22" s="284">
        <v>8949700</v>
      </c>
      <c r="G22" s="284">
        <v>12000000</v>
      </c>
      <c r="H22" s="284">
        <v>80000000</v>
      </c>
      <c r="I22" s="284">
        <v>80000000</v>
      </c>
      <c r="J22" s="334">
        <v>80000000</v>
      </c>
      <c r="K22" s="284">
        <v>3724000</v>
      </c>
      <c r="L22" s="284">
        <f>10000000*70%</f>
        <v>7000000</v>
      </c>
      <c r="M22" s="284">
        <v>27000000</v>
      </c>
      <c r="N22" s="284">
        <v>27000000</v>
      </c>
      <c r="O22" s="284">
        <f t="shared" si="0"/>
        <v>0</v>
      </c>
    </row>
    <row r="23" spans="1:17" ht="26.1" customHeight="1">
      <c r="A23" s="284" t="s">
        <v>275</v>
      </c>
      <c r="B23" s="284" t="s">
        <v>40</v>
      </c>
      <c r="C23" s="284">
        <v>10061000</v>
      </c>
      <c r="D23" s="284">
        <v>2000000</v>
      </c>
      <c r="E23" s="284">
        <v>0</v>
      </c>
      <c r="F23" s="284">
        <v>0</v>
      </c>
      <c r="G23" s="284">
        <v>0</v>
      </c>
      <c r="H23" s="284">
        <v>30000000</v>
      </c>
      <c r="I23" s="284">
        <v>40000000</v>
      </c>
      <c r="J23" s="334">
        <v>30000000</v>
      </c>
      <c r="K23" s="284">
        <v>8468800</v>
      </c>
      <c r="L23" s="284">
        <f>25000000*70%</f>
        <v>17500000</v>
      </c>
      <c r="M23" s="284">
        <f>25000000*70%</f>
        <v>17500000</v>
      </c>
      <c r="N23" s="284">
        <f>25000000*70%</f>
        <v>17500000</v>
      </c>
      <c r="O23" s="284">
        <f t="shared" si="0"/>
        <v>0</v>
      </c>
    </row>
    <row r="24" spans="1:17" ht="26.1" customHeight="1">
      <c r="A24" s="284" t="s">
        <v>302</v>
      </c>
      <c r="B24" s="284" t="s">
        <v>303</v>
      </c>
      <c r="C24" s="284"/>
      <c r="D24" s="284"/>
      <c r="E24" s="284"/>
      <c r="F24" s="284"/>
      <c r="G24" s="284"/>
      <c r="H24" s="284"/>
      <c r="I24" s="284"/>
      <c r="J24" s="334"/>
      <c r="K24" s="284">
        <v>27344000</v>
      </c>
      <c r="L24" s="284">
        <f>30000000*70%</f>
        <v>21000000</v>
      </c>
      <c r="M24" s="284">
        <f>30000000*70%</f>
        <v>21000000</v>
      </c>
      <c r="N24" s="284">
        <f>30000000*70%</f>
        <v>21000000</v>
      </c>
      <c r="O24" s="284">
        <f t="shared" si="0"/>
        <v>0</v>
      </c>
    </row>
    <row r="25" spans="1:17" ht="26.1" customHeight="1">
      <c r="A25" s="284" t="s">
        <v>304</v>
      </c>
      <c r="B25" s="284" t="s">
        <v>305</v>
      </c>
      <c r="C25" s="284"/>
      <c r="D25" s="284"/>
      <c r="E25" s="284"/>
      <c r="F25" s="284"/>
      <c r="G25" s="284"/>
      <c r="H25" s="284"/>
      <c r="I25" s="284"/>
      <c r="J25" s="334"/>
      <c r="K25" s="284">
        <v>0</v>
      </c>
      <c r="L25" s="284">
        <v>0</v>
      </c>
      <c r="M25" s="284">
        <v>0</v>
      </c>
      <c r="N25" s="284">
        <v>0</v>
      </c>
      <c r="O25" s="284">
        <f t="shared" si="0"/>
        <v>0</v>
      </c>
    </row>
    <row r="26" spans="1:17" ht="26.1" customHeight="1">
      <c r="A26" s="284" t="s">
        <v>277</v>
      </c>
      <c r="B26" s="284" t="s">
        <v>218</v>
      </c>
      <c r="C26" s="284">
        <v>3000000</v>
      </c>
      <c r="D26" s="284">
        <v>1500000</v>
      </c>
      <c r="E26" s="284">
        <v>0</v>
      </c>
      <c r="F26" s="284">
        <v>0</v>
      </c>
      <c r="G26" s="284">
        <v>0</v>
      </c>
      <c r="H26" s="284">
        <v>15000000</v>
      </c>
      <c r="I26" s="284">
        <v>20000000</v>
      </c>
      <c r="J26" s="334">
        <v>20000000</v>
      </c>
      <c r="K26" s="284">
        <v>9213600</v>
      </c>
      <c r="L26" s="284">
        <f>40000000*70%+300000000</f>
        <v>328000000</v>
      </c>
      <c r="M26" s="284">
        <v>0</v>
      </c>
      <c r="N26" s="284">
        <v>0</v>
      </c>
      <c r="O26" s="284">
        <f t="shared" si="0"/>
        <v>0</v>
      </c>
    </row>
    <row r="27" spans="1:17" s="412" customFormat="1" ht="26.1" customHeight="1">
      <c r="A27" s="284" t="s">
        <v>276</v>
      </c>
      <c r="B27" s="284" t="s">
        <v>170</v>
      </c>
      <c r="C27" s="284">
        <v>0</v>
      </c>
      <c r="D27" s="284">
        <v>0</v>
      </c>
      <c r="E27" s="284">
        <v>0</v>
      </c>
      <c r="F27" s="284">
        <v>0</v>
      </c>
      <c r="G27" s="284">
        <v>0</v>
      </c>
      <c r="H27" s="284">
        <v>40000000</v>
      </c>
      <c r="I27" s="284">
        <v>70000000</v>
      </c>
      <c r="J27" s="334">
        <v>70000000</v>
      </c>
      <c r="K27" s="284">
        <v>0</v>
      </c>
      <c r="L27" s="284">
        <v>0</v>
      </c>
      <c r="M27" s="284">
        <v>0</v>
      </c>
      <c r="N27" s="284">
        <v>0</v>
      </c>
      <c r="O27" s="284">
        <f t="shared" si="0"/>
        <v>0</v>
      </c>
    </row>
    <row r="28" spans="1:17" ht="26.1" customHeight="1">
      <c r="A28" s="284"/>
      <c r="B28" s="292" t="s">
        <v>119</v>
      </c>
      <c r="C28" s="284">
        <v>0</v>
      </c>
      <c r="D28" s="284">
        <v>0</v>
      </c>
      <c r="E28" s="284">
        <v>0</v>
      </c>
      <c r="F28" s="284">
        <v>0</v>
      </c>
      <c r="G28" s="284">
        <v>16000000</v>
      </c>
      <c r="H28" s="284">
        <v>360113000</v>
      </c>
      <c r="I28" s="284">
        <v>208212162</v>
      </c>
      <c r="J28" s="334">
        <v>330000000</v>
      </c>
      <c r="K28" s="292">
        <f>SUM(K14:K27)</f>
        <v>78604800</v>
      </c>
      <c r="L28" s="292">
        <f>SUM(L14:L27)</f>
        <v>408500000</v>
      </c>
      <c r="M28" s="292">
        <f>SUM(M14:M27)</f>
        <v>209450000</v>
      </c>
      <c r="N28" s="292">
        <f>SUM(N14:N27)</f>
        <v>179450000</v>
      </c>
      <c r="O28" s="292">
        <f t="shared" si="0"/>
        <v>-30000000</v>
      </c>
    </row>
    <row r="29" spans="1:17" ht="26.1" customHeight="1">
      <c r="A29" s="292" t="s">
        <v>279</v>
      </c>
      <c r="B29" s="292" t="s">
        <v>278</v>
      </c>
      <c r="C29" s="284"/>
      <c r="D29" s="284"/>
      <c r="E29" s="284"/>
      <c r="F29" s="284"/>
      <c r="G29" s="284"/>
      <c r="H29" s="284"/>
      <c r="I29" s="284">
        <v>0</v>
      </c>
      <c r="J29" s="334">
        <v>35000000</v>
      </c>
      <c r="K29" s="292"/>
      <c r="L29" s="292"/>
      <c r="M29" s="292"/>
      <c r="N29" s="292"/>
      <c r="O29" s="284">
        <f t="shared" si="0"/>
        <v>0</v>
      </c>
    </row>
    <row r="30" spans="1:17" ht="26.1" customHeight="1">
      <c r="A30" s="284" t="s">
        <v>280</v>
      </c>
      <c r="B30" s="284" t="s">
        <v>160</v>
      </c>
      <c r="C30" s="292" t="e">
        <f>#REF!+#REF!+#REF!+#REF!+#REF!</f>
        <v>#REF!</v>
      </c>
      <c r="D30" s="292" t="e">
        <f>#REF!+#REF!+#REF!+#REF!+#REF!</f>
        <v>#REF!</v>
      </c>
      <c r="E30" s="292" t="e">
        <f>#REF!+#REF!+#REF!+#REF!+#REF!</f>
        <v>#REF!</v>
      </c>
      <c r="F30" s="292" t="e">
        <f>#REF!+#REF!+#REF!+#REF!+#REF!</f>
        <v>#REF!</v>
      </c>
      <c r="G30" s="292" t="e">
        <f>#REF!+#REF!+#REF!+#REF!+#REF!</f>
        <v>#REF!</v>
      </c>
      <c r="H30" s="292" t="e">
        <f>#REF!+#REF!+#REF!+#REF!+#REF!</f>
        <v>#REF!</v>
      </c>
      <c r="I30" s="292" t="e">
        <f>#REF!+#REF!+#REF!+#REF!+#REF!</f>
        <v>#REF!</v>
      </c>
      <c r="J30" s="402" t="e">
        <f>#REF!+#REF!+#REF!+#REF!+#REF!</f>
        <v>#REF!</v>
      </c>
      <c r="K30" s="284">
        <v>0</v>
      </c>
      <c r="L30" s="284">
        <v>0</v>
      </c>
      <c r="M30" s="284">
        <v>0</v>
      </c>
      <c r="N30" s="284">
        <v>0</v>
      </c>
      <c r="O30" s="284">
        <f t="shared" si="0"/>
        <v>0</v>
      </c>
    </row>
    <row r="31" spans="1:17" s="386" customFormat="1" ht="26.1" customHeight="1">
      <c r="A31" s="284" t="s">
        <v>281</v>
      </c>
      <c r="B31" s="284" t="s">
        <v>161</v>
      </c>
      <c r="C31" s="335"/>
      <c r="D31" s="335"/>
      <c r="E31" s="335"/>
      <c r="F31" s="336">
        <v>0</v>
      </c>
      <c r="G31" s="336" t="s">
        <v>4</v>
      </c>
      <c r="H31" s="336"/>
      <c r="I31" s="336"/>
      <c r="J31" s="403"/>
      <c r="K31" s="284">
        <v>116600000</v>
      </c>
      <c r="L31" s="284">
        <v>70000000</v>
      </c>
      <c r="M31" s="284">
        <v>150000000</v>
      </c>
      <c r="N31" s="284">
        <v>150000000</v>
      </c>
      <c r="O31" s="284">
        <f t="shared" si="0"/>
        <v>0</v>
      </c>
    </row>
    <row r="32" spans="1:17" ht="26.1" customHeight="1">
      <c r="A32" s="284" t="s">
        <v>282</v>
      </c>
      <c r="B32" s="284" t="s">
        <v>155</v>
      </c>
      <c r="C32" s="335"/>
      <c r="D32" s="335"/>
      <c r="E32" s="335"/>
      <c r="F32" s="336"/>
      <c r="G32" s="336"/>
      <c r="H32" s="336"/>
      <c r="I32" s="336"/>
      <c r="J32" s="403"/>
      <c r="K32" s="284">
        <v>29896000</v>
      </c>
      <c r="L32" s="284">
        <v>20000000</v>
      </c>
      <c r="M32" s="284">
        <v>20000000</v>
      </c>
      <c r="N32" s="284">
        <v>20000000</v>
      </c>
      <c r="O32" s="284">
        <f t="shared" si="0"/>
        <v>0</v>
      </c>
    </row>
    <row r="33" spans="1:15" ht="26.1" customHeight="1">
      <c r="A33" s="284" t="s">
        <v>283</v>
      </c>
      <c r="B33" s="284" t="s">
        <v>156</v>
      </c>
      <c r="C33" s="284"/>
      <c r="D33" s="284"/>
      <c r="E33" s="284"/>
      <c r="F33" s="284"/>
      <c r="G33" s="284"/>
      <c r="H33" s="284"/>
      <c r="I33" s="284"/>
      <c r="J33" s="334"/>
      <c r="K33" s="336">
        <v>5958400</v>
      </c>
      <c r="L33" s="336">
        <v>3000000</v>
      </c>
      <c r="M33" s="336">
        <v>3000000</v>
      </c>
      <c r="N33" s="336">
        <v>3000000</v>
      </c>
      <c r="O33" s="284">
        <f t="shared" si="0"/>
        <v>0</v>
      </c>
    </row>
    <row r="34" spans="1:15" ht="26.1" customHeight="1">
      <c r="A34" s="284" t="s">
        <v>284</v>
      </c>
      <c r="B34" s="284" t="s">
        <v>162</v>
      </c>
      <c r="C34" s="284">
        <v>4000000</v>
      </c>
      <c r="D34" s="284">
        <v>2000000</v>
      </c>
      <c r="E34" s="284">
        <v>0</v>
      </c>
      <c r="F34" s="284">
        <v>0</v>
      </c>
      <c r="G34" s="284">
        <v>0</v>
      </c>
      <c r="H34" s="284">
        <v>200000000</v>
      </c>
      <c r="I34" s="284">
        <v>200000000</v>
      </c>
      <c r="J34" s="334">
        <v>200000000</v>
      </c>
      <c r="K34" s="361">
        <v>0</v>
      </c>
      <c r="L34" s="361">
        <v>0</v>
      </c>
      <c r="M34" s="361">
        <v>0</v>
      </c>
      <c r="N34" s="361">
        <v>0</v>
      </c>
      <c r="O34" s="284">
        <f t="shared" si="0"/>
        <v>0</v>
      </c>
    </row>
    <row r="35" spans="1:15" ht="26.1" customHeight="1">
      <c r="A35" s="284" t="s">
        <v>298</v>
      </c>
      <c r="B35" s="284" t="s">
        <v>219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150000000</v>
      </c>
      <c r="I35" s="284">
        <v>150000000</v>
      </c>
      <c r="J35" s="334">
        <v>150000000</v>
      </c>
      <c r="K35" s="284">
        <v>0</v>
      </c>
      <c r="L35" s="284">
        <v>0</v>
      </c>
      <c r="M35" s="284">
        <v>0</v>
      </c>
      <c r="N35" s="284">
        <v>0</v>
      </c>
      <c r="O35" s="284">
        <f t="shared" si="0"/>
        <v>0</v>
      </c>
    </row>
    <row r="36" spans="1:15" ht="26.1" customHeight="1">
      <c r="A36" s="284"/>
      <c r="B36" s="292" t="s">
        <v>119</v>
      </c>
      <c r="C36" s="284">
        <v>10089000</v>
      </c>
      <c r="D36" s="284">
        <v>10004000</v>
      </c>
      <c r="E36" s="284">
        <v>20004000</v>
      </c>
      <c r="F36" s="284">
        <v>20004000</v>
      </c>
      <c r="G36" s="284">
        <v>40003200</v>
      </c>
      <c r="H36" s="284">
        <v>100000000</v>
      </c>
      <c r="I36" s="284">
        <v>100000000</v>
      </c>
      <c r="J36" s="334">
        <v>100000000</v>
      </c>
      <c r="K36" s="292">
        <f>SUM(K30:K35)</f>
        <v>152454400</v>
      </c>
      <c r="L36" s="292">
        <f>SUM(L30:L35)</f>
        <v>93000000</v>
      </c>
      <c r="M36" s="292">
        <f>SUM(M30:M35)</f>
        <v>173000000</v>
      </c>
      <c r="N36" s="292">
        <f>SUM(N30:N35)</f>
        <v>173000000</v>
      </c>
      <c r="O36" s="284">
        <f t="shared" si="0"/>
        <v>0</v>
      </c>
    </row>
    <row r="37" spans="1:15" ht="26.1" customHeight="1">
      <c r="A37" s="292" t="s">
        <v>285</v>
      </c>
      <c r="B37" s="292" t="s">
        <v>158</v>
      </c>
      <c r="C37" s="284">
        <v>0</v>
      </c>
      <c r="D37" s="284">
        <v>0</v>
      </c>
      <c r="E37" s="284">
        <v>0</v>
      </c>
      <c r="F37" s="284">
        <v>0</v>
      </c>
      <c r="G37" s="284">
        <v>0</v>
      </c>
      <c r="H37" s="284">
        <v>616200000</v>
      </c>
      <c r="I37" s="284">
        <v>616200000</v>
      </c>
      <c r="J37" s="334">
        <v>616200000</v>
      </c>
      <c r="K37" s="284"/>
      <c r="L37" s="284"/>
      <c r="M37" s="284"/>
      <c r="N37" s="284"/>
      <c r="O37" s="284">
        <f t="shared" si="0"/>
        <v>0</v>
      </c>
    </row>
    <row r="38" spans="1:15" ht="26.1" customHeight="1">
      <c r="A38" s="284" t="s">
        <v>286</v>
      </c>
      <c r="B38" s="284" t="s">
        <v>55</v>
      </c>
      <c r="C38" s="284">
        <v>13333000</v>
      </c>
      <c r="D38" s="284">
        <v>5000000</v>
      </c>
      <c r="E38" s="284">
        <v>0</v>
      </c>
      <c r="F38" s="284">
        <v>0</v>
      </c>
      <c r="G38" s="284">
        <v>0</v>
      </c>
      <c r="H38" s="284">
        <v>100000000</v>
      </c>
      <c r="I38" s="284">
        <v>70000000</v>
      </c>
      <c r="J38" s="334">
        <v>70000000</v>
      </c>
      <c r="K38" s="284">
        <v>25427200</v>
      </c>
      <c r="L38" s="284">
        <v>10000000</v>
      </c>
      <c r="M38" s="284">
        <v>40000000</v>
      </c>
      <c r="N38" s="284">
        <v>40000000</v>
      </c>
      <c r="O38" s="284">
        <f t="shared" si="0"/>
        <v>0</v>
      </c>
    </row>
    <row r="39" spans="1:15" ht="26.1" customHeight="1">
      <c r="A39" s="284" t="s">
        <v>288</v>
      </c>
      <c r="B39" s="284" t="s">
        <v>287</v>
      </c>
      <c r="C39" s="284">
        <v>0</v>
      </c>
      <c r="D39" s="284">
        <v>0</v>
      </c>
      <c r="E39" s="284">
        <v>0</v>
      </c>
      <c r="F39" s="284">
        <v>0</v>
      </c>
      <c r="G39" s="284">
        <v>0</v>
      </c>
      <c r="H39" s="284">
        <v>0</v>
      </c>
      <c r="I39" s="284">
        <v>0</v>
      </c>
      <c r="J39" s="334">
        <v>0</v>
      </c>
      <c r="K39" s="284">
        <v>4834400</v>
      </c>
      <c r="L39" s="284">
        <f>10000000*70%</f>
        <v>7000000</v>
      </c>
      <c r="M39" s="284">
        <f>10000000*70%</f>
        <v>7000000</v>
      </c>
      <c r="N39" s="284">
        <f>10000000*70%</f>
        <v>7000000</v>
      </c>
      <c r="O39" s="284">
        <f t="shared" si="0"/>
        <v>0</v>
      </c>
    </row>
    <row r="40" spans="1:15" ht="26.1" customHeight="1">
      <c r="A40" s="284" t="s">
        <v>289</v>
      </c>
      <c r="B40" s="284" t="s">
        <v>290</v>
      </c>
      <c r="C40" s="292">
        <f t="shared" ref="C40:J40" si="2">SUM(C38:C39)</f>
        <v>13333000</v>
      </c>
      <c r="D40" s="292">
        <f t="shared" si="2"/>
        <v>5000000</v>
      </c>
      <c r="E40" s="292">
        <f t="shared" si="2"/>
        <v>0</v>
      </c>
      <c r="F40" s="292">
        <f t="shared" si="2"/>
        <v>0</v>
      </c>
      <c r="G40" s="292">
        <f t="shared" si="2"/>
        <v>0</v>
      </c>
      <c r="H40" s="292">
        <f t="shared" si="2"/>
        <v>100000000</v>
      </c>
      <c r="I40" s="292">
        <f t="shared" si="2"/>
        <v>70000000</v>
      </c>
      <c r="J40" s="402">
        <f t="shared" si="2"/>
        <v>70000000</v>
      </c>
      <c r="K40" s="284">
        <v>0</v>
      </c>
      <c r="L40" s="284">
        <v>0</v>
      </c>
      <c r="M40" s="284">
        <v>0</v>
      </c>
      <c r="N40" s="284">
        <v>0</v>
      </c>
      <c r="O40" s="284">
        <f t="shared" si="0"/>
        <v>0</v>
      </c>
    </row>
    <row r="41" spans="1:15" ht="26.1" customHeight="1">
      <c r="A41" s="284"/>
      <c r="B41" s="292" t="s">
        <v>119</v>
      </c>
      <c r="C41" s="292" t="e">
        <f>C40+#REF!+C33+C20+#REF!</f>
        <v>#REF!</v>
      </c>
      <c r="D41" s="292" t="e">
        <f>D40+#REF!+D33+D20+#REF!</f>
        <v>#REF!</v>
      </c>
      <c r="E41" s="292" t="e">
        <f>E40+#REF!+E33+E20+#REF!</f>
        <v>#REF!</v>
      </c>
      <c r="F41" s="292" t="e">
        <f>F40+#REF!+F33+F20+#REF!</f>
        <v>#REF!</v>
      </c>
      <c r="G41" s="292" t="e">
        <f>G40+#REF!+G20+G33+#REF!</f>
        <v>#REF!</v>
      </c>
      <c r="H41" s="292" t="e">
        <f>H40+#REF!+H33+H20+#REF!</f>
        <v>#REF!</v>
      </c>
      <c r="I41" s="292" t="e">
        <f>I40+#REF!+I33+I20+#REF!</f>
        <v>#REF!</v>
      </c>
      <c r="J41" s="402" t="e">
        <f>SUM(#REF!+J20+J33+J40)</f>
        <v>#REF!</v>
      </c>
      <c r="K41" s="292">
        <f>SUM(K38:K40)</f>
        <v>30261600</v>
      </c>
      <c r="L41" s="292">
        <f>SUM(L38:L40)</f>
        <v>17000000</v>
      </c>
      <c r="M41" s="292">
        <f>SUM(M38:M40)</f>
        <v>47000000</v>
      </c>
      <c r="N41" s="292">
        <f>SUM(N38:N40)</f>
        <v>47000000</v>
      </c>
      <c r="O41" s="292">
        <f t="shared" si="0"/>
        <v>0</v>
      </c>
    </row>
    <row r="42" spans="1:15" ht="26.1" customHeight="1">
      <c r="A42" s="284"/>
      <c r="B42" s="292" t="s">
        <v>119</v>
      </c>
      <c r="C42" s="413"/>
      <c r="D42" s="413"/>
      <c r="E42" s="413"/>
      <c r="F42" s="413"/>
      <c r="G42" s="413"/>
      <c r="H42" s="413"/>
      <c r="I42" s="413"/>
      <c r="J42" s="413"/>
      <c r="K42" s="292"/>
      <c r="L42" s="292"/>
      <c r="M42" s="292"/>
      <c r="N42" s="292"/>
      <c r="O42" s="284">
        <f t="shared" si="0"/>
        <v>0</v>
      </c>
    </row>
    <row r="43" spans="1:15" ht="26.1" customHeight="1">
      <c r="A43" s="292" t="s">
        <v>293</v>
      </c>
      <c r="B43" s="292" t="s">
        <v>292</v>
      </c>
      <c r="C43" s="395"/>
      <c r="D43" s="395"/>
      <c r="E43" s="395"/>
      <c r="F43" s="395"/>
      <c r="G43" s="395"/>
      <c r="H43" s="395"/>
      <c r="I43" s="395"/>
      <c r="J43" s="395"/>
      <c r="K43" s="292"/>
      <c r="L43" s="292"/>
      <c r="M43" s="292"/>
      <c r="N43" s="292"/>
      <c r="O43" s="284">
        <f t="shared" si="0"/>
        <v>0</v>
      </c>
    </row>
    <row r="44" spans="1:15" ht="26.1" customHeight="1">
      <c r="A44" s="292" t="s">
        <v>294</v>
      </c>
      <c r="B44" s="292" t="s">
        <v>291</v>
      </c>
      <c r="C44" s="395"/>
      <c r="D44" s="395"/>
      <c r="E44" s="395"/>
      <c r="F44" s="395"/>
      <c r="G44" s="395"/>
      <c r="H44" s="395"/>
      <c r="I44" s="395"/>
      <c r="J44" s="395"/>
      <c r="K44" s="292"/>
      <c r="L44" s="292"/>
      <c r="M44" s="292"/>
      <c r="N44" s="292"/>
      <c r="O44" s="284">
        <f t="shared" si="0"/>
        <v>0</v>
      </c>
    </row>
    <row r="45" spans="1:15" ht="26.1" customHeight="1">
      <c r="A45" s="284" t="s">
        <v>389</v>
      </c>
      <c r="B45" s="284" t="s">
        <v>307</v>
      </c>
      <c r="C45" s="395"/>
      <c r="D45" s="395"/>
      <c r="E45" s="395"/>
      <c r="F45" s="395"/>
      <c r="G45" s="395"/>
      <c r="H45" s="395"/>
      <c r="I45" s="395"/>
      <c r="J45" s="395"/>
      <c r="K45" s="284">
        <v>5000000</v>
      </c>
      <c r="L45" s="284">
        <f>7000000*70%</f>
        <v>4900000</v>
      </c>
      <c r="M45" s="284">
        <f>L45</f>
        <v>4900000</v>
      </c>
      <c r="N45" s="284">
        <v>0</v>
      </c>
      <c r="O45" s="284">
        <f t="shared" si="0"/>
        <v>-4900000</v>
      </c>
    </row>
    <row r="46" spans="1:15" ht="26.1" customHeight="1">
      <c r="A46" s="284" t="s">
        <v>388</v>
      </c>
      <c r="B46" s="284" t="s">
        <v>309</v>
      </c>
      <c r="C46" s="395"/>
      <c r="D46" s="395"/>
      <c r="E46" s="395"/>
      <c r="F46" s="395"/>
      <c r="G46" s="395"/>
      <c r="H46" s="395"/>
      <c r="I46" s="395"/>
      <c r="J46" s="395"/>
      <c r="K46" s="292">
        <v>0</v>
      </c>
      <c r="L46" s="284">
        <f>30000000*70%</f>
        <v>21000000</v>
      </c>
      <c r="M46" s="284">
        <v>0</v>
      </c>
      <c r="N46" s="284">
        <v>0</v>
      </c>
      <c r="O46" s="284">
        <f t="shared" si="0"/>
        <v>0</v>
      </c>
    </row>
    <row r="47" spans="1:15" ht="26.1" customHeight="1">
      <c r="A47" s="284" t="s">
        <v>295</v>
      </c>
      <c r="B47" s="284" t="s">
        <v>176</v>
      </c>
      <c r="C47" s="395"/>
      <c r="D47" s="395"/>
      <c r="E47" s="395"/>
      <c r="F47" s="395"/>
      <c r="G47" s="395"/>
      <c r="H47" s="395"/>
      <c r="I47" s="395"/>
      <c r="J47" s="395"/>
      <c r="K47" s="284">
        <v>1000000</v>
      </c>
      <c r="L47" s="284">
        <f>2000000*70%</f>
        <v>1400000</v>
      </c>
      <c r="M47" s="284">
        <v>0</v>
      </c>
      <c r="N47" s="284">
        <v>0</v>
      </c>
      <c r="O47" s="284">
        <f t="shared" si="0"/>
        <v>0</v>
      </c>
    </row>
    <row r="48" spans="1:15" ht="26.1" customHeight="1">
      <c r="A48" s="284" t="s">
        <v>296</v>
      </c>
      <c r="B48" s="284" t="s">
        <v>177</v>
      </c>
      <c r="C48" s="395"/>
      <c r="D48" s="395"/>
      <c r="E48" s="395"/>
      <c r="F48" s="395"/>
      <c r="G48" s="395"/>
      <c r="H48" s="395"/>
      <c r="I48" s="395"/>
      <c r="J48" s="395"/>
      <c r="K48" s="284">
        <v>0</v>
      </c>
      <c r="L48" s="284">
        <f>2000000*70%</f>
        <v>1400000</v>
      </c>
      <c r="M48" s="284">
        <v>0</v>
      </c>
      <c r="N48" s="284">
        <v>0</v>
      </c>
      <c r="O48" s="284">
        <f t="shared" si="0"/>
        <v>0</v>
      </c>
    </row>
    <row r="49" spans="1:15" ht="26.1" customHeight="1">
      <c r="A49" s="284"/>
      <c r="B49" s="292" t="s">
        <v>119</v>
      </c>
      <c r="C49" s="395"/>
      <c r="D49" s="395"/>
      <c r="E49" s="395"/>
      <c r="F49" s="395"/>
      <c r="G49" s="395"/>
      <c r="H49" s="395"/>
      <c r="I49" s="395"/>
      <c r="J49" s="395"/>
      <c r="K49" s="292">
        <f>SUM(K45:K48)</f>
        <v>6000000</v>
      </c>
      <c r="L49" s="292">
        <f>SUM(L45:L48)</f>
        <v>28700000</v>
      </c>
      <c r="M49" s="292">
        <f>SUM(M45:M48)</f>
        <v>4900000</v>
      </c>
      <c r="N49" s="292">
        <f>SUM(N45:N48)</f>
        <v>0</v>
      </c>
      <c r="O49" s="284">
        <f t="shared" si="0"/>
        <v>-4900000</v>
      </c>
    </row>
    <row r="50" spans="1:15" ht="26.1" customHeight="1" thickBot="1">
      <c r="A50" s="404"/>
      <c r="B50" s="405" t="s">
        <v>42</v>
      </c>
      <c r="C50" s="414"/>
      <c r="D50" s="414"/>
      <c r="E50" s="414"/>
      <c r="F50" s="414"/>
      <c r="G50" s="414"/>
      <c r="H50" s="414"/>
      <c r="I50" s="414"/>
      <c r="J50" s="414"/>
      <c r="K50" s="405">
        <f>K11+K28+K36+K41+K49</f>
        <v>854051200</v>
      </c>
      <c r="L50" s="405">
        <f>L11+L28+L36+L41+L49</f>
        <v>1376195200</v>
      </c>
      <c r="M50" s="405">
        <f>M11+M28+M36+M41+M49</f>
        <v>1822920400</v>
      </c>
      <c r="N50" s="405">
        <f>N11+N28+N36+N41+N49</f>
        <v>2220080400</v>
      </c>
      <c r="O50" s="292">
        <f t="shared" si="0"/>
        <v>397160000</v>
      </c>
    </row>
    <row r="51" spans="1:15" ht="21.95" customHeight="1">
      <c r="A51" s="407"/>
      <c r="B51" s="407"/>
      <c r="C51" s="407"/>
      <c r="D51" s="407"/>
      <c r="E51" s="407"/>
      <c r="F51" s="407"/>
      <c r="G51" s="407"/>
      <c r="H51" s="407"/>
      <c r="I51" s="407"/>
      <c r="J51" s="407"/>
      <c r="K51" s="408"/>
      <c r="L51" s="408"/>
      <c r="M51" s="408"/>
      <c r="N51" s="408"/>
      <c r="O51" s="408"/>
    </row>
  </sheetData>
  <phoneticPr fontId="0" type="noConversion"/>
  <printOptions gridLines="1"/>
  <pageMargins left="0.76" right="0.39" top="1.24" bottom="0.68" header="0.53" footer="0.21"/>
  <pageSetup scale="50" orientation="portrait" r:id="rId1"/>
  <headerFooter alignWithMargins="0">
    <oddHeader xml:space="preserve">&amp;C&amp;"Algerian,Bold"&amp;28Xeer Ilaalinta Guud ee Qaranka </oddHeader>
    <oddFooter xml:space="preserve">&amp;R&amp;"Times New Roman,Bold"&amp;14 &amp;18 6&amp;14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78</vt:i4>
      </vt:variant>
      <vt:variant>
        <vt:lpstr>Named Ranges</vt:lpstr>
      </vt:variant>
      <vt:variant>
        <vt:i4>57</vt:i4>
      </vt:variant>
    </vt:vector>
  </HeadingPairs>
  <TitlesOfParts>
    <vt:vector size="135" baseType="lpstr">
      <vt:lpstr>shaxda Guud</vt:lpstr>
      <vt:lpstr>Sum 1</vt:lpstr>
      <vt:lpstr>Soo koobida guud</vt:lpstr>
      <vt:lpstr>1-1A</vt:lpstr>
      <vt:lpstr>1B</vt:lpstr>
      <vt:lpstr>2</vt:lpstr>
      <vt:lpstr>3</vt:lpstr>
      <vt:lpstr>4</vt:lpstr>
      <vt:lpstr>5</vt:lpstr>
      <vt:lpstr>6</vt:lpstr>
      <vt:lpstr>7</vt:lpstr>
      <vt:lpstr>8</vt:lpstr>
      <vt:lpstr>8A</vt:lpstr>
      <vt:lpstr>8B</vt:lpstr>
      <vt:lpstr>8C</vt:lpstr>
      <vt:lpstr>8D</vt:lpstr>
      <vt:lpstr>9</vt:lpstr>
      <vt:lpstr>10</vt:lpstr>
      <vt:lpstr>10a</vt:lpstr>
      <vt:lpstr>10b</vt:lpstr>
      <vt:lpstr>10c</vt:lpstr>
      <vt:lpstr>10d</vt:lpstr>
      <vt:lpstr>11</vt:lpstr>
      <vt:lpstr>11a</vt:lpstr>
      <vt:lpstr>11b</vt:lpstr>
      <vt:lpstr>11c</vt:lpstr>
      <vt:lpstr>11d</vt:lpstr>
      <vt:lpstr>12</vt:lpstr>
      <vt:lpstr>12a</vt:lpstr>
      <vt:lpstr>13</vt:lpstr>
      <vt:lpstr>13A</vt:lpstr>
      <vt:lpstr>14</vt:lpstr>
      <vt:lpstr>15</vt:lpstr>
      <vt:lpstr>15A</vt:lpstr>
      <vt:lpstr>16</vt:lpstr>
      <vt:lpstr>17</vt:lpstr>
      <vt:lpstr>18</vt:lpstr>
      <vt:lpstr>19</vt:lpstr>
      <vt:lpstr>20</vt:lpstr>
      <vt:lpstr>21</vt:lpstr>
      <vt:lpstr>22</vt:lpstr>
      <vt:lpstr>22A</vt:lpstr>
      <vt:lpstr>22B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Miisaniyada guud</vt:lpstr>
      <vt:lpstr>shaq,3</vt:lpstr>
      <vt:lpstr>sookob2</vt:lpstr>
      <vt:lpstr>Noolka safarada Dibedda</vt:lpstr>
      <vt:lpstr>Iijaarka</vt:lpstr>
      <vt:lpstr>cafimadka</vt:lpstr>
      <vt:lpstr>Madaxweyne ku xigeenka</vt:lpstr>
      <vt:lpstr>Miisaaniyada Guud</vt:lpstr>
      <vt:lpstr>Dakhti&amp;kharash</vt:lpstr>
      <vt:lpstr>deegameynta Dakhliga</vt:lpstr>
      <vt:lpstr>madax-xigeyaasha dakhliga</vt:lpstr>
      <vt:lpstr>Sheet1</vt:lpstr>
      <vt:lpstr>Sheet2</vt:lpstr>
      <vt:lpstr>Sheet3</vt:lpstr>
      <vt:lpstr>'10'!Print_Area</vt:lpstr>
      <vt:lpstr>'10a'!Print_Area</vt:lpstr>
      <vt:lpstr>'10b'!Print_Area</vt:lpstr>
      <vt:lpstr>'10c'!Print_Area</vt:lpstr>
      <vt:lpstr>'10d'!Print_Area</vt:lpstr>
      <vt:lpstr>'11a'!Print_Area</vt:lpstr>
      <vt:lpstr>'1-1A'!Print_Area</vt:lpstr>
      <vt:lpstr>'11b'!Print_Area</vt:lpstr>
      <vt:lpstr>'11c'!Print_Area</vt:lpstr>
      <vt:lpstr>'11d'!Print_Area</vt:lpstr>
      <vt:lpstr>'12'!Print_Area</vt:lpstr>
      <vt:lpstr>'12a'!Print_Area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'1B'!Print_Area</vt:lpstr>
      <vt:lpstr>'2'!Print_Area</vt:lpstr>
      <vt:lpstr>'20'!Print_Area</vt:lpstr>
      <vt:lpstr>'22'!Print_Area</vt:lpstr>
      <vt:lpstr>'22A'!Print_Area</vt:lpstr>
      <vt:lpstr>'22B'!Print_Area</vt:lpstr>
      <vt:lpstr>'23'!Print_Area</vt:lpstr>
      <vt:lpstr>'25'!Print_Area</vt:lpstr>
      <vt:lpstr>'26'!Print_Area</vt:lpstr>
      <vt:lpstr>'27'!Print_Area</vt:lpstr>
      <vt:lpstr>'28'!Print_Area</vt:lpstr>
      <vt:lpstr>'3'!Print_Area</vt:lpstr>
      <vt:lpstr>'30'!Print_Area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'39'!Print_Area</vt:lpstr>
      <vt:lpstr>'4'!Print_Area</vt:lpstr>
      <vt:lpstr>'40'!Print_Area</vt:lpstr>
      <vt:lpstr>'41'!Print_Area</vt:lpstr>
      <vt:lpstr>'42'!Print_Area</vt:lpstr>
      <vt:lpstr>'5'!Print_Area</vt:lpstr>
      <vt:lpstr>'6'!Print_Area</vt:lpstr>
      <vt:lpstr>'7'!Print_Area</vt:lpstr>
      <vt:lpstr>'8'!Print_Area</vt:lpstr>
      <vt:lpstr>'8A'!Print_Area</vt:lpstr>
      <vt:lpstr>'8D'!Print_Area</vt:lpstr>
      <vt:lpstr>'9'!Print_Area</vt:lpstr>
      <vt:lpstr>Iijaarka!Print_Area</vt:lpstr>
      <vt:lpstr>'Miisaniyada guud'!Print_Area</vt:lpstr>
      <vt:lpstr>'shaxda Guud'!Print_Area</vt:lpstr>
      <vt:lpstr>Sheet1!Print_Area</vt:lpstr>
      <vt:lpstr>Sheet3!Print_Area</vt:lpstr>
      <vt:lpstr>sookob2!Print_Area</vt:lpstr>
      <vt:lpstr>'Sum 1'!Print_Area</vt:lpstr>
    </vt:vector>
  </TitlesOfParts>
  <Company>MINISTRY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Samotaliye</cp:lastModifiedBy>
  <cp:lastPrinted>2012-12-29T07:59:06Z</cp:lastPrinted>
  <dcterms:created xsi:type="dcterms:W3CDTF">2001-01-11T12:08:15Z</dcterms:created>
  <dcterms:modified xsi:type="dcterms:W3CDTF">2018-08-14T15:46:04Z</dcterms:modified>
</cp:coreProperties>
</file>