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375" windowWidth="9720" windowHeight="6960" tabRatio="601" firstSheet="2" activeTab="8"/>
  </bookViews>
  <sheets>
    <sheet name="Sum 1" sheetId="181" r:id="rId1"/>
    <sheet name="shaxda Guud" sheetId="197" r:id="rId2"/>
    <sheet name="Soo koobida guud" sheetId="214" r:id="rId3"/>
    <sheet name="Dakhliga Duud 1 " sheetId="223" r:id="rId4"/>
    <sheet name="SOO" sheetId="225" r:id="rId5"/>
    <sheet name="011-012" sheetId="1" r:id="rId6"/>
    <sheet name="013" sheetId="91" r:id="rId7"/>
    <sheet name="021" sheetId="83" r:id="rId8"/>
    <sheet name="031" sheetId="17" r:id="rId9"/>
    <sheet name="041" sheetId="16" r:id="rId10"/>
    <sheet name="051" sheetId="18" r:id="rId11"/>
    <sheet name="061" sheetId="19" r:id="rId12"/>
    <sheet name="071" sheetId="21" r:id="rId13"/>
    <sheet name="081" sheetId="59" r:id="rId14"/>
    <sheet name="082" sheetId="100" r:id="rId15"/>
    <sheet name="083" sheetId="185" r:id="rId16"/>
    <sheet name="084" sheetId="212" r:id="rId17"/>
    <sheet name="085" sheetId="213" r:id="rId18"/>
    <sheet name="091" sheetId="24" r:id="rId19"/>
    <sheet name="101" sheetId="25" r:id="rId20"/>
    <sheet name="102" sheetId="28" r:id="rId21"/>
    <sheet name="103" sheetId="175" r:id="rId22"/>
    <sheet name="104" sheetId="116" r:id="rId23"/>
    <sheet name="105" sheetId="114" r:id="rId24"/>
    <sheet name="111" sheetId="183" r:id="rId25"/>
    <sheet name="112" sheetId="31" r:id="rId26"/>
    <sheet name="113" sheetId="92" r:id="rId27"/>
    <sheet name="114" sheetId="51" r:id="rId28"/>
    <sheet name="115" sheetId="163" r:id="rId29"/>
    <sheet name="121" sheetId="162" r:id="rId30"/>
    <sheet name="131" sheetId="165" r:id="rId31"/>
    <sheet name="132" sheetId="168" r:id="rId32"/>
    <sheet name="141" sheetId="35" r:id="rId33"/>
    <sheet name="151" sheetId="176" r:id="rId34"/>
    <sheet name="152" sheetId="210" r:id="rId35"/>
    <sheet name="161" sheetId="37" r:id="rId36"/>
    <sheet name="171" sheetId="38" r:id="rId37"/>
    <sheet name="181" sheetId="169" r:id="rId38"/>
    <sheet name="191" sheetId="40" r:id="rId39"/>
    <sheet name="201" sheetId="41" r:id="rId40"/>
    <sheet name="211" sheetId="170" r:id="rId41"/>
    <sheet name="221" sheetId="178" r:id="rId42"/>
    <sheet name="222" sheetId="200" r:id="rId43"/>
    <sheet name="223" sheetId="189" r:id="rId44"/>
    <sheet name="231" sheetId="44" r:id="rId45"/>
    <sheet name="232" sheetId="221" r:id="rId46"/>
    <sheet name="241" sheetId="46" r:id="rId47"/>
    <sheet name="251" sheetId="180" r:id="rId48"/>
    <sheet name="261" sheetId="171" r:id="rId49"/>
    <sheet name="271" sheetId="53" r:id="rId50"/>
    <sheet name="291" sheetId="172" r:id="rId51"/>
    <sheet name="301" sheetId="174" r:id="rId52"/>
    <sheet name="311" sheetId="177" r:id="rId53"/>
    <sheet name="321" sheetId="63" r:id="rId54"/>
    <sheet name="331" sheetId="23" r:id="rId55"/>
    <sheet name="341" sheetId="75" r:id="rId56"/>
    <sheet name="381" sheetId="125" r:id="rId57"/>
    <sheet name="391" sheetId="126" r:id="rId58"/>
    <sheet name="401" sheetId="184" r:id="rId59"/>
    <sheet name="411" sheetId="182" r:id="rId60"/>
    <sheet name="421" sheetId="198" r:id="rId61"/>
    <sheet name="431" sheetId="208" r:id="rId62"/>
    <sheet name="441" sheetId="216" r:id="rId63"/>
  </sheets>
  <externalReferences>
    <externalReference r:id="rId64"/>
    <externalReference r:id="rId65"/>
  </externalReferences>
  <definedNames>
    <definedName name="_xlnm._FilterDatabase" localSheetId="7" hidden="1">'021'!$A$2:$N$54</definedName>
    <definedName name="_xlnm._FilterDatabase" localSheetId="8" hidden="1">'031'!$A$2:$O$41</definedName>
    <definedName name="_xlnm._FilterDatabase" localSheetId="9" hidden="1">'041'!$A$2:$O$40</definedName>
    <definedName name="_xlnm._FilterDatabase" localSheetId="10" hidden="1">'051'!$A$2:$Q$32</definedName>
    <definedName name="_xlnm._FilterDatabase" localSheetId="11" hidden="1">'061'!$A$2:$M$33</definedName>
    <definedName name="_xlnm._FilterDatabase" localSheetId="12" hidden="1">'071'!$A$2:$N$32</definedName>
    <definedName name="_xlnm._FilterDatabase" localSheetId="18" hidden="1">'091'!$A$2:$N$35</definedName>
    <definedName name="_xlnm._FilterDatabase" localSheetId="19" hidden="1">'101'!$A$2:$N$30</definedName>
    <definedName name="_xlnm._FilterDatabase" localSheetId="20" hidden="1">'102'!$A$2:$S$34</definedName>
    <definedName name="_xlnm._FilterDatabase" localSheetId="25" hidden="1">'112'!$A$2:$N$33</definedName>
    <definedName name="_xlnm._FilterDatabase" localSheetId="27" hidden="1">'114'!$B$1:$B$47</definedName>
    <definedName name="_xlnm._FilterDatabase" localSheetId="32" hidden="1">'141'!$A$3:$R$34</definedName>
    <definedName name="_xlnm._FilterDatabase" localSheetId="35" hidden="1">'161'!$A$2:$S$38</definedName>
    <definedName name="_xlnm._FilterDatabase" localSheetId="36" hidden="1">'171'!$A$2:$N$39</definedName>
    <definedName name="_xlnm._FilterDatabase" localSheetId="38" hidden="1">'191'!$A$2:$R$28</definedName>
    <definedName name="_xlnm._FilterDatabase" localSheetId="46" hidden="1">'241'!$A$2:$B$39</definedName>
    <definedName name="_xlnm._FilterDatabase" localSheetId="54" hidden="1">'331'!$A$2:$S$36</definedName>
    <definedName name="_xlnm.Print_Area" localSheetId="5">'011-012'!$A$1:$P$21</definedName>
    <definedName name="_xlnm.Print_Area" localSheetId="6">'013'!$A$1:$N$42</definedName>
    <definedName name="_xlnm.Print_Area" localSheetId="7">'021'!$A$1:$R$51</definedName>
    <definedName name="_xlnm.Print_Area" localSheetId="8">'031'!$A$1:$Q$54</definedName>
    <definedName name="_xlnm.Print_Area" localSheetId="9">'041'!$A$1:$Q$49</definedName>
    <definedName name="_xlnm.Print_Area" localSheetId="10">'051'!$A$1:$Q$48</definedName>
    <definedName name="_xlnm.Print_Area" localSheetId="11">'061'!$A$1:$Q$53</definedName>
    <definedName name="_xlnm.Print_Area" localSheetId="12">'071'!$A$1:$R$52</definedName>
    <definedName name="_xlnm.Print_Area" localSheetId="13">'081'!$A$1:$P$54</definedName>
    <definedName name="_xlnm.Print_Area" localSheetId="14">'082'!$A$1:$R$52</definedName>
    <definedName name="_xlnm.Print_Area" localSheetId="15">'083'!$A$1:$H$44</definedName>
    <definedName name="_xlnm.Print_Area" localSheetId="16">'084'!$A$1:$R$46</definedName>
    <definedName name="_xlnm.Print_Area" localSheetId="17">'085'!$A$1:$T$38</definedName>
    <definedName name="_xlnm.Print_Area" localSheetId="18">'091'!$A$1:$R$53</definedName>
    <definedName name="_xlnm.Print_Area" localSheetId="19">'101'!$A$1:$R$48</definedName>
    <definedName name="_xlnm.Print_Area" localSheetId="20">'102'!$A$1:$R$50</definedName>
    <definedName name="_xlnm.Print_Area" localSheetId="21">'103'!$A$1:$Q$50</definedName>
    <definedName name="_xlnm.Print_Area" localSheetId="22">'104'!$A$1:$T$43</definedName>
    <definedName name="_xlnm.Print_Area" localSheetId="23">'105'!$A$1:$S$35</definedName>
    <definedName name="_xlnm.Print_Area" localSheetId="24">'111'!$A$1:$R$49</definedName>
    <definedName name="_xlnm.Print_Area" localSheetId="25">'112'!$A$1:$T$47</definedName>
    <definedName name="_xlnm.Print_Area" localSheetId="26">'113'!$A$1:$N$42</definedName>
    <definedName name="_xlnm.Print_Area" localSheetId="27">'114'!$A$1:$Q$43</definedName>
    <definedName name="_xlnm.Print_Area" localSheetId="28">'115'!$A$1:$P$45</definedName>
    <definedName name="_xlnm.Print_Area" localSheetId="29">'121'!$A$1:$R$57</definedName>
    <definedName name="_xlnm.Print_Area" localSheetId="30">'131'!$A$1:$R$45</definedName>
    <definedName name="_xlnm.Print_Area" localSheetId="31">'132'!$A$1:$R$47</definedName>
    <definedName name="_xlnm.Print_Area" localSheetId="32">'141'!$A$1:$R$45</definedName>
    <definedName name="_xlnm.Print_Area" localSheetId="33">'151'!$A$1:$R$71</definedName>
    <definedName name="_xlnm.Print_Area" localSheetId="34">'152'!$A$1:$T$64</definedName>
    <definedName name="_xlnm.Print_Area" localSheetId="35">'161'!$A$1:$R$43</definedName>
    <definedName name="_xlnm.Print_Area" localSheetId="36">'171'!$A$1:$S$47</definedName>
    <definedName name="_xlnm.Print_Area" localSheetId="37">'181'!$A$1:$R$42</definedName>
    <definedName name="_xlnm.Print_Area" localSheetId="38">'191'!$A$1:$R$46</definedName>
    <definedName name="_xlnm.Print_Area" localSheetId="39">'201'!$A$1:$R$53</definedName>
    <definedName name="_xlnm.Print_Area" localSheetId="40">'211'!$A$1:$R$44</definedName>
    <definedName name="_xlnm.Print_Area" localSheetId="41">'221'!$A$1:$P$72</definedName>
    <definedName name="_xlnm.Print_Area" localSheetId="42">'222'!$A$1:$G$47</definedName>
    <definedName name="_xlnm.Print_Area" localSheetId="43">'223'!$A$1:$G$44</definedName>
    <definedName name="_xlnm.Print_Area" localSheetId="44">'231'!$A$1:$O$65</definedName>
    <definedName name="_xlnm.Print_Area" localSheetId="47">'251'!$A$1:$Q$42</definedName>
    <definedName name="_xlnm.Print_Area" localSheetId="48">'261'!$A$1:$Q$56</definedName>
    <definedName name="_xlnm.Print_Area" localSheetId="49">'271'!$A$1:$Q$50</definedName>
    <definedName name="_xlnm.Print_Area" localSheetId="50">'291'!$A$1:$Q$45</definedName>
    <definedName name="_xlnm.Print_Area" localSheetId="51">'301'!$A$1:$O$46</definedName>
    <definedName name="_xlnm.Print_Area" localSheetId="52">'311'!$A$1:$Q$48</definedName>
    <definedName name="_xlnm.Print_Area" localSheetId="53">'321'!$A$1:$R$43</definedName>
    <definedName name="_xlnm.Print_Area" localSheetId="54">'331'!$A$1:$Q$39</definedName>
    <definedName name="_xlnm.Print_Area" localSheetId="55">'341'!$A$1:$R$35</definedName>
    <definedName name="_xlnm.Print_Area" localSheetId="56">'381'!$A$1:$H$45</definedName>
    <definedName name="_xlnm.Print_Area" localSheetId="57">'391'!$A$1:$O$44</definedName>
    <definedName name="_xlnm.Print_Area" localSheetId="58">'401'!$A$1:$Q$54</definedName>
    <definedName name="_xlnm.Print_Area" localSheetId="59">'411'!$A$1:$G$48</definedName>
    <definedName name="_xlnm.Print_Area" localSheetId="60">'421'!$A$1:$G$46</definedName>
    <definedName name="_xlnm.Print_Area" localSheetId="61">'431'!$A$1:$S$45</definedName>
    <definedName name="_xlnm.Print_Area" localSheetId="3">'Dakhliga Duud 1 '!$A$1:$E$83</definedName>
    <definedName name="_xlnm.Print_Area" localSheetId="1">'shaxda Guud'!$A$4:$D$14</definedName>
    <definedName name="_xlnm.Print_Area" localSheetId="4">SOO!$A$1:$E$20</definedName>
    <definedName name="_xlnm.Print_Area" localSheetId="2">'Soo koobida guud'!$A$1:$L$61</definedName>
    <definedName name="_xlnm.Print_Area" localSheetId="0">'Sum 1'!$A$1:$Q$66</definedName>
  </definedNames>
  <calcPr calcId="125725"/>
</workbook>
</file>

<file path=xl/calcChain.xml><?xml version="1.0" encoding="utf-8"?>
<calcChain xmlns="http://schemas.openxmlformats.org/spreadsheetml/2006/main">
  <c r="C20" i="225"/>
  <c r="E19"/>
  <c r="E18"/>
  <c r="E17"/>
  <c r="E16"/>
  <c r="E15"/>
  <c r="E14"/>
  <c r="E13"/>
  <c r="E12"/>
  <c r="E11"/>
  <c r="E10"/>
  <c r="E9"/>
  <c r="E8"/>
  <c r="E7"/>
  <c r="E6"/>
  <c r="E5"/>
  <c r="E4"/>
  <c r="E3"/>
  <c r="D2"/>
  <c r="E2" s="1"/>
  <c r="E20" s="1"/>
  <c r="E81" i="223" l="1"/>
  <c r="D79"/>
  <c r="E79" s="1"/>
  <c r="C79"/>
  <c r="C82" s="1"/>
  <c r="C83" s="1"/>
  <c r="E78"/>
  <c r="E77"/>
  <c r="E76"/>
  <c r="D75"/>
  <c r="E75" s="1"/>
  <c r="C75"/>
  <c r="E72"/>
  <c r="E71"/>
  <c r="E70"/>
  <c r="I69"/>
  <c r="E69"/>
  <c r="E68"/>
  <c r="E67"/>
  <c r="E66"/>
  <c r="E65"/>
  <c r="E64"/>
  <c r="E63"/>
  <c r="E62"/>
  <c r="D60"/>
  <c r="C60"/>
  <c r="E60" s="1"/>
  <c r="E59"/>
  <c r="E58"/>
  <c r="E57"/>
  <c r="E56"/>
  <c r="E55"/>
  <c r="D52"/>
  <c r="E52" s="1"/>
  <c r="C52"/>
  <c r="E51"/>
  <c r="D47"/>
  <c r="E47" s="1"/>
  <c r="C47"/>
  <c r="E46"/>
  <c r="E45"/>
  <c r="E44"/>
  <c r="E43"/>
  <c r="E42"/>
  <c r="E41"/>
  <c r="E40"/>
  <c r="D38"/>
  <c r="E38" s="1"/>
  <c r="C38"/>
  <c r="E37"/>
  <c r="E36"/>
  <c r="E35"/>
  <c r="E34"/>
  <c r="E33"/>
  <c r="E32"/>
  <c r="D30"/>
  <c r="C30"/>
  <c r="E30" s="1"/>
  <c r="E29"/>
  <c r="E28"/>
  <c r="E27"/>
  <c r="E26"/>
  <c r="E25"/>
  <c r="E24"/>
  <c r="E23"/>
  <c r="E22"/>
  <c r="E21"/>
  <c r="E20"/>
  <c r="D18"/>
  <c r="E18" s="1"/>
  <c r="C18"/>
  <c r="E17"/>
  <c r="E16"/>
  <c r="E15"/>
  <c r="E14"/>
  <c r="D12"/>
  <c r="C12"/>
  <c r="E12" s="1"/>
  <c r="E11"/>
  <c r="D9"/>
  <c r="C9"/>
  <c r="E9" s="1"/>
  <c r="E8"/>
  <c r="E7"/>
  <c r="E6"/>
  <c r="E3"/>
  <c r="D82" l="1"/>
  <c r="D83" l="1"/>
  <c r="E82"/>
  <c r="E83" l="1"/>
  <c r="I56"/>
  <c r="O48" i="46" l="1"/>
  <c r="O47"/>
  <c r="O38"/>
  <c r="O32"/>
  <c r="O26"/>
  <c r="O9"/>
  <c r="F44" i="221"/>
  <c r="N65" i="44"/>
  <c r="N64" l="1"/>
  <c r="N54"/>
  <c r="N44"/>
  <c r="N38"/>
  <c r="N33"/>
  <c r="N24"/>
  <c r="N9"/>
  <c r="F44" i="189"/>
  <c r="F36"/>
  <c r="F30"/>
  <c r="F23"/>
  <c r="F9"/>
  <c r="F47" i="200"/>
  <c r="F46"/>
  <c r="F34"/>
  <c r="F29"/>
  <c r="F22"/>
  <c r="F9"/>
  <c r="O72" i="178"/>
  <c r="O71"/>
  <c r="O63"/>
  <c r="O49"/>
  <c r="O42"/>
  <c r="O36"/>
  <c r="O26"/>
  <c r="O9"/>
  <c r="Q44" i="170"/>
  <c r="Q43"/>
  <c r="Q36"/>
  <c r="Q31"/>
  <c r="Q23"/>
  <c r="Q9"/>
  <c r="Q52" i="41"/>
  <c r="Q46"/>
  <c r="Q39"/>
  <c r="Q33"/>
  <c r="Q26"/>
  <c r="Q8"/>
  <c r="Q46" i="40"/>
  <c r="Q45"/>
  <c r="Q38"/>
  <c r="Q33"/>
  <c r="Q25"/>
  <c r="Q8"/>
  <c r="Q42" i="169"/>
  <c r="Q41"/>
  <c r="Q33"/>
  <c r="Q28"/>
  <c r="Q23"/>
  <c r="Q9"/>
  <c r="R47" i="38"/>
  <c r="R41"/>
  <c r="R36"/>
  <c r="R29"/>
  <c r="R9"/>
  <c r="Q42" i="37"/>
  <c r="Q39"/>
  <c r="Q23"/>
  <c r="Q8"/>
  <c r="Q34"/>
  <c r="Q30"/>
  <c r="S63" i="210"/>
  <c r="S57"/>
  <c r="S48"/>
  <c r="S41"/>
  <c r="S33"/>
  <c r="S25"/>
  <c r="S6"/>
  <c r="Q71" i="176"/>
  <c r="Q62"/>
  <c r="Q54"/>
  <c r="Q49"/>
  <c r="Q38"/>
  <c r="Q11"/>
  <c r="Q45" i="35"/>
  <c r="Q37"/>
  <c r="Q32"/>
  <c r="Q26"/>
  <c r="Q8"/>
  <c r="Q7" i="168"/>
  <c r="Q47" s="1"/>
  <c r="Q46"/>
  <c r="Q36"/>
  <c r="Q31"/>
  <c r="Q21"/>
  <c r="Q44" i="165"/>
  <c r="Q41"/>
  <c r="Q35"/>
  <c r="Q31"/>
  <c r="Q24"/>
  <c r="Q10"/>
  <c r="Q49" i="162"/>
  <c r="Q41"/>
  <c r="Q37"/>
  <c r="Q29"/>
  <c r="Q11"/>
  <c r="O45" i="163"/>
  <c r="O44"/>
  <c r="O37"/>
  <c r="O33"/>
  <c r="O24"/>
  <c r="O9"/>
  <c r="P43" i="51"/>
  <c r="P35"/>
  <c r="P31"/>
  <c r="P24"/>
  <c r="P8"/>
  <c r="M42" i="92"/>
  <c r="M34"/>
  <c r="M30"/>
  <c r="M22"/>
  <c r="M9"/>
  <c r="Q49" i="183"/>
  <c r="Q45"/>
  <c r="Q38"/>
  <c r="Q33"/>
  <c r="Q26"/>
  <c r="Q9"/>
  <c r="R35" i="114"/>
  <c r="R29"/>
  <c r="R24"/>
  <c r="R19"/>
  <c r="R10"/>
  <c r="Q43" i="116"/>
  <c r="Q42"/>
  <c r="Q38"/>
  <c r="Q33"/>
  <c r="Q26"/>
  <c r="Q11"/>
  <c r="P49" i="175"/>
  <c r="P46"/>
  <c r="P39"/>
  <c r="P34"/>
  <c r="P28"/>
  <c r="P13"/>
  <c r="Q49" i="28"/>
  <c r="Q46"/>
  <c r="Q40"/>
  <c r="Q36"/>
  <c r="Q26"/>
  <c r="Q11"/>
  <c r="Q47" i="25"/>
  <c r="Q44"/>
  <c r="Q37"/>
  <c r="Q33"/>
  <c r="Q27"/>
  <c r="Q13"/>
  <c r="Q48" s="1"/>
  <c r="Q53" i="24"/>
  <c r="Q52"/>
  <c r="Q49"/>
  <c r="Q42"/>
  <c r="Q37"/>
  <c r="Q31"/>
  <c r="Q10"/>
  <c r="S38" i="213"/>
  <c r="S19"/>
  <c r="S8"/>
  <c r="Q46" i="212"/>
  <c r="Q42"/>
  <c r="Q35"/>
  <c r="Q30"/>
  <c r="Q21"/>
  <c r="Q6"/>
  <c r="G44" i="185"/>
  <c r="G35"/>
  <c r="G31"/>
  <c r="G23"/>
  <c r="G7"/>
  <c r="Q52" i="100"/>
  <c r="Q51"/>
  <c r="Q48"/>
  <c r="Q40"/>
  <c r="Q35"/>
  <c r="Q25"/>
  <c r="Q11"/>
  <c r="O54" i="59"/>
  <c r="O50"/>
  <c r="O43"/>
  <c r="O39"/>
  <c r="O31"/>
  <c r="O12"/>
  <c r="Q52" i="21"/>
  <c r="Q51"/>
  <c r="Q48"/>
  <c r="Q41"/>
  <c r="Q36"/>
  <c r="Q28"/>
  <c r="Q11"/>
  <c r="P53" i="19"/>
  <c r="P52"/>
  <c r="P49"/>
  <c r="P39"/>
  <c r="P34"/>
  <c r="P26"/>
  <c r="P13"/>
  <c r="P48" i="18"/>
  <c r="P41"/>
  <c r="P36"/>
  <c r="P28"/>
  <c r="P11"/>
  <c r="P49" i="16"/>
  <c r="P48"/>
  <c r="P40"/>
  <c r="P35"/>
  <c r="P27"/>
  <c r="P10"/>
  <c r="P54" i="17"/>
  <c r="P43"/>
  <c r="P38"/>
  <c r="P31"/>
  <c r="P13"/>
  <c r="Q51" i="83"/>
  <c r="Q47"/>
  <c r="Q42"/>
  <c r="Q37"/>
  <c r="Q30"/>
  <c r="Q12"/>
  <c r="M42" i="91"/>
  <c r="M34"/>
  <c r="M29"/>
  <c r="M23"/>
  <c r="M10"/>
  <c r="R10" i="162"/>
  <c r="P11"/>
  <c r="R6"/>
  <c r="Q43" i="37" l="1"/>
  <c r="T56" i="210" l="1"/>
  <c r="R48" l="1"/>
  <c r="T47"/>
  <c r="T46"/>
  <c r="I16" i="214"/>
  <c r="Q27" i="171"/>
  <c r="M64" i="44"/>
  <c r="O63"/>
  <c r="Q42" i="63" l="1"/>
  <c r="Q8"/>
  <c r="M36"/>
  <c r="L36"/>
  <c r="D36"/>
  <c r="Q35"/>
  <c r="Q36" s="1"/>
  <c r="G51" i="214" s="1"/>
  <c r="P35" i="63"/>
  <c r="P36" s="1"/>
  <c r="O35"/>
  <c r="O36" s="1"/>
  <c r="N35"/>
  <c r="K35"/>
  <c r="K36" s="1"/>
  <c r="J35"/>
  <c r="J36" s="1"/>
  <c r="I35"/>
  <c r="I36" s="1"/>
  <c r="G35"/>
  <c r="C35"/>
  <c r="C36" s="1"/>
  <c r="R34"/>
  <c r="N34"/>
  <c r="H34"/>
  <c r="R33"/>
  <c r="H33"/>
  <c r="H39"/>
  <c r="R39"/>
  <c r="N36" l="1"/>
  <c r="R35"/>
  <c r="G36"/>
  <c r="R36"/>
  <c r="Q26" i="171"/>
  <c r="P70" i="178"/>
  <c r="T36" i="210" l="1"/>
  <c r="F24" i="216" l="1"/>
  <c r="Q56" i="162" l="1"/>
  <c r="R24"/>
  <c r="R23"/>
  <c r="R27"/>
  <c r="P29"/>
  <c r="R28"/>
  <c r="Q23" i="184" l="1"/>
  <c r="Q10" i="17"/>
  <c r="R9" i="83"/>
  <c r="F23" i="221"/>
  <c r="E43" i="214" s="1"/>
  <c r="G6" i="221"/>
  <c r="G7"/>
  <c r="G8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1"/>
  <c r="G32"/>
  <c r="G33"/>
  <c r="G34"/>
  <c r="G35"/>
  <c r="G37"/>
  <c r="G38"/>
  <c r="G39"/>
  <c r="G40"/>
  <c r="G41"/>
  <c r="G42"/>
  <c r="G5"/>
  <c r="F43"/>
  <c r="G43" s="1"/>
  <c r="D43"/>
  <c r="F36"/>
  <c r="G43" i="214" s="1"/>
  <c r="D36" i="221"/>
  <c r="F30"/>
  <c r="F43" i="214" s="1"/>
  <c r="D30" i="221"/>
  <c r="D23"/>
  <c r="F9"/>
  <c r="G9" s="1"/>
  <c r="D9"/>
  <c r="G23" l="1"/>
  <c r="D44"/>
  <c r="G36"/>
  <c r="G30"/>
  <c r="D43" i="214"/>
  <c r="H43"/>
  <c r="L43" l="1"/>
  <c r="G44" i="221"/>
  <c r="P45" i="181"/>
  <c r="Q45" s="1"/>
  <c r="R63" i="210"/>
  <c r="T60"/>
  <c r="T61"/>
  <c r="T62"/>
  <c r="K32" i="214"/>
  <c r="K61" s="1"/>
  <c r="C13" i="197" s="1"/>
  <c r="O22" i="44"/>
  <c r="O26"/>
  <c r="E20" i="214"/>
  <c r="T25" i="116"/>
  <c r="T63" i="210" l="1"/>
  <c r="R47" i="28"/>
  <c r="R48"/>
  <c r="O13" i="174"/>
  <c r="R49" i="28" l="1"/>
  <c r="I18" i="214"/>
  <c r="P17" i="178"/>
  <c r="Q25" i="53" l="1"/>
  <c r="T55" i="210"/>
  <c r="R15" i="212"/>
  <c r="J32" i="214" l="1"/>
  <c r="J39"/>
  <c r="P69" i="178"/>
  <c r="P25"/>
  <c r="F47" i="216" l="1"/>
  <c r="F48"/>
  <c r="E49"/>
  <c r="I60" i="214" s="1"/>
  <c r="R41" i="208"/>
  <c r="H59" i="214" s="1"/>
  <c r="S16" i="208"/>
  <c r="Q25" i="184"/>
  <c r="O20" i="126"/>
  <c r="O17"/>
  <c r="P27" i="75"/>
  <c r="Q27"/>
  <c r="G53" i="214" s="1"/>
  <c r="O27" i="75"/>
  <c r="L27"/>
  <c r="R26"/>
  <c r="N26"/>
  <c r="R25"/>
  <c r="N25"/>
  <c r="N27" s="1"/>
  <c r="M25"/>
  <c r="M27" s="1"/>
  <c r="R24"/>
  <c r="R40" i="63"/>
  <c r="R41"/>
  <c r="N41"/>
  <c r="O43" i="174"/>
  <c r="O44"/>
  <c r="N45"/>
  <c r="O15"/>
  <c r="Q22" i="171"/>
  <c r="P67" i="178"/>
  <c r="P68"/>
  <c r="F49" i="216" l="1"/>
  <c r="O45" i="174"/>
  <c r="J49" i="214"/>
  <c r="R27" i="75"/>
  <c r="T54" i="210" l="1"/>
  <c r="R24" i="40" l="1"/>
  <c r="T31" i="210" l="1"/>
  <c r="D32" i="214"/>
  <c r="R24" i="63"/>
  <c r="R25"/>
  <c r="P23" i="163"/>
  <c r="E26" i="214"/>
  <c r="S36" i="31"/>
  <c r="S17" i="114"/>
  <c r="S18"/>
  <c r="T24" i="116"/>
  <c r="Q47" i="175"/>
  <c r="Q48"/>
  <c r="H19" i="214"/>
  <c r="H17"/>
  <c r="E15"/>
  <c r="H21" i="185"/>
  <c r="E13" i="214"/>
  <c r="H10"/>
  <c r="Q47" i="19"/>
  <c r="Q48"/>
  <c r="I12" i="214" l="1"/>
  <c r="Q49" i="175"/>
  <c r="I19" i="214"/>
  <c r="Q49" i="19"/>
  <c r="I9" i="214"/>
  <c r="R57" i="210"/>
  <c r="R41"/>
  <c r="R33"/>
  <c r="R25"/>
  <c r="R6"/>
  <c r="R64" l="1"/>
  <c r="N61" i="181"/>
  <c r="M61"/>
  <c r="L61"/>
  <c r="J26"/>
  <c r="I26"/>
  <c r="H26"/>
  <c r="F26"/>
  <c r="E26"/>
  <c r="D26"/>
  <c r="R8" i="208" l="1"/>
  <c r="D59" i="214" s="1"/>
  <c r="G25"/>
  <c r="O35" i="51"/>
  <c r="Q35" s="1"/>
  <c r="N35"/>
  <c r="L35"/>
  <c r="K35"/>
  <c r="Q34"/>
  <c r="Q33"/>
  <c r="M33"/>
  <c r="M35" s="1"/>
  <c r="Q32"/>
  <c r="T44" i="210"/>
  <c r="T43"/>
  <c r="S37" i="213"/>
  <c r="T37" s="1"/>
  <c r="T5"/>
  <c r="T6"/>
  <c r="T7"/>
  <c r="T9"/>
  <c r="T10"/>
  <c r="T11"/>
  <c r="T12"/>
  <c r="T13"/>
  <c r="T14"/>
  <c r="T15"/>
  <c r="T16"/>
  <c r="T17"/>
  <c r="T18"/>
  <c r="T20"/>
  <c r="T21"/>
  <c r="T22"/>
  <c r="T23"/>
  <c r="T24"/>
  <c r="T26"/>
  <c r="T27"/>
  <c r="T28"/>
  <c r="T30"/>
  <c r="T31"/>
  <c r="T32"/>
  <c r="T33"/>
  <c r="T34"/>
  <c r="T35"/>
  <c r="T36"/>
  <c r="T4"/>
  <c r="R21" i="208"/>
  <c r="E59" i="214" s="1"/>
  <c r="H35"/>
  <c r="P41" i="169"/>
  <c r="R36"/>
  <c r="I32" i="214" l="1"/>
  <c r="E24"/>
  <c r="L22" i="92"/>
  <c r="N21"/>
  <c r="I21"/>
  <c r="O52" i="19" l="1"/>
  <c r="M19" i="1" l="1"/>
  <c r="M20"/>
  <c r="M18"/>
  <c r="L21"/>
  <c r="D3" i="214" s="1"/>
  <c r="L3" s="1"/>
  <c r="M5" i="1"/>
  <c r="M6"/>
  <c r="M4"/>
  <c r="L7"/>
  <c r="D2" i="214" s="1"/>
  <c r="L2" s="1"/>
  <c r="F6" i="216"/>
  <c r="F7"/>
  <c r="F8"/>
  <c r="F10"/>
  <c r="F11"/>
  <c r="F12"/>
  <c r="F13"/>
  <c r="F14"/>
  <c r="F15"/>
  <c r="F16"/>
  <c r="F17"/>
  <c r="F18"/>
  <c r="F19"/>
  <c r="F21"/>
  <c r="F22"/>
  <c r="F23"/>
  <c r="F25"/>
  <c r="F27"/>
  <c r="F28"/>
  <c r="F29"/>
  <c r="F30"/>
  <c r="F32"/>
  <c r="F34"/>
  <c r="F35"/>
  <c r="F36"/>
  <c r="F37"/>
  <c r="F38"/>
  <c r="F39"/>
  <c r="F42"/>
  <c r="F43"/>
  <c r="F44"/>
  <c r="F45"/>
  <c r="F5"/>
  <c r="E46"/>
  <c r="E40"/>
  <c r="E31"/>
  <c r="E33" s="1"/>
  <c r="F60" i="214" s="1"/>
  <c r="E20" i="216"/>
  <c r="E9"/>
  <c r="D60" i="214" s="1"/>
  <c r="S5" i="208"/>
  <c r="S6"/>
  <c r="S7"/>
  <c r="S9"/>
  <c r="S10"/>
  <c r="S11"/>
  <c r="S12"/>
  <c r="S13"/>
  <c r="S14"/>
  <c r="S15"/>
  <c r="S17"/>
  <c r="S18"/>
  <c r="S19"/>
  <c r="S20"/>
  <c r="S22"/>
  <c r="S23"/>
  <c r="S24"/>
  <c r="S25"/>
  <c r="S26"/>
  <c r="S28"/>
  <c r="S29"/>
  <c r="S30"/>
  <c r="S31"/>
  <c r="S33"/>
  <c r="S34"/>
  <c r="S35"/>
  <c r="S36"/>
  <c r="S37"/>
  <c r="S38"/>
  <c r="S39"/>
  <c r="S42"/>
  <c r="S43"/>
  <c r="S4"/>
  <c r="R44"/>
  <c r="R32"/>
  <c r="G59" i="214" s="1"/>
  <c r="R27" i="208"/>
  <c r="F59" i="214" s="1"/>
  <c r="G5" i="198"/>
  <c r="G6"/>
  <c r="G8"/>
  <c r="G9"/>
  <c r="G10"/>
  <c r="G11"/>
  <c r="G12"/>
  <c r="G14"/>
  <c r="G15"/>
  <c r="G16"/>
  <c r="G20"/>
  <c r="G21"/>
  <c r="G22"/>
  <c r="G24"/>
  <c r="G25"/>
  <c r="G26"/>
  <c r="G27"/>
  <c r="G28"/>
  <c r="G29"/>
  <c r="G30"/>
  <c r="G31"/>
  <c r="G32"/>
  <c r="G34"/>
  <c r="G35"/>
  <c r="G36"/>
  <c r="G37"/>
  <c r="G39"/>
  <c r="G40"/>
  <c r="G41"/>
  <c r="G42"/>
  <c r="G4"/>
  <c r="F38"/>
  <c r="G58" i="214" s="1"/>
  <c r="F33" i="198"/>
  <c r="F58" i="214" s="1"/>
  <c r="F7" i="198"/>
  <c r="D58" i="214" s="1"/>
  <c r="G41" i="182"/>
  <c r="F47"/>
  <c r="I57" i="214" s="1"/>
  <c r="F44" i="182"/>
  <c r="F7"/>
  <c r="D57" i="214" s="1"/>
  <c r="G5" i="182"/>
  <c r="G6"/>
  <c r="G8"/>
  <c r="G9"/>
  <c r="G10"/>
  <c r="G11"/>
  <c r="G12"/>
  <c r="G14"/>
  <c r="G15"/>
  <c r="G16"/>
  <c r="G17"/>
  <c r="G19"/>
  <c r="G21"/>
  <c r="G22"/>
  <c r="G23"/>
  <c r="G24"/>
  <c r="G26"/>
  <c r="G27"/>
  <c r="G28"/>
  <c r="G29"/>
  <c r="G31"/>
  <c r="G33"/>
  <c r="G34"/>
  <c r="G38"/>
  <c r="G39"/>
  <c r="G40"/>
  <c r="G42"/>
  <c r="G43"/>
  <c r="G45"/>
  <c r="G46"/>
  <c r="G4"/>
  <c r="Q6" i="184"/>
  <c r="Q7"/>
  <c r="Q8"/>
  <c r="Q9"/>
  <c r="Q11"/>
  <c r="Q12"/>
  <c r="Q14"/>
  <c r="Q17"/>
  <c r="Q18"/>
  <c r="Q19"/>
  <c r="Q20"/>
  <c r="Q22"/>
  <c r="Q24"/>
  <c r="Q27"/>
  <c r="Q28"/>
  <c r="Q30"/>
  <c r="Q32"/>
  <c r="Q35"/>
  <c r="Q37"/>
  <c r="Q40"/>
  <c r="Q41"/>
  <c r="Q42"/>
  <c r="Q43"/>
  <c r="Q44"/>
  <c r="Q45"/>
  <c r="Q46"/>
  <c r="Q48"/>
  <c r="Q49"/>
  <c r="Q51"/>
  <c r="Q52"/>
  <c r="Q5"/>
  <c r="P53"/>
  <c r="P50"/>
  <c r="P47"/>
  <c r="P10"/>
  <c r="D56" i="214" s="1"/>
  <c r="O6" i="126"/>
  <c r="O7"/>
  <c r="O8"/>
  <c r="O10"/>
  <c r="O11"/>
  <c r="O12"/>
  <c r="O13"/>
  <c r="O14"/>
  <c r="O16"/>
  <c r="O19"/>
  <c r="O21"/>
  <c r="O22"/>
  <c r="O23"/>
  <c r="O25"/>
  <c r="O26"/>
  <c r="O28"/>
  <c r="O29"/>
  <c r="O30"/>
  <c r="O32"/>
  <c r="O33"/>
  <c r="O34"/>
  <c r="O35"/>
  <c r="O37"/>
  <c r="O38"/>
  <c r="O39"/>
  <c r="O40"/>
  <c r="O41"/>
  <c r="O42"/>
  <c r="O5"/>
  <c r="N43"/>
  <c r="N36"/>
  <c r="G55" i="214" s="1"/>
  <c r="N27" i="126"/>
  <c r="N31" s="1"/>
  <c r="F55" i="214" s="1"/>
  <c r="N18" i="126"/>
  <c r="N15"/>
  <c r="N9"/>
  <c r="D55" i="214" s="1"/>
  <c r="H6" i="125"/>
  <c r="H7"/>
  <c r="H9"/>
  <c r="H10"/>
  <c r="H11"/>
  <c r="H12"/>
  <c r="H13"/>
  <c r="H16"/>
  <c r="H18"/>
  <c r="H19"/>
  <c r="H20"/>
  <c r="H21"/>
  <c r="H22"/>
  <c r="H23"/>
  <c r="H25"/>
  <c r="H26"/>
  <c r="H27"/>
  <c r="H29"/>
  <c r="H30"/>
  <c r="H31"/>
  <c r="H33"/>
  <c r="H35"/>
  <c r="H36"/>
  <c r="H38"/>
  <c r="H39"/>
  <c r="H40"/>
  <c r="H41"/>
  <c r="H42"/>
  <c r="H43"/>
  <c r="H5"/>
  <c r="G44"/>
  <c r="H54" i="214" s="1"/>
  <c r="G37" i="125"/>
  <c r="G54" i="214" s="1"/>
  <c r="G28" i="125"/>
  <c r="G32" s="1"/>
  <c r="F54" i="214" s="1"/>
  <c r="G15" i="125"/>
  <c r="G14"/>
  <c r="G8"/>
  <c r="D54" i="214" s="1"/>
  <c r="R4" i="75"/>
  <c r="R5"/>
  <c r="R8"/>
  <c r="R9"/>
  <c r="R11"/>
  <c r="R12"/>
  <c r="R13"/>
  <c r="R14"/>
  <c r="R15"/>
  <c r="R16"/>
  <c r="R18"/>
  <c r="R19"/>
  <c r="R20"/>
  <c r="R21"/>
  <c r="R28"/>
  <c r="R29"/>
  <c r="R30"/>
  <c r="R31"/>
  <c r="R32"/>
  <c r="R33"/>
  <c r="R3"/>
  <c r="Q34"/>
  <c r="Q22"/>
  <c r="Q23" s="1"/>
  <c r="F53" i="214" s="1"/>
  <c r="Q10" i="75"/>
  <c r="Q6" i="23"/>
  <c r="Q7"/>
  <c r="Q9"/>
  <c r="Q10"/>
  <c r="Q13"/>
  <c r="Q16"/>
  <c r="Q17"/>
  <c r="Q18"/>
  <c r="Q20"/>
  <c r="Q21"/>
  <c r="Q22"/>
  <c r="Q24"/>
  <c r="Q25"/>
  <c r="Q27"/>
  <c r="Q28"/>
  <c r="Q29"/>
  <c r="Q32"/>
  <c r="Q33"/>
  <c r="Q34"/>
  <c r="Q35"/>
  <c r="Q36"/>
  <c r="Q37"/>
  <c r="Q5"/>
  <c r="P38"/>
  <c r="H52" i="214" s="1"/>
  <c r="P30" i="23"/>
  <c r="P31" s="1"/>
  <c r="G52" i="214" s="1"/>
  <c r="P23" i="23"/>
  <c r="P26" s="1"/>
  <c r="F52" i="214" s="1"/>
  <c r="P14" i="23"/>
  <c r="P12"/>
  <c r="P11"/>
  <c r="P8"/>
  <c r="D52" i="214" s="1"/>
  <c r="R6" i="63"/>
  <c r="R7"/>
  <c r="R9"/>
  <c r="R10"/>
  <c r="R12"/>
  <c r="R13"/>
  <c r="R14"/>
  <c r="R15"/>
  <c r="R16"/>
  <c r="R20"/>
  <c r="R21"/>
  <c r="R23"/>
  <c r="R27"/>
  <c r="R28"/>
  <c r="R29"/>
  <c r="R30"/>
  <c r="R37"/>
  <c r="R38"/>
  <c r="R5"/>
  <c r="H51" i="214"/>
  <c r="Q31" i="63"/>
  <c r="Q19"/>
  <c r="Q11"/>
  <c r="D51" i="214"/>
  <c r="Q6" i="177"/>
  <c r="Q7"/>
  <c r="Q8"/>
  <c r="Q10"/>
  <c r="Q11"/>
  <c r="Q12"/>
  <c r="Q14"/>
  <c r="Q15"/>
  <c r="Q16"/>
  <c r="Q18"/>
  <c r="Q19"/>
  <c r="Q20"/>
  <c r="Q21"/>
  <c r="Q22"/>
  <c r="Q23"/>
  <c r="Q24"/>
  <c r="Q26"/>
  <c r="Q28"/>
  <c r="Q31"/>
  <c r="Q33"/>
  <c r="Q34"/>
  <c r="Q35"/>
  <c r="Q37"/>
  <c r="Q38"/>
  <c r="Q39"/>
  <c r="Q40"/>
  <c r="Q41"/>
  <c r="Q42"/>
  <c r="Q43"/>
  <c r="Q45"/>
  <c r="Q46"/>
  <c r="Q5"/>
  <c r="P47"/>
  <c r="I50" i="214" s="1"/>
  <c r="P44" i="177"/>
  <c r="H50" i="214" s="1"/>
  <c r="P36" i="177"/>
  <c r="G50" i="214" s="1"/>
  <c r="P17" i="177"/>
  <c r="P9"/>
  <c r="D50" i="214" s="1"/>
  <c r="O6" i="174"/>
  <c r="O7"/>
  <c r="O9"/>
  <c r="O10"/>
  <c r="O11"/>
  <c r="O14"/>
  <c r="O17"/>
  <c r="O18"/>
  <c r="O19"/>
  <c r="O21"/>
  <c r="O22"/>
  <c r="O25"/>
  <c r="O26"/>
  <c r="O28"/>
  <c r="O29"/>
  <c r="O33"/>
  <c r="O34"/>
  <c r="O36"/>
  <c r="O37"/>
  <c r="O38"/>
  <c r="O40"/>
  <c r="O41"/>
  <c r="O5"/>
  <c r="N42"/>
  <c r="I49" i="214" s="1"/>
  <c r="N31" i="174"/>
  <c r="N30"/>
  <c r="N24"/>
  <c r="N16"/>
  <c r="N8"/>
  <c r="D49" i="214" s="1"/>
  <c r="Q6" i="172"/>
  <c r="Q7"/>
  <c r="Q8"/>
  <c r="Q10"/>
  <c r="Q11"/>
  <c r="Q13"/>
  <c r="Q14"/>
  <c r="Q15"/>
  <c r="Q16"/>
  <c r="Q17"/>
  <c r="Q18"/>
  <c r="Q21"/>
  <c r="Q22"/>
  <c r="Q23"/>
  <c r="Q24"/>
  <c r="Q26"/>
  <c r="Q27"/>
  <c r="Q28"/>
  <c r="Q29"/>
  <c r="Q30"/>
  <c r="Q31"/>
  <c r="Q33"/>
  <c r="Q34"/>
  <c r="Q35"/>
  <c r="Q36"/>
  <c r="Q38"/>
  <c r="Q39"/>
  <c r="Q40"/>
  <c r="Q41"/>
  <c r="Q42"/>
  <c r="Q43"/>
  <c r="Q5"/>
  <c r="P44"/>
  <c r="H48" i="214" s="1"/>
  <c r="P37" i="172"/>
  <c r="G48" i="214" s="1"/>
  <c r="P32" i="172"/>
  <c r="F48" i="214" s="1"/>
  <c r="P19" i="172"/>
  <c r="P12"/>
  <c r="P9"/>
  <c r="D48" i="214" s="1"/>
  <c r="Q5" i="51"/>
  <c r="Q6"/>
  <c r="Q10"/>
  <c r="Q11"/>
  <c r="Q12"/>
  <c r="Q13"/>
  <c r="Q14"/>
  <c r="Q15"/>
  <c r="Q16"/>
  <c r="Q17"/>
  <c r="Q18"/>
  <c r="Q20"/>
  <c r="Q21"/>
  <c r="Q22"/>
  <c r="Q23"/>
  <c r="Q25"/>
  <c r="Q26"/>
  <c r="Q27"/>
  <c r="Q29"/>
  <c r="Q30"/>
  <c r="Q36"/>
  <c r="Q37"/>
  <c r="Q38"/>
  <c r="Q39"/>
  <c r="Q40"/>
  <c r="Q41"/>
  <c r="Q4"/>
  <c r="P42"/>
  <c r="Q6" i="53"/>
  <c r="Q7"/>
  <c r="Q8"/>
  <c r="Q9"/>
  <c r="Q10"/>
  <c r="Q12"/>
  <c r="Q13"/>
  <c r="Q14"/>
  <c r="Q15"/>
  <c r="Q16"/>
  <c r="Q17"/>
  <c r="Q18"/>
  <c r="Q19"/>
  <c r="Q23"/>
  <c r="Q24"/>
  <c r="Q26"/>
  <c r="Q28"/>
  <c r="Q29"/>
  <c r="Q30"/>
  <c r="Q31"/>
  <c r="Q33"/>
  <c r="Q34"/>
  <c r="Q35"/>
  <c r="Q37"/>
  <c r="Q38"/>
  <c r="Q39"/>
  <c r="Q40"/>
  <c r="Q43"/>
  <c r="Q44"/>
  <c r="Q45"/>
  <c r="Q47"/>
  <c r="Q48"/>
  <c r="Q5"/>
  <c r="P41"/>
  <c r="P42" s="1"/>
  <c r="G47" i="214" s="1"/>
  <c r="P32" i="53"/>
  <c r="P22"/>
  <c r="P21"/>
  <c r="P11"/>
  <c r="D47" i="214" s="1"/>
  <c r="Q6" i="171"/>
  <c r="Q7"/>
  <c r="Q8"/>
  <c r="Q9"/>
  <c r="Q10"/>
  <c r="Q12"/>
  <c r="Q13"/>
  <c r="Q15"/>
  <c r="Q16"/>
  <c r="Q18"/>
  <c r="Q21"/>
  <c r="Q23"/>
  <c r="Q24"/>
  <c r="Q25"/>
  <c r="Q29"/>
  <c r="Q30"/>
  <c r="Q31"/>
  <c r="Q32"/>
  <c r="Q33"/>
  <c r="Q36"/>
  <c r="Q37"/>
  <c r="Q38"/>
  <c r="Q42"/>
  <c r="Q43"/>
  <c r="Q44"/>
  <c r="Q45"/>
  <c r="Q46"/>
  <c r="Q48"/>
  <c r="Q49"/>
  <c r="Q51"/>
  <c r="Q52"/>
  <c r="Q53"/>
  <c r="Q54"/>
  <c r="Q5"/>
  <c r="P55"/>
  <c r="P50"/>
  <c r="J46" i="214" s="1"/>
  <c r="P47" i="171"/>
  <c r="H46" i="214" s="1"/>
  <c r="P40" i="171"/>
  <c r="P39"/>
  <c r="P34"/>
  <c r="P35" s="1"/>
  <c r="F46" i="214" s="1"/>
  <c r="P20" i="171"/>
  <c r="P14"/>
  <c r="P11"/>
  <c r="D46" i="214" s="1"/>
  <c r="Q6" i="180"/>
  <c r="Q7"/>
  <c r="Q8"/>
  <c r="Q10"/>
  <c r="Q11"/>
  <c r="Q12"/>
  <c r="Q13"/>
  <c r="Q14"/>
  <c r="Q15"/>
  <c r="Q17"/>
  <c r="Q18"/>
  <c r="Q19"/>
  <c r="Q21"/>
  <c r="Q22"/>
  <c r="Q23"/>
  <c r="Q24"/>
  <c r="Q27"/>
  <c r="Q28"/>
  <c r="Q29"/>
  <c r="Q32"/>
  <c r="Q33"/>
  <c r="Q34"/>
  <c r="Q35"/>
  <c r="Q36"/>
  <c r="Q37"/>
  <c r="Q39"/>
  <c r="Q40"/>
  <c r="Q5"/>
  <c r="P41"/>
  <c r="I45" i="214" s="1"/>
  <c r="P38" i="180"/>
  <c r="H45" i="214" s="1"/>
  <c r="P30" i="180"/>
  <c r="P25"/>
  <c r="P9"/>
  <c r="D45" i="214" s="1"/>
  <c r="P6" i="46"/>
  <c r="P7"/>
  <c r="P8"/>
  <c r="P10"/>
  <c r="P11"/>
  <c r="P12"/>
  <c r="P13"/>
  <c r="P14"/>
  <c r="P17"/>
  <c r="P20"/>
  <c r="P21"/>
  <c r="P22"/>
  <c r="P23"/>
  <c r="P24"/>
  <c r="P25"/>
  <c r="P27"/>
  <c r="P28"/>
  <c r="P29"/>
  <c r="P33"/>
  <c r="P35"/>
  <c r="P39"/>
  <c r="P40"/>
  <c r="P41"/>
  <c r="P42"/>
  <c r="P44"/>
  <c r="P45"/>
  <c r="P46"/>
  <c r="P5"/>
  <c r="I44" i="214"/>
  <c r="O43" i="46"/>
  <c r="O37"/>
  <c r="O36"/>
  <c r="O31"/>
  <c r="O30"/>
  <c r="O19"/>
  <c r="O16"/>
  <c r="O15"/>
  <c r="D44" i="214"/>
  <c r="O6" i="44"/>
  <c r="O7"/>
  <c r="O8"/>
  <c r="O10"/>
  <c r="O11"/>
  <c r="O13"/>
  <c r="O14"/>
  <c r="O15"/>
  <c r="O18"/>
  <c r="O19"/>
  <c r="O20"/>
  <c r="O21"/>
  <c r="O23"/>
  <c r="O25"/>
  <c r="O27"/>
  <c r="O28"/>
  <c r="O31"/>
  <c r="O32"/>
  <c r="O34"/>
  <c r="O35"/>
  <c r="O37"/>
  <c r="O39"/>
  <c r="O40"/>
  <c r="O41"/>
  <c r="O42"/>
  <c r="O43"/>
  <c r="O45"/>
  <c r="O46"/>
  <c r="O47"/>
  <c r="O48"/>
  <c r="O49"/>
  <c r="O50"/>
  <c r="O51"/>
  <c r="O52"/>
  <c r="O53"/>
  <c r="O55"/>
  <c r="O56"/>
  <c r="O57"/>
  <c r="O58"/>
  <c r="O59"/>
  <c r="O60"/>
  <c r="O61"/>
  <c r="O62"/>
  <c r="O5"/>
  <c r="I42" i="214"/>
  <c r="J42"/>
  <c r="H42"/>
  <c r="N36" i="44"/>
  <c r="N29"/>
  <c r="F42" i="214" s="1"/>
  <c r="N17" i="44"/>
  <c r="N12"/>
  <c r="D42" i="214"/>
  <c r="G6" i="189"/>
  <c r="G7"/>
  <c r="G8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1"/>
  <c r="G32"/>
  <c r="G33"/>
  <c r="G34"/>
  <c r="G35"/>
  <c r="G37"/>
  <c r="G38"/>
  <c r="G39"/>
  <c r="G40"/>
  <c r="G41"/>
  <c r="G42"/>
  <c r="G5"/>
  <c r="F43"/>
  <c r="G41" i="214"/>
  <c r="F41"/>
  <c r="E41"/>
  <c r="D41"/>
  <c r="G6" i="200"/>
  <c r="G7"/>
  <c r="G8"/>
  <c r="G10"/>
  <c r="G11"/>
  <c r="G12"/>
  <c r="G13"/>
  <c r="G14"/>
  <c r="G15"/>
  <c r="G16"/>
  <c r="G17"/>
  <c r="G18"/>
  <c r="G19"/>
  <c r="G20"/>
  <c r="G21"/>
  <c r="G23"/>
  <c r="G24"/>
  <c r="G25"/>
  <c r="G26"/>
  <c r="G27"/>
  <c r="G28"/>
  <c r="G30"/>
  <c r="G32"/>
  <c r="G33"/>
  <c r="G35"/>
  <c r="G36"/>
  <c r="G37"/>
  <c r="G38"/>
  <c r="G39"/>
  <c r="G40"/>
  <c r="G42"/>
  <c r="G43"/>
  <c r="G44"/>
  <c r="G45"/>
  <c r="G5"/>
  <c r="J40" i="214"/>
  <c r="F41" i="200"/>
  <c r="F40" i="214"/>
  <c r="E40"/>
  <c r="D40"/>
  <c r="P6" i="178"/>
  <c r="P7"/>
  <c r="P10"/>
  <c r="P11"/>
  <c r="P13"/>
  <c r="P14"/>
  <c r="P15"/>
  <c r="P18"/>
  <c r="P19"/>
  <c r="P21"/>
  <c r="P22"/>
  <c r="P24"/>
  <c r="P27"/>
  <c r="P28"/>
  <c r="P29"/>
  <c r="P31"/>
  <c r="P32"/>
  <c r="P33"/>
  <c r="P34"/>
  <c r="P35"/>
  <c r="P37"/>
  <c r="P38"/>
  <c r="P39"/>
  <c r="P43"/>
  <c r="P44"/>
  <c r="P45"/>
  <c r="P46"/>
  <c r="P47"/>
  <c r="P48"/>
  <c r="P50"/>
  <c r="P51"/>
  <c r="P52"/>
  <c r="P53"/>
  <c r="P54"/>
  <c r="P55"/>
  <c r="P56"/>
  <c r="P57"/>
  <c r="P58"/>
  <c r="P59"/>
  <c r="P60"/>
  <c r="P61"/>
  <c r="P62"/>
  <c r="P64"/>
  <c r="P65"/>
  <c r="P66"/>
  <c r="P5"/>
  <c r="I39" i="214"/>
  <c r="H39"/>
  <c r="O30" i="178"/>
  <c r="F39" i="214" s="1"/>
  <c r="O23" i="178"/>
  <c r="O12"/>
  <c r="R6" i="170"/>
  <c r="R7"/>
  <c r="R8"/>
  <c r="R10"/>
  <c r="R11"/>
  <c r="R12"/>
  <c r="R13"/>
  <c r="R14"/>
  <c r="R15"/>
  <c r="R16"/>
  <c r="R17"/>
  <c r="R18"/>
  <c r="R19"/>
  <c r="R20"/>
  <c r="R21"/>
  <c r="R22"/>
  <c r="R24"/>
  <c r="R25"/>
  <c r="R26"/>
  <c r="R27"/>
  <c r="R29"/>
  <c r="R30"/>
  <c r="R32"/>
  <c r="R33"/>
  <c r="R34"/>
  <c r="R35"/>
  <c r="R37"/>
  <c r="R38"/>
  <c r="R39"/>
  <c r="R40"/>
  <c r="R42"/>
  <c r="R5"/>
  <c r="G38" i="214"/>
  <c r="Q28" i="170"/>
  <c r="F38" i="214" s="1"/>
  <c r="E38"/>
  <c r="D38"/>
  <c r="R5" i="41"/>
  <c r="R6"/>
  <c r="R7"/>
  <c r="R9"/>
  <c r="R10"/>
  <c r="R11"/>
  <c r="R12"/>
  <c r="R13"/>
  <c r="R14"/>
  <c r="R16"/>
  <c r="R17"/>
  <c r="R18"/>
  <c r="R20"/>
  <c r="R21"/>
  <c r="R22"/>
  <c r="R24"/>
  <c r="R25"/>
  <c r="R27"/>
  <c r="R28"/>
  <c r="R29"/>
  <c r="R32"/>
  <c r="R34"/>
  <c r="R35"/>
  <c r="R36"/>
  <c r="R37"/>
  <c r="R38"/>
  <c r="R40"/>
  <c r="R41"/>
  <c r="R42"/>
  <c r="R43"/>
  <c r="R44"/>
  <c r="R45"/>
  <c r="R47"/>
  <c r="R48"/>
  <c r="R50"/>
  <c r="R51"/>
  <c r="R4"/>
  <c r="J37" i="214"/>
  <c r="Q49" i="41"/>
  <c r="H37" i="214"/>
  <c r="G37"/>
  <c r="D37"/>
  <c r="R5" i="40"/>
  <c r="R6"/>
  <c r="R7"/>
  <c r="R9"/>
  <c r="R10"/>
  <c r="R11"/>
  <c r="R12"/>
  <c r="R13"/>
  <c r="R14"/>
  <c r="R15"/>
  <c r="R16"/>
  <c r="R17"/>
  <c r="R18"/>
  <c r="R20"/>
  <c r="R21"/>
  <c r="R22"/>
  <c r="R23"/>
  <c r="R26"/>
  <c r="R27"/>
  <c r="R28"/>
  <c r="R29"/>
  <c r="R30"/>
  <c r="R31"/>
  <c r="R32"/>
  <c r="R34"/>
  <c r="R35"/>
  <c r="R36"/>
  <c r="R37"/>
  <c r="R39"/>
  <c r="R40"/>
  <c r="R41"/>
  <c r="R42"/>
  <c r="R44"/>
  <c r="R4"/>
  <c r="G36" i="214"/>
  <c r="F36"/>
  <c r="Q19" i="40"/>
  <c r="E36" i="214" s="1"/>
  <c r="D36"/>
  <c r="R6" i="169"/>
  <c r="R7"/>
  <c r="R8"/>
  <c r="R10"/>
  <c r="R11"/>
  <c r="R12"/>
  <c r="R13"/>
  <c r="R14"/>
  <c r="R15"/>
  <c r="R16"/>
  <c r="R18"/>
  <c r="R19"/>
  <c r="R20"/>
  <c r="R21"/>
  <c r="R22"/>
  <c r="R24"/>
  <c r="R25"/>
  <c r="R26"/>
  <c r="R29"/>
  <c r="R30"/>
  <c r="R31"/>
  <c r="R32"/>
  <c r="R34"/>
  <c r="R35"/>
  <c r="R37"/>
  <c r="R38"/>
  <c r="R39"/>
  <c r="R40"/>
  <c r="R5"/>
  <c r="G35" i="214"/>
  <c r="Q27" i="169"/>
  <c r="Q17"/>
  <c r="E35" i="214" s="1"/>
  <c r="D35"/>
  <c r="S6" i="38"/>
  <c r="S7"/>
  <c r="S8"/>
  <c r="S10"/>
  <c r="S11"/>
  <c r="S12"/>
  <c r="S13"/>
  <c r="S14"/>
  <c r="S16"/>
  <c r="S17"/>
  <c r="S19"/>
  <c r="S21"/>
  <c r="S22"/>
  <c r="S23"/>
  <c r="S24"/>
  <c r="S25"/>
  <c r="S26"/>
  <c r="S27"/>
  <c r="S28"/>
  <c r="S30"/>
  <c r="S31"/>
  <c r="S33"/>
  <c r="S35"/>
  <c r="S37"/>
  <c r="S38"/>
  <c r="S39"/>
  <c r="S42"/>
  <c r="S43"/>
  <c r="S44"/>
  <c r="S45"/>
  <c r="S5"/>
  <c r="R46"/>
  <c r="R40"/>
  <c r="G34" i="214" s="1"/>
  <c r="R34" i="38"/>
  <c r="R20"/>
  <c r="D34" i="214"/>
  <c r="R5" i="37"/>
  <c r="R6"/>
  <c r="R7"/>
  <c r="R9"/>
  <c r="R10"/>
  <c r="R11"/>
  <c r="R13"/>
  <c r="R14"/>
  <c r="R15"/>
  <c r="R18"/>
  <c r="R19"/>
  <c r="R20"/>
  <c r="R21"/>
  <c r="R22"/>
  <c r="R24"/>
  <c r="R25"/>
  <c r="R27"/>
  <c r="R28"/>
  <c r="R29"/>
  <c r="R31"/>
  <c r="R33"/>
  <c r="R35"/>
  <c r="R36"/>
  <c r="R37"/>
  <c r="R38"/>
  <c r="R40"/>
  <c r="R41"/>
  <c r="R4"/>
  <c r="I33" i="214"/>
  <c r="H33"/>
  <c r="Q26" i="37"/>
  <c r="F33" i="214" s="1"/>
  <c r="Q16" i="37"/>
  <c r="Q12"/>
  <c r="D33" i="214"/>
  <c r="T5" i="210"/>
  <c r="T7"/>
  <c r="T8"/>
  <c r="T9"/>
  <c r="T11"/>
  <c r="T12"/>
  <c r="T13"/>
  <c r="T14"/>
  <c r="T15"/>
  <c r="T16"/>
  <c r="T17"/>
  <c r="T18"/>
  <c r="T19"/>
  <c r="T20"/>
  <c r="T21"/>
  <c r="T22"/>
  <c r="T23"/>
  <c r="T24"/>
  <c r="T26"/>
  <c r="T27"/>
  <c r="T28"/>
  <c r="T29"/>
  <c r="T30"/>
  <c r="T32"/>
  <c r="T34"/>
  <c r="T35"/>
  <c r="T37"/>
  <c r="T38"/>
  <c r="T39"/>
  <c r="T40"/>
  <c r="T42"/>
  <c r="T45"/>
  <c r="T49"/>
  <c r="T50"/>
  <c r="T51"/>
  <c r="T52"/>
  <c r="T53"/>
  <c r="T58"/>
  <c r="T59"/>
  <c r="T4"/>
  <c r="F32" i="214"/>
  <c r="R6" i="176"/>
  <c r="R7"/>
  <c r="R8"/>
  <c r="R9"/>
  <c r="R10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42"/>
  <c r="R43"/>
  <c r="R44"/>
  <c r="R45"/>
  <c r="R46"/>
  <c r="R47"/>
  <c r="R48"/>
  <c r="R50"/>
  <c r="R51"/>
  <c r="R52"/>
  <c r="R53"/>
  <c r="R55"/>
  <c r="R56"/>
  <c r="R58"/>
  <c r="R59"/>
  <c r="R63"/>
  <c r="R64"/>
  <c r="R66"/>
  <c r="R67"/>
  <c r="R68"/>
  <c r="R70"/>
  <c r="R5"/>
  <c r="Q69"/>
  <c r="Q65"/>
  <c r="G31" i="214"/>
  <c r="F31"/>
  <c r="E31"/>
  <c r="D31"/>
  <c r="R5" i="35"/>
  <c r="R6"/>
  <c r="R7"/>
  <c r="R9"/>
  <c r="R10"/>
  <c r="R11"/>
  <c r="R12"/>
  <c r="R13"/>
  <c r="R14"/>
  <c r="R15"/>
  <c r="R17"/>
  <c r="R19"/>
  <c r="R20"/>
  <c r="R21"/>
  <c r="R22"/>
  <c r="R24"/>
  <c r="R25"/>
  <c r="R27"/>
  <c r="R28"/>
  <c r="R29"/>
  <c r="R31"/>
  <c r="R33"/>
  <c r="R34"/>
  <c r="R35"/>
  <c r="R36"/>
  <c r="R38"/>
  <c r="R39"/>
  <c r="R40"/>
  <c r="R41"/>
  <c r="R42"/>
  <c r="R43"/>
  <c r="R4"/>
  <c r="Q44"/>
  <c r="G30" i="214"/>
  <c r="Q30" i="35"/>
  <c r="F30" i="214" s="1"/>
  <c r="Q18" i="35"/>
  <c r="D30" i="214"/>
  <c r="R5" i="168"/>
  <c r="R6"/>
  <c r="R8"/>
  <c r="R9"/>
  <c r="R16"/>
  <c r="R20"/>
  <c r="R22"/>
  <c r="R23"/>
  <c r="R24"/>
  <c r="R27"/>
  <c r="R32"/>
  <c r="R35"/>
  <c r="R37"/>
  <c r="R38"/>
  <c r="R39"/>
  <c r="R40"/>
  <c r="R41"/>
  <c r="R42"/>
  <c r="R44"/>
  <c r="R45"/>
  <c r="R4"/>
  <c r="J29" i="214"/>
  <c r="Q43" i="168"/>
  <c r="Q34"/>
  <c r="Q33"/>
  <c r="Q30"/>
  <c r="Q29"/>
  <c r="Q28"/>
  <c r="Q26"/>
  <c r="Q25"/>
  <c r="Q18"/>
  <c r="Q15"/>
  <c r="Q12"/>
  <c r="Q11"/>
  <c r="Q10"/>
  <c r="D29" i="214"/>
  <c r="R5" i="165"/>
  <c r="R6"/>
  <c r="R7"/>
  <c r="R8"/>
  <c r="R9"/>
  <c r="R11"/>
  <c r="R12"/>
  <c r="R13"/>
  <c r="R14"/>
  <c r="R15"/>
  <c r="R16"/>
  <c r="R17"/>
  <c r="R18"/>
  <c r="R19"/>
  <c r="R20"/>
  <c r="R21"/>
  <c r="R22"/>
  <c r="R23"/>
  <c r="R25"/>
  <c r="R26"/>
  <c r="R27"/>
  <c r="R29"/>
  <c r="R30"/>
  <c r="R32"/>
  <c r="R33"/>
  <c r="R34"/>
  <c r="R36"/>
  <c r="R37"/>
  <c r="R38"/>
  <c r="R39"/>
  <c r="R40"/>
  <c r="R42"/>
  <c r="R43"/>
  <c r="R4"/>
  <c r="I28" i="214"/>
  <c r="H28"/>
  <c r="G28"/>
  <c r="Q28" i="165"/>
  <c r="F28" i="214" s="1"/>
  <c r="E28"/>
  <c r="D28"/>
  <c r="R7" i="162"/>
  <c r="R8"/>
  <c r="R9"/>
  <c r="R12"/>
  <c r="R13"/>
  <c r="R14"/>
  <c r="R15"/>
  <c r="R16"/>
  <c r="R17"/>
  <c r="R18"/>
  <c r="R19"/>
  <c r="R20"/>
  <c r="R21"/>
  <c r="R22"/>
  <c r="R25"/>
  <c r="R26"/>
  <c r="R30"/>
  <c r="R31"/>
  <c r="R32"/>
  <c r="R33"/>
  <c r="R34"/>
  <c r="R35"/>
  <c r="R36"/>
  <c r="R38"/>
  <c r="R39"/>
  <c r="R40"/>
  <c r="R42"/>
  <c r="R43"/>
  <c r="R44"/>
  <c r="R45"/>
  <c r="R46"/>
  <c r="R47"/>
  <c r="R48"/>
  <c r="R50"/>
  <c r="R51"/>
  <c r="R52"/>
  <c r="R54"/>
  <c r="R55"/>
  <c r="R5"/>
  <c r="J27" i="214"/>
  <c r="Q53" i="162"/>
  <c r="I27" i="214" s="1"/>
  <c r="H27"/>
  <c r="G27"/>
  <c r="F27"/>
  <c r="E27"/>
  <c r="D27"/>
  <c r="P6" i="163"/>
  <c r="P7"/>
  <c r="P8"/>
  <c r="P10"/>
  <c r="P11"/>
  <c r="P12"/>
  <c r="P13"/>
  <c r="P14"/>
  <c r="P15"/>
  <c r="P16"/>
  <c r="P17"/>
  <c r="P18"/>
  <c r="P19"/>
  <c r="P20"/>
  <c r="P21"/>
  <c r="P22"/>
  <c r="P25"/>
  <c r="P26"/>
  <c r="P27"/>
  <c r="P28"/>
  <c r="P29"/>
  <c r="P30"/>
  <c r="P31"/>
  <c r="P32"/>
  <c r="P34"/>
  <c r="P35"/>
  <c r="P36"/>
  <c r="P38"/>
  <c r="P39"/>
  <c r="P40"/>
  <c r="P41"/>
  <c r="P42"/>
  <c r="P43"/>
  <c r="P5"/>
  <c r="H26" i="214"/>
  <c r="G26"/>
  <c r="F26"/>
  <c r="D26"/>
  <c r="N6" i="92"/>
  <c r="N7"/>
  <c r="N8"/>
  <c r="N10"/>
  <c r="N11"/>
  <c r="N12"/>
  <c r="N13"/>
  <c r="N14"/>
  <c r="N15"/>
  <c r="N16"/>
  <c r="N17"/>
  <c r="N18"/>
  <c r="N19"/>
  <c r="N20"/>
  <c r="N23"/>
  <c r="N24"/>
  <c r="N25"/>
  <c r="N26"/>
  <c r="N27"/>
  <c r="N28"/>
  <c r="N29"/>
  <c r="N31"/>
  <c r="N32"/>
  <c r="N33"/>
  <c r="N35"/>
  <c r="N36"/>
  <c r="N37"/>
  <c r="N38"/>
  <c r="N39"/>
  <c r="N40"/>
  <c r="N5"/>
  <c r="M41"/>
  <c r="G24" i="214"/>
  <c r="F24"/>
  <c r="D24"/>
  <c r="T5" i="31"/>
  <c r="T7"/>
  <c r="T8"/>
  <c r="T10"/>
  <c r="T11"/>
  <c r="T12"/>
  <c r="T13"/>
  <c r="T14"/>
  <c r="T16"/>
  <c r="T20"/>
  <c r="T21"/>
  <c r="T23"/>
  <c r="T25"/>
  <c r="T26"/>
  <c r="T27"/>
  <c r="T28"/>
  <c r="T31"/>
  <c r="T32"/>
  <c r="T35"/>
  <c r="T38"/>
  <c r="T40"/>
  <c r="T41"/>
  <c r="T42"/>
  <c r="T43"/>
  <c r="T44"/>
  <c r="T45"/>
  <c r="T4"/>
  <c r="S46"/>
  <c r="S37"/>
  <c r="S33"/>
  <c r="S30"/>
  <c r="S29"/>
  <c r="S19"/>
  <c r="S18"/>
  <c r="S17"/>
  <c r="S6"/>
  <c r="R6" i="183"/>
  <c r="R7"/>
  <c r="R8"/>
  <c r="R10"/>
  <c r="R11"/>
  <c r="R12"/>
  <c r="R13"/>
  <c r="R16"/>
  <c r="R17"/>
  <c r="R18"/>
  <c r="R20"/>
  <c r="R21"/>
  <c r="R22"/>
  <c r="R23"/>
  <c r="R24"/>
  <c r="R25"/>
  <c r="R27"/>
  <c r="R28"/>
  <c r="R31"/>
  <c r="R32"/>
  <c r="R34"/>
  <c r="R39"/>
  <c r="R40"/>
  <c r="R41"/>
  <c r="R42"/>
  <c r="R43"/>
  <c r="R44"/>
  <c r="R46"/>
  <c r="R47"/>
  <c r="R5"/>
  <c r="Q48"/>
  <c r="H22" i="214"/>
  <c r="S6" i="114"/>
  <c r="S7"/>
  <c r="S8"/>
  <c r="S9"/>
  <c r="S11"/>
  <c r="S12"/>
  <c r="S13"/>
  <c r="S14"/>
  <c r="S15"/>
  <c r="S20"/>
  <c r="S21"/>
  <c r="S22"/>
  <c r="S25"/>
  <c r="S26"/>
  <c r="S27"/>
  <c r="S28"/>
  <c r="S30"/>
  <c r="S31"/>
  <c r="S32"/>
  <c r="S33"/>
  <c r="S5"/>
  <c r="R34"/>
  <c r="G21" i="214"/>
  <c r="R23" i="114"/>
  <c r="F21" i="214" s="1"/>
  <c r="D21"/>
  <c r="T6" i="116"/>
  <c r="T7"/>
  <c r="T8"/>
  <c r="T9"/>
  <c r="T10"/>
  <c r="T12"/>
  <c r="T13"/>
  <c r="T14"/>
  <c r="T15"/>
  <c r="T16"/>
  <c r="T17"/>
  <c r="T18"/>
  <c r="T19"/>
  <c r="T20"/>
  <c r="T22"/>
  <c r="T23"/>
  <c r="T27"/>
  <c r="T28"/>
  <c r="T29"/>
  <c r="T30"/>
  <c r="T31"/>
  <c r="T32"/>
  <c r="T34"/>
  <c r="T35"/>
  <c r="T36"/>
  <c r="T37"/>
  <c r="T39"/>
  <c r="T40"/>
  <c r="T41"/>
  <c r="T5"/>
  <c r="H20" i="214"/>
  <c r="G20"/>
  <c r="F20"/>
  <c r="D20"/>
  <c r="Q5" i="175"/>
  <c r="Q6"/>
  <c r="Q7"/>
  <c r="Q8"/>
  <c r="Q9"/>
  <c r="Q10"/>
  <c r="Q11"/>
  <c r="Q12"/>
  <c r="Q14"/>
  <c r="Q15"/>
  <c r="Q17"/>
  <c r="Q18"/>
  <c r="Q20"/>
  <c r="Q21"/>
  <c r="Q23"/>
  <c r="Q26"/>
  <c r="Q27"/>
  <c r="Q29"/>
  <c r="Q30"/>
  <c r="Q31"/>
  <c r="Q32"/>
  <c r="Q35"/>
  <c r="Q38"/>
  <c r="Q40"/>
  <c r="Q41"/>
  <c r="Q43"/>
  <c r="Q44"/>
  <c r="Q45"/>
  <c r="Q4"/>
  <c r="P37"/>
  <c r="P33"/>
  <c r="F19" i="214" s="1"/>
  <c r="P25" i="175"/>
  <c r="P24"/>
  <c r="P22"/>
  <c r="P19"/>
  <c r="D19" i="214"/>
  <c r="R5" i="28"/>
  <c r="R6"/>
  <c r="R7"/>
  <c r="R8"/>
  <c r="R9"/>
  <c r="R10"/>
  <c r="R12"/>
  <c r="R13"/>
  <c r="R17"/>
  <c r="R18"/>
  <c r="R19"/>
  <c r="R21"/>
  <c r="R22"/>
  <c r="R23"/>
  <c r="R24"/>
  <c r="R25"/>
  <c r="R27"/>
  <c r="R28"/>
  <c r="R29"/>
  <c r="R30"/>
  <c r="R32"/>
  <c r="R33"/>
  <c r="R35"/>
  <c r="R37"/>
  <c r="R38"/>
  <c r="R41"/>
  <c r="R42"/>
  <c r="R43"/>
  <c r="R44"/>
  <c r="R4"/>
  <c r="Q45"/>
  <c r="H18" i="214" s="1"/>
  <c r="Q39" i="28"/>
  <c r="G18" i="214" s="1"/>
  <c r="Q34" i="28"/>
  <c r="Q31"/>
  <c r="Q20"/>
  <c r="Q16"/>
  <c r="Q15"/>
  <c r="Q14"/>
  <c r="D18" i="214"/>
  <c r="R5" i="25"/>
  <c r="R6"/>
  <c r="R7"/>
  <c r="R8"/>
  <c r="R9"/>
  <c r="R10"/>
  <c r="R11"/>
  <c r="R12"/>
  <c r="R14"/>
  <c r="R15"/>
  <c r="R16"/>
  <c r="R17"/>
  <c r="R18"/>
  <c r="R19"/>
  <c r="R20"/>
  <c r="R21"/>
  <c r="R22"/>
  <c r="R23"/>
  <c r="R24"/>
  <c r="R25"/>
  <c r="R26"/>
  <c r="R28"/>
  <c r="R29"/>
  <c r="R30"/>
  <c r="R31"/>
  <c r="R34"/>
  <c r="R38"/>
  <c r="R39"/>
  <c r="R40"/>
  <c r="R41"/>
  <c r="R42"/>
  <c r="R43"/>
  <c r="R45"/>
  <c r="R46"/>
  <c r="R4"/>
  <c r="I17" i="214"/>
  <c r="Q36" i="25"/>
  <c r="Q32"/>
  <c r="F17" i="214" s="1"/>
  <c r="E17"/>
  <c r="D17"/>
  <c r="R5" i="24"/>
  <c r="R6"/>
  <c r="R8"/>
  <c r="R9"/>
  <c r="R11"/>
  <c r="R12"/>
  <c r="R13"/>
  <c r="R14"/>
  <c r="R15"/>
  <c r="R18"/>
  <c r="R19"/>
  <c r="R20"/>
  <c r="R21"/>
  <c r="R23"/>
  <c r="R24"/>
  <c r="R26"/>
  <c r="R27"/>
  <c r="R28"/>
  <c r="R29"/>
  <c r="R30"/>
  <c r="R32"/>
  <c r="R34"/>
  <c r="R38"/>
  <c r="R39"/>
  <c r="R40"/>
  <c r="R41"/>
  <c r="R43"/>
  <c r="R44"/>
  <c r="R45"/>
  <c r="R46"/>
  <c r="R4"/>
  <c r="G16" i="214"/>
  <c r="Q36" i="24"/>
  <c r="Q33"/>
  <c r="Q22"/>
  <c r="Q17"/>
  <c r="S29" i="213"/>
  <c r="S25"/>
  <c r="D15" i="214"/>
  <c r="L15" s="1"/>
  <c r="R5" i="212"/>
  <c r="R7"/>
  <c r="R8"/>
  <c r="R9"/>
  <c r="R10"/>
  <c r="R11"/>
  <c r="R12"/>
  <c r="R13"/>
  <c r="R14"/>
  <c r="R16"/>
  <c r="R17"/>
  <c r="R18"/>
  <c r="R19"/>
  <c r="R20"/>
  <c r="R22"/>
  <c r="R23"/>
  <c r="R24"/>
  <c r="R25"/>
  <c r="R26"/>
  <c r="R27"/>
  <c r="R28"/>
  <c r="R29"/>
  <c r="R31"/>
  <c r="R32"/>
  <c r="R33"/>
  <c r="R36"/>
  <c r="R37"/>
  <c r="R38"/>
  <c r="R39"/>
  <c r="R40"/>
  <c r="R41"/>
  <c r="R43"/>
  <c r="R44"/>
  <c r="R4"/>
  <c r="Q45"/>
  <c r="H14" i="214"/>
  <c r="F14"/>
  <c r="E14"/>
  <c r="D14"/>
  <c r="H5" i="185"/>
  <c r="H6"/>
  <c r="H8"/>
  <c r="H9"/>
  <c r="H10"/>
  <c r="H11"/>
  <c r="H12"/>
  <c r="H13"/>
  <c r="H14"/>
  <c r="H15"/>
  <c r="H16"/>
  <c r="H17"/>
  <c r="H18"/>
  <c r="H19"/>
  <c r="H20"/>
  <c r="H22"/>
  <c r="H24"/>
  <c r="H25"/>
  <c r="H26"/>
  <c r="H27"/>
  <c r="H28"/>
  <c r="H29"/>
  <c r="H30"/>
  <c r="H32"/>
  <c r="H33"/>
  <c r="H34"/>
  <c r="H36"/>
  <c r="H37"/>
  <c r="H38"/>
  <c r="H39"/>
  <c r="H40"/>
  <c r="H41"/>
  <c r="H42"/>
  <c r="H4"/>
  <c r="G43"/>
  <c r="G13" i="214"/>
  <c r="F13"/>
  <c r="D13"/>
  <c r="R6" i="100"/>
  <c r="R8"/>
  <c r="R9"/>
  <c r="R10"/>
  <c r="R12"/>
  <c r="R13"/>
  <c r="R14"/>
  <c r="R15"/>
  <c r="R16"/>
  <c r="R17"/>
  <c r="R18"/>
  <c r="R19"/>
  <c r="R20"/>
  <c r="R21"/>
  <c r="R22"/>
  <c r="R23"/>
  <c r="R24"/>
  <c r="R26"/>
  <c r="R27"/>
  <c r="R28"/>
  <c r="R29"/>
  <c r="R31"/>
  <c r="R32"/>
  <c r="R33"/>
  <c r="R34"/>
  <c r="R36"/>
  <c r="R37"/>
  <c r="R39"/>
  <c r="R41"/>
  <c r="R42"/>
  <c r="R43"/>
  <c r="R44"/>
  <c r="R45"/>
  <c r="R46"/>
  <c r="R47"/>
  <c r="R5"/>
  <c r="Q38"/>
  <c r="Q30"/>
  <c r="P5" i="59"/>
  <c r="P6"/>
  <c r="P7"/>
  <c r="P8"/>
  <c r="P9"/>
  <c r="P10"/>
  <c r="P11"/>
  <c r="P13"/>
  <c r="P14"/>
  <c r="P16"/>
  <c r="P17"/>
  <c r="P18"/>
  <c r="P19"/>
  <c r="P20"/>
  <c r="P21"/>
  <c r="P22"/>
  <c r="P24"/>
  <c r="P25"/>
  <c r="P27"/>
  <c r="P28"/>
  <c r="P29"/>
  <c r="P30"/>
  <c r="P32"/>
  <c r="P34"/>
  <c r="P35"/>
  <c r="P36"/>
  <c r="P37"/>
  <c r="P40"/>
  <c r="P44"/>
  <c r="P45"/>
  <c r="P47"/>
  <c r="P51"/>
  <c r="P52"/>
  <c r="P4"/>
  <c r="O53"/>
  <c r="O33"/>
  <c r="D11" i="214"/>
  <c r="R6" i="21"/>
  <c r="R7"/>
  <c r="R8"/>
  <c r="R9"/>
  <c r="R10"/>
  <c r="R12"/>
  <c r="R13"/>
  <c r="R14"/>
  <c r="R15"/>
  <c r="R16"/>
  <c r="R18"/>
  <c r="R19"/>
  <c r="R20"/>
  <c r="R21"/>
  <c r="R24"/>
  <c r="R25"/>
  <c r="R26"/>
  <c r="R27"/>
  <c r="R29"/>
  <c r="R30"/>
  <c r="R31"/>
  <c r="R34"/>
  <c r="R35"/>
  <c r="R37"/>
  <c r="R40"/>
  <c r="R42"/>
  <c r="R43"/>
  <c r="R44"/>
  <c r="R45"/>
  <c r="R46"/>
  <c r="R47"/>
  <c r="R49"/>
  <c r="R50"/>
  <c r="R5"/>
  <c r="I10" i="214"/>
  <c r="Q39" i="21"/>
  <c r="Q38"/>
  <c r="Q33"/>
  <c r="Q32"/>
  <c r="Q23"/>
  <c r="Q22"/>
  <c r="Q17"/>
  <c r="D10" i="214"/>
  <c r="Q7" i="19"/>
  <c r="Q8"/>
  <c r="Q9"/>
  <c r="Q10"/>
  <c r="Q11"/>
  <c r="Q12"/>
  <c r="Q14"/>
  <c r="Q15"/>
  <c r="Q16"/>
  <c r="Q18"/>
  <c r="Q19"/>
  <c r="Q22"/>
  <c r="Q23"/>
  <c r="Q24"/>
  <c r="Q25"/>
  <c r="Q27"/>
  <c r="Q28"/>
  <c r="Q29"/>
  <c r="Q30"/>
  <c r="Q32"/>
  <c r="Q33"/>
  <c r="Q35"/>
  <c r="Q38"/>
  <c r="Q40"/>
  <c r="Q41"/>
  <c r="Q42"/>
  <c r="Q43"/>
  <c r="Q44"/>
  <c r="Q45"/>
  <c r="Q50"/>
  <c r="Q51"/>
  <c r="Q5"/>
  <c r="J9" i="214"/>
  <c r="P46" i="19"/>
  <c r="P37"/>
  <c r="P36"/>
  <c r="P31"/>
  <c r="P21"/>
  <c r="P20"/>
  <c r="P17"/>
  <c r="Q6" i="18"/>
  <c r="Q7"/>
  <c r="Q8"/>
  <c r="Q9"/>
  <c r="Q10"/>
  <c r="Q12"/>
  <c r="Q13"/>
  <c r="Q14"/>
  <c r="Q15"/>
  <c r="Q16"/>
  <c r="Q17"/>
  <c r="Q18"/>
  <c r="Q19"/>
  <c r="Q20"/>
  <c r="Q21"/>
  <c r="Q22"/>
  <c r="Q24"/>
  <c r="Q25"/>
  <c r="Q26"/>
  <c r="Q27"/>
  <c r="Q29"/>
  <c r="Q30"/>
  <c r="Q31"/>
  <c r="Q32"/>
  <c r="Q33"/>
  <c r="Q34"/>
  <c r="Q35"/>
  <c r="Q37"/>
  <c r="Q38"/>
  <c r="Q40"/>
  <c r="Q42"/>
  <c r="Q43"/>
  <c r="Q44"/>
  <c r="Q45"/>
  <c r="Q46"/>
  <c r="Q5"/>
  <c r="P47"/>
  <c r="P39"/>
  <c r="G8" i="214" s="1"/>
  <c r="F8"/>
  <c r="P23" i="18"/>
  <c r="E8" i="214" s="1"/>
  <c r="D8"/>
  <c r="E7"/>
  <c r="D7"/>
  <c r="Q6" i="16"/>
  <c r="Q7"/>
  <c r="Q8"/>
  <c r="Q9"/>
  <c r="Q11"/>
  <c r="Q12"/>
  <c r="Q13"/>
  <c r="Q14"/>
  <c r="Q15"/>
  <c r="Q16"/>
  <c r="Q17"/>
  <c r="Q18"/>
  <c r="Q19"/>
  <c r="Q20"/>
  <c r="Q21"/>
  <c r="Q22"/>
  <c r="Q23"/>
  <c r="Q24"/>
  <c r="Q25"/>
  <c r="Q26"/>
  <c r="Q28"/>
  <c r="Q29"/>
  <c r="Q30"/>
  <c r="Q33"/>
  <c r="Q34"/>
  <c r="Q36"/>
  <c r="Q38"/>
  <c r="Q39"/>
  <c r="Q41"/>
  <c r="Q42"/>
  <c r="Q43"/>
  <c r="Q44"/>
  <c r="Q45"/>
  <c r="Q46"/>
  <c r="Q47"/>
  <c r="Q5"/>
  <c r="H7" i="214"/>
  <c r="P32" i="16"/>
  <c r="Q6" i="17"/>
  <c r="Q7"/>
  <c r="Q8"/>
  <c r="Q9"/>
  <c r="Q11"/>
  <c r="Q12"/>
  <c r="Q14"/>
  <c r="Q15"/>
  <c r="Q16"/>
  <c r="Q17"/>
  <c r="Q20"/>
  <c r="Q21"/>
  <c r="Q22"/>
  <c r="Q23"/>
  <c r="Q25"/>
  <c r="Q26"/>
  <c r="Q27"/>
  <c r="Q28"/>
  <c r="Q29"/>
  <c r="Q30"/>
  <c r="Q32"/>
  <c r="Q33"/>
  <c r="Q34"/>
  <c r="Q37"/>
  <c r="Q39"/>
  <c r="Q40"/>
  <c r="Q41"/>
  <c r="Q42"/>
  <c r="Q44"/>
  <c r="Q45"/>
  <c r="Q46"/>
  <c r="Q47"/>
  <c r="Q48"/>
  <c r="Q51"/>
  <c r="Q52"/>
  <c r="Q5"/>
  <c r="P53"/>
  <c r="G6" i="214"/>
  <c r="D6"/>
  <c r="R6" i="83"/>
  <c r="R7"/>
  <c r="R8"/>
  <c r="R10"/>
  <c r="R11"/>
  <c r="R13"/>
  <c r="R14"/>
  <c r="R15"/>
  <c r="R16"/>
  <c r="R17"/>
  <c r="R20"/>
  <c r="R21"/>
  <c r="R22"/>
  <c r="R25"/>
  <c r="R26"/>
  <c r="R27"/>
  <c r="R28"/>
  <c r="R29"/>
  <c r="R31"/>
  <c r="R32"/>
  <c r="R33"/>
  <c r="R34"/>
  <c r="R35"/>
  <c r="R36"/>
  <c r="R38"/>
  <c r="R39"/>
  <c r="R40"/>
  <c r="R41"/>
  <c r="R43"/>
  <c r="R44"/>
  <c r="R45"/>
  <c r="R46"/>
  <c r="R48"/>
  <c r="R49"/>
  <c r="R5"/>
  <c r="Q50"/>
  <c r="H5" i="214"/>
  <c r="G5"/>
  <c r="F5"/>
  <c r="Q24" i="83"/>
  <c r="D5" i="214"/>
  <c r="N6" i="91"/>
  <c r="N7"/>
  <c r="N8"/>
  <c r="N9"/>
  <c r="N11"/>
  <c r="N12"/>
  <c r="N13"/>
  <c r="N14"/>
  <c r="N15"/>
  <c r="N16"/>
  <c r="N17"/>
  <c r="N18"/>
  <c r="N19"/>
  <c r="N20"/>
  <c r="N21"/>
  <c r="N22"/>
  <c r="N24"/>
  <c r="N25"/>
  <c r="N26"/>
  <c r="N27"/>
  <c r="N30"/>
  <c r="N31"/>
  <c r="N32"/>
  <c r="N33"/>
  <c r="N35"/>
  <c r="N36"/>
  <c r="N37"/>
  <c r="N38"/>
  <c r="N40"/>
  <c r="N5"/>
  <c r="M41"/>
  <c r="G4" i="214"/>
  <c r="M28" i="91"/>
  <c r="F4" i="214" s="1"/>
  <c r="E4"/>
  <c r="D4"/>
  <c r="H12" l="1"/>
  <c r="E32"/>
  <c r="S64" i="210"/>
  <c r="T64" s="1"/>
  <c r="Q32" i="63"/>
  <c r="F51" i="214" s="1"/>
  <c r="L13"/>
  <c r="E26" i="216"/>
  <c r="E60" i="214" s="1"/>
  <c r="L20"/>
  <c r="L24"/>
  <c r="L28"/>
  <c r="L41"/>
  <c r="N24" i="126"/>
  <c r="E55" i="214" s="1"/>
  <c r="L59"/>
  <c r="L55"/>
  <c r="L26"/>
  <c r="J61"/>
  <c r="C12" i="197" s="1"/>
  <c r="L27" i="214"/>
  <c r="D23"/>
  <c r="L4"/>
  <c r="I61"/>
  <c r="C11" i="197" s="1"/>
  <c r="D22" i="214"/>
  <c r="H32"/>
  <c r="L32" s="1"/>
  <c r="E12"/>
  <c r="L8"/>
  <c r="G29"/>
  <c r="R45" i="208"/>
  <c r="P64" i="181" s="1"/>
  <c r="P4"/>
  <c r="S34" i="31"/>
  <c r="F23" i="214" s="1"/>
  <c r="N32" i="174"/>
  <c r="G49" i="214" s="1"/>
  <c r="E16"/>
  <c r="F16"/>
  <c r="E33"/>
  <c r="P25" i="172"/>
  <c r="F7" i="214"/>
  <c r="G9"/>
  <c r="F10"/>
  <c r="G10"/>
  <c r="G33"/>
  <c r="P43" i="181"/>
  <c r="G42" i="214"/>
  <c r="P26" i="180"/>
  <c r="F45" i="214" s="1"/>
  <c r="P20" i="181"/>
  <c r="P25"/>
  <c r="Q57" i="162"/>
  <c r="P28" i="181" s="1"/>
  <c r="Q45" i="165"/>
  <c r="P30" i="181" s="1"/>
  <c r="F29" i="214"/>
  <c r="P31" i="180"/>
  <c r="G45" i="214" s="1"/>
  <c r="P41" i="171"/>
  <c r="G46" i="214" s="1"/>
  <c r="P36" i="53"/>
  <c r="F47" i="214" s="1"/>
  <c r="Q17" i="75"/>
  <c r="E53" i="214" s="1"/>
  <c r="F6"/>
  <c r="G7"/>
  <c r="E10"/>
  <c r="F12"/>
  <c r="G12"/>
  <c r="P13" i="181"/>
  <c r="E18" i="214"/>
  <c r="E19"/>
  <c r="G19"/>
  <c r="S39" i="31"/>
  <c r="G23" i="214" s="1"/>
  <c r="P27" i="181"/>
  <c r="F44" i="214"/>
  <c r="G44"/>
  <c r="P25" i="177"/>
  <c r="E50" i="214" s="1"/>
  <c r="P32" i="177"/>
  <c r="F50" i="214" s="1"/>
  <c r="P19" i="23"/>
  <c r="N44" i="126"/>
  <c r="P59" i="181" s="1"/>
  <c r="E41" i="216"/>
  <c r="E50" s="1"/>
  <c r="E9" i="214"/>
  <c r="F9"/>
  <c r="P8" i="181"/>
  <c r="P3"/>
  <c r="P2"/>
  <c r="P34" l="1"/>
  <c r="L10" i="214"/>
  <c r="L50"/>
  <c r="L19"/>
  <c r="L33"/>
  <c r="G60"/>
  <c r="L60" s="1"/>
  <c r="P37" i="181"/>
  <c r="F35" i="214"/>
  <c r="L35" s="1"/>
  <c r="P39" i="23"/>
  <c r="P54" i="181" s="1"/>
  <c r="E52" i="214"/>
  <c r="L52" s="1"/>
  <c r="Q50" i="28"/>
  <c r="F18" i="214"/>
  <c r="L18" s="1"/>
  <c r="P17" i="181"/>
  <c r="G17" i="214"/>
  <c r="L17" s="1"/>
  <c r="P45" i="172"/>
  <c r="P50" i="181" s="1"/>
  <c r="E48" i="214"/>
  <c r="L48" s="1"/>
  <c r="L7"/>
  <c r="P5" i="181"/>
  <c r="E5" i="214"/>
  <c r="P50" i="175"/>
  <c r="P19" i="181" s="1"/>
  <c r="P35"/>
  <c r="P7"/>
  <c r="P48" i="177"/>
  <c r="P52" i="181" s="1"/>
  <c r="P18"/>
  <c r="P15"/>
  <c r="P65"/>
  <c r="L5" i="214" l="1"/>
  <c r="P10" i="181"/>
  <c r="D46" i="216" l="1"/>
  <c r="F46" s="1"/>
  <c r="D9"/>
  <c r="F9" s="1"/>
  <c r="P44" i="208"/>
  <c r="P41"/>
  <c r="S41" s="1"/>
  <c r="P32"/>
  <c r="S32" s="1"/>
  <c r="P27"/>
  <c r="S27" s="1"/>
  <c r="P21"/>
  <c r="S21" s="1"/>
  <c r="P8"/>
  <c r="S8" s="1"/>
  <c r="E38" i="198"/>
  <c r="G38" s="1"/>
  <c r="E33"/>
  <c r="G33" s="1"/>
  <c r="E7"/>
  <c r="G7" s="1"/>
  <c r="E47" i="182"/>
  <c r="G47" s="1"/>
  <c r="E44"/>
  <c r="G44" s="1"/>
  <c r="E7"/>
  <c r="G7" s="1"/>
  <c r="O47" i="184"/>
  <c r="Q47" s="1"/>
  <c r="O10"/>
  <c r="Q10" s="1"/>
  <c r="M36" i="126"/>
  <c r="O36" s="1"/>
  <c r="M9"/>
  <c r="O9" s="1"/>
  <c r="F44" i="125"/>
  <c r="H44" s="1"/>
  <c r="F8"/>
  <c r="H8" s="1"/>
  <c r="P34" i="75"/>
  <c r="O8" i="23"/>
  <c r="Q8" s="1"/>
  <c r="P8" i="63"/>
  <c r="R8" s="1"/>
  <c r="O47" i="177"/>
  <c r="Q47" s="1"/>
  <c r="O44"/>
  <c r="Q44" s="1"/>
  <c r="O36"/>
  <c r="Q36" s="1"/>
  <c r="O9"/>
  <c r="Q9" s="1"/>
  <c r="M42" i="174"/>
  <c r="O42" s="1"/>
  <c r="M8"/>
  <c r="O8" s="1"/>
  <c r="O44" i="172"/>
  <c r="Q44" s="1"/>
  <c r="O37"/>
  <c r="Q37" s="1"/>
  <c r="O32"/>
  <c r="Q32" s="1"/>
  <c r="O9"/>
  <c r="Q9" s="1"/>
  <c r="O42" i="51"/>
  <c r="O24"/>
  <c r="O11" i="53"/>
  <c r="Q11" s="1"/>
  <c r="O50" i="171"/>
  <c r="Q50" s="1"/>
  <c r="O47"/>
  <c r="Q47" s="1"/>
  <c r="O11"/>
  <c r="Q11" s="1"/>
  <c r="O9" i="180"/>
  <c r="Q9" s="1"/>
  <c r="N47" i="46"/>
  <c r="P47" s="1"/>
  <c r="N43"/>
  <c r="P43" s="1"/>
  <c r="N9"/>
  <c r="P9" s="1"/>
  <c r="O64" i="44"/>
  <c r="M54"/>
  <c r="O54" s="1"/>
  <c r="M44"/>
  <c r="O44" s="1"/>
  <c r="M9"/>
  <c r="O9" s="1"/>
  <c r="E36" i="189"/>
  <c r="G36" s="1"/>
  <c r="E30"/>
  <c r="G30" s="1"/>
  <c r="E23"/>
  <c r="G23" s="1"/>
  <c r="E9"/>
  <c r="G9" s="1"/>
  <c r="E46" i="200"/>
  <c r="G46" s="1"/>
  <c r="E29"/>
  <c r="G29" s="1"/>
  <c r="E22"/>
  <c r="G22" s="1"/>
  <c r="E9"/>
  <c r="G9" s="1"/>
  <c r="N63" i="178"/>
  <c r="P63" s="1"/>
  <c r="N49"/>
  <c r="P49" s="1"/>
  <c r="P36" i="170"/>
  <c r="R36" s="1"/>
  <c r="P23"/>
  <c r="R23" s="1"/>
  <c r="P9"/>
  <c r="R9" s="1"/>
  <c r="P52" i="41"/>
  <c r="R52" s="1"/>
  <c r="P46"/>
  <c r="R46" s="1"/>
  <c r="P39"/>
  <c r="R39" s="1"/>
  <c r="P8"/>
  <c r="R8" s="1"/>
  <c r="P41" i="165"/>
  <c r="R41" s="1"/>
  <c r="P35"/>
  <c r="R35" s="1"/>
  <c r="P24"/>
  <c r="R24" s="1"/>
  <c r="P10"/>
  <c r="R10" s="1"/>
  <c r="P56" i="162"/>
  <c r="R56" s="1"/>
  <c r="P53"/>
  <c r="R53" s="1"/>
  <c r="P49"/>
  <c r="R49" s="1"/>
  <c r="P41"/>
  <c r="P37"/>
  <c r="R37" s="1"/>
  <c r="R29"/>
  <c r="R11"/>
  <c r="N44" i="163"/>
  <c r="P44" s="1"/>
  <c r="N37"/>
  <c r="N33"/>
  <c r="P33" s="1"/>
  <c r="N24"/>
  <c r="P24" s="1"/>
  <c r="N9"/>
  <c r="P9" s="1"/>
  <c r="L34" i="92"/>
  <c r="N34" s="1"/>
  <c r="L30"/>
  <c r="N30" s="1"/>
  <c r="N22"/>
  <c r="L9"/>
  <c r="N9" s="1"/>
  <c r="R6" i="31"/>
  <c r="T6" s="1"/>
  <c r="P9" i="183"/>
  <c r="R9" s="1"/>
  <c r="Q29" i="114"/>
  <c r="S29" s="1"/>
  <c r="Q10"/>
  <c r="S10" s="1"/>
  <c r="P42" i="116"/>
  <c r="T42" s="1"/>
  <c r="P38"/>
  <c r="T38" s="1"/>
  <c r="P33"/>
  <c r="T33" s="1"/>
  <c r="P26"/>
  <c r="T26" s="1"/>
  <c r="P11"/>
  <c r="T11" s="1"/>
  <c r="O46" i="175"/>
  <c r="Q46" s="1"/>
  <c r="O13"/>
  <c r="Q13" s="1"/>
  <c r="P48" i="100"/>
  <c r="R48" s="1"/>
  <c r="P25"/>
  <c r="R25" s="1"/>
  <c r="N53" i="59"/>
  <c r="N12"/>
  <c r="P12" s="1"/>
  <c r="P51" i="21"/>
  <c r="R51" s="1"/>
  <c r="P11"/>
  <c r="R11" s="1"/>
  <c r="Q52" i="19"/>
  <c r="O47" i="18"/>
  <c r="Q47" s="1"/>
  <c r="O36"/>
  <c r="Q36" s="1"/>
  <c r="O11"/>
  <c r="Q11" s="1"/>
  <c r="O48" i="16"/>
  <c r="Q48" s="1"/>
  <c r="O27"/>
  <c r="Q27" s="1"/>
  <c r="O10"/>
  <c r="Q10" s="1"/>
  <c r="O53" i="17"/>
  <c r="Q53" s="1"/>
  <c r="O43"/>
  <c r="Q43" s="1"/>
  <c r="O13"/>
  <c r="Q13" s="1"/>
  <c r="P42" i="83"/>
  <c r="R42" s="1"/>
  <c r="P37"/>
  <c r="R37" s="1"/>
  <c r="P12"/>
  <c r="R12" s="1"/>
  <c r="L41" i="91"/>
  <c r="N41" s="1"/>
  <c r="L34"/>
  <c r="N34" s="1"/>
  <c r="L23"/>
  <c r="N23" s="1"/>
  <c r="L10"/>
  <c r="N10" s="1"/>
  <c r="Q42" i="51" l="1"/>
  <c r="R34" i="75"/>
  <c r="P53" i="59"/>
  <c r="P57" i="162"/>
  <c r="R57" s="1"/>
  <c r="R41"/>
  <c r="N45" i="163"/>
  <c r="P45" s="1"/>
  <c r="P37"/>
  <c r="P45" i="208"/>
  <c r="S45" s="1"/>
  <c r="S44"/>
  <c r="P43" i="116"/>
  <c r="T43" s="1"/>
  <c r="P46" i="168"/>
  <c r="R46" s="1"/>
  <c r="O41" i="208"/>
  <c r="Q25" i="210" l="1"/>
  <c r="T57"/>
  <c r="T48"/>
  <c r="T41"/>
  <c r="T33"/>
  <c r="T6"/>
  <c r="T25" l="1"/>
  <c r="P43" i="168" l="1"/>
  <c r="R43" s="1"/>
  <c r="N71" i="178" l="1"/>
  <c r="P71" s="1"/>
  <c r="Q57" i="210" l="1"/>
  <c r="O55" i="171" l="1"/>
  <c r="Q55" s="1"/>
  <c r="O13" i="184" l="1"/>
  <c r="O26" i="116"/>
  <c r="Q13" i="184" l="1"/>
  <c r="P7" i="100"/>
  <c r="M63" i="178"/>
  <c r="P11" i="100" l="1"/>
  <c r="Q7"/>
  <c r="P45" i="212"/>
  <c r="R45" s="1"/>
  <c r="R7" i="100" l="1"/>
  <c r="Q48" i="210"/>
  <c r="O21" i="208"/>
  <c r="L64" i="44"/>
  <c r="D9" i="189"/>
  <c r="Q41" i="210"/>
  <c r="D12" i="214" l="1"/>
  <c r="L12" s="1"/>
  <c r="R11" i="100"/>
  <c r="P12" i="181" l="1"/>
  <c r="N65"/>
  <c r="D40" i="216"/>
  <c r="F40" s="1"/>
  <c r="D31"/>
  <c r="F31" s="1"/>
  <c r="D20"/>
  <c r="F20" s="1"/>
  <c r="D26" l="1"/>
  <c r="F26" s="1"/>
  <c r="D41"/>
  <c r="F41" s="1"/>
  <c r="D33"/>
  <c r="F33" s="1"/>
  <c r="F23" i="185"/>
  <c r="F7"/>
  <c r="P48" i="183"/>
  <c r="R29" i="213"/>
  <c r="T29" s="1"/>
  <c r="R25"/>
  <c r="T25" s="1"/>
  <c r="R19"/>
  <c r="T19" s="1"/>
  <c r="K7" i="1"/>
  <c r="H7" i="185" l="1"/>
  <c r="O2" i="181"/>
  <c r="Q2" s="1"/>
  <c r="M7" i="1"/>
  <c r="R48" i="183"/>
  <c r="H23" i="185"/>
  <c r="D50" i="216"/>
  <c r="F50" s="1"/>
  <c r="O65" i="181" l="1"/>
  <c r="Q65" s="1"/>
  <c r="O11" i="162"/>
  <c r="O34" i="75" l="1"/>
  <c r="O22"/>
  <c r="O10"/>
  <c r="O17" s="1"/>
  <c r="O6"/>
  <c r="O7" s="1"/>
  <c r="N38" i="23"/>
  <c r="N30"/>
  <c r="N31" s="1"/>
  <c r="N23"/>
  <c r="N26" s="1"/>
  <c r="N15"/>
  <c r="N14"/>
  <c r="N12"/>
  <c r="N11"/>
  <c r="N8"/>
  <c r="E44" i="125"/>
  <c r="E34"/>
  <c r="E37" s="1"/>
  <c r="E28"/>
  <c r="E32" s="1"/>
  <c r="E15"/>
  <c r="E14"/>
  <c r="E8"/>
  <c r="L43" i="126"/>
  <c r="L36"/>
  <c r="L27"/>
  <c r="L31" s="1"/>
  <c r="L19"/>
  <c r="L18"/>
  <c r="L15"/>
  <c r="L12"/>
  <c r="L9"/>
  <c r="N53" i="184"/>
  <c r="N50"/>
  <c r="N47"/>
  <c r="N36"/>
  <c r="N33"/>
  <c r="N31"/>
  <c r="N30"/>
  <c r="N29"/>
  <c r="N21"/>
  <c r="N20"/>
  <c r="N19"/>
  <c r="N18"/>
  <c r="N16"/>
  <c r="N15"/>
  <c r="N10"/>
  <c r="D47" i="182"/>
  <c r="D44"/>
  <c r="D36"/>
  <c r="D35"/>
  <c r="D34"/>
  <c r="D30"/>
  <c r="D32" s="1"/>
  <c r="D20"/>
  <c r="D19"/>
  <c r="D18"/>
  <c r="D13"/>
  <c r="D7"/>
  <c r="D38" i="198"/>
  <c r="D33"/>
  <c r="D23"/>
  <c r="D7"/>
  <c r="O32" i="208"/>
  <c r="O27"/>
  <c r="O8"/>
  <c r="O42" i="63"/>
  <c r="O31"/>
  <c r="O19"/>
  <c r="O11"/>
  <c r="O8"/>
  <c r="N44" i="177"/>
  <c r="N36"/>
  <c r="N30"/>
  <c r="N29"/>
  <c r="N27"/>
  <c r="N17"/>
  <c r="N13"/>
  <c r="N9"/>
  <c r="L31" i="174"/>
  <c r="L30"/>
  <c r="L24"/>
  <c r="L16"/>
  <c r="L8"/>
  <c r="N37" i="172"/>
  <c r="N44"/>
  <c r="N32"/>
  <c r="N20"/>
  <c r="N19"/>
  <c r="N12"/>
  <c r="N8"/>
  <c r="N9" s="1"/>
  <c r="N42" i="51"/>
  <c r="N24"/>
  <c r="N7"/>
  <c r="N8" s="1"/>
  <c r="N49" i="53"/>
  <c r="N41"/>
  <c r="N42" s="1"/>
  <c r="N32"/>
  <c r="N30"/>
  <c r="N22"/>
  <c r="N21"/>
  <c r="N14"/>
  <c r="N11"/>
  <c r="N55" i="171"/>
  <c r="N50"/>
  <c r="N47"/>
  <c r="N40"/>
  <c r="N39"/>
  <c r="N34"/>
  <c r="N35" s="1"/>
  <c r="N20"/>
  <c r="N14"/>
  <c r="N11"/>
  <c r="O25" i="180"/>
  <c r="O30"/>
  <c r="O38"/>
  <c r="O41"/>
  <c r="N41"/>
  <c r="N38"/>
  <c r="N30"/>
  <c r="N31" s="1"/>
  <c r="N25"/>
  <c r="N26" s="1"/>
  <c r="N8"/>
  <c r="N9" s="1"/>
  <c r="M47" i="46"/>
  <c r="M43"/>
  <c r="M37"/>
  <c r="M36"/>
  <c r="M34"/>
  <c r="M31"/>
  <c r="M30"/>
  <c r="M20"/>
  <c r="M19"/>
  <c r="M16"/>
  <c r="M15"/>
  <c r="M13"/>
  <c r="M12"/>
  <c r="L46" i="44"/>
  <c r="L54" s="1"/>
  <c r="L44"/>
  <c r="L36"/>
  <c r="L38" s="1"/>
  <c r="L30"/>
  <c r="L29"/>
  <c r="L17"/>
  <c r="L12"/>
  <c r="L9"/>
  <c r="D43" i="189"/>
  <c r="D36"/>
  <c r="D30"/>
  <c r="D23"/>
  <c r="D44" i="200"/>
  <c r="D46" s="1"/>
  <c r="D41"/>
  <c r="D32"/>
  <c r="D31"/>
  <c r="D29"/>
  <c r="D22"/>
  <c r="D9"/>
  <c r="M71" i="178"/>
  <c r="M49"/>
  <c r="M41"/>
  <c r="M40"/>
  <c r="M30"/>
  <c r="M28"/>
  <c r="M23"/>
  <c r="M12"/>
  <c r="M8"/>
  <c r="M9" s="1"/>
  <c r="P28" i="170"/>
  <c r="R28" s="1"/>
  <c r="P49" i="41"/>
  <c r="R49" s="1"/>
  <c r="P38" i="40"/>
  <c r="P33"/>
  <c r="P19"/>
  <c r="R19" s="1"/>
  <c r="P33" i="169"/>
  <c r="P27"/>
  <c r="P17"/>
  <c r="R17" s="1"/>
  <c r="Q46" i="38"/>
  <c r="Q40"/>
  <c r="S40" s="1"/>
  <c r="Q34"/>
  <c r="S34" s="1"/>
  <c r="Q20"/>
  <c r="S20" s="1"/>
  <c r="Q9"/>
  <c r="P42" i="37"/>
  <c r="P39"/>
  <c r="P32"/>
  <c r="R32" s="1"/>
  <c r="P26"/>
  <c r="P17"/>
  <c r="R17" s="1"/>
  <c r="P16"/>
  <c r="R16" s="1"/>
  <c r="P12"/>
  <c r="R12" s="1"/>
  <c r="P8"/>
  <c r="P69" i="176"/>
  <c r="P65"/>
  <c r="P54"/>
  <c r="P49"/>
  <c r="P38"/>
  <c r="P11"/>
  <c r="P44" i="35"/>
  <c r="P37"/>
  <c r="P30"/>
  <c r="P18"/>
  <c r="R18" s="1"/>
  <c r="P8"/>
  <c r="P34" i="168"/>
  <c r="R34" s="1"/>
  <c r="P33"/>
  <c r="R33" s="1"/>
  <c r="P30"/>
  <c r="R30" s="1"/>
  <c r="P29"/>
  <c r="R29" s="1"/>
  <c r="P28"/>
  <c r="R28" s="1"/>
  <c r="P26"/>
  <c r="R26" s="1"/>
  <c r="P25"/>
  <c r="R25" s="1"/>
  <c r="P18"/>
  <c r="R18" s="1"/>
  <c r="P15"/>
  <c r="R15" s="1"/>
  <c r="P12"/>
  <c r="R12" s="1"/>
  <c r="P11"/>
  <c r="R11" s="1"/>
  <c r="P10"/>
  <c r="R10" s="1"/>
  <c r="P7"/>
  <c r="P44" i="165"/>
  <c r="R44" s="1"/>
  <c r="P28"/>
  <c r="L41" i="92"/>
  <c r="R46" i="31"/>
  <c r="R37"/>
  <c r="T37" s="1"/>
  <c r="R36"/>
  <c r="R33"/>
  <c r="T33" s="1"/>
  <c r="R30"/>
  <c r="T30" s="1"/>
  <c r="R29"/>
  <c r="T29" s="1"/>
  <c r="R19"/>
  <c r="T19" s="1"/>
  <c r="R18"/>
  <c r="T18" s="1"/>
  <c r="R17"/>
  <c r="T17" s="1"/>
  <c r="P45" i="183"/>
  <c r="Q34" i="114"/>
  <c r="S34" s="1"/>
  <c r="Q23"/>
  <c r="S23" s="1"/>
  <c r="O37" i="175"/>
  <c r="Q37" s="1"/>
  <c r="O36"/>
  <c r="O33"/>
  <c r="Q33" s="1"/>
  <c r="O25"/>
  <c r="Q25" s="1"/>
  <c r="O24"/>
  <c r="Q24" s="1"/>
  <c r="O22"/>
  <c r="Q22" s="1"/>
  <c r="O19"/>
  <c r="Q19" s="1"/>
  <c r="O16"/>
  <c r="P45" i="28"/>
  <c r="P39"/>
  <c r="P34"/>
  <c r="R34" s="1"/>
  <c r="P31"/>
  <c r="R31" s="1"/>
  <c r="P20"/>
  <c r="R20" s="1"/>
  <c r="P16"/>
  <c r="R16" s="1"/>
  <c r="P15"/>
  <c r="R15" s="1"/>
  <c r="P14"/>
  <c r="R14" s="1"/>
  <c r="P47" i="25"/>
  <c r="R47" s="1"/>
  <c r="P44"/>
  <c r="P36"/>
  <c r="R36" s="1"/>
  <c r="P35"/>
  <c r="R35" s="1"/>
  <c r="P32"/>
  <c r="P13"/>
  <c r="P42" i="24"/>
  <c r="R42" s="1"/>
  <c r="P36"/>
  <c r="R36" s="1"/>
  <c r="P35"/>
  <c r="R35" s="1"/>
  <c r="P33"/>
  <c r="R33" s="1"/>
  <c r="P25"/>
  <c r="R25" s="1"/>
  <c r="P22"/>
  <c r="R22" s="1"/>
  <c r="P17"/>
  <c r="R17" s="1"/>
  <c r="P16"/>
  <c r="R16" s="1"/>
  <c r="R8" i="213"/>
  <c r="T8" s="1"/>
  <c r="P6" i="212"/>
  <c r="R6" s="1"/>
  <c r="F43" i="185"/>
  <c r="F35"/>
  <c r="F31"/>
  <c r="P38" i="100"/>
  <c r="P30"/>
  <c r="N33" i="59"/>
  <c r="P33" s="1"/>
  <c r="P39" i="21"/>
  <c r="R39" s="1"/>
  <c r="P38"/>
  <c r="P33"/>
  <c r="R33" s="1"/>
  <c r="P32"/>
  <c r="P23"/>
  <c r="R23" s="1"/>
  <c r="P22"/>
  <c r="R22" s="1"/>
  <c r="P17"/>
  <c r="R17" s="1"/>
  <c r="O46" i="19"/>
  <c r="O37"/>
  <c r="Q37" s="1"/>
  <c r="O36"/>
  <c r="O31"/>
  <c r="O21"/>
  <c r="Q21" s="1"/>
  <c r="O20"/>
  <c r="Q20" s="1"/>
  <c r="O17"/>
  <c r="O39" i="18"/>
  <c r="Q39" s="1"/>
  <c r="O23"/>
  <c r="O37" i="16"/>
  <c r="Q37" s="1"/>
  <c r="O32"/>
  <c r="Q32" s="1"/>
  <c r="O31"/>
  <c r="O18" i="17"/>
  <c r="O36"/>
  <c r="Q36" s="1"/>
  <c r="O35"/>
  <c r="O24"/>
  <c r="Q24" s="1"/>
  <c r="O19"/>
  <c r="Q19" s="1"/>
  <c r="P50" i="83"/>
  <c r="R50" s="1"/>
  <c r="P47"/>
  <c r="P24"/>
  <c r="R24" s="1"/>
  <c r="P23"/>
  <c r="R23" s="1"/>
  <c r="P19"/>
  <c r="R19" s="1"/>
  <c r="P18"/>
  <c r="R18" s="1"/>
  <c r="L28" i="91"/>
  <c r="O38" i="23"/>
  <c r="Q38" s="1"/>
  <c r="M43" i="126"/>
  <c r="O43" s="1"/>
  <c r="M26" i="181" l="1"/>
  <c r="N26"/>
  <c r="R45" i="183"/>
  <c r="L29" i="91"/>
  <c r="N28"/>
  <c r="O38" i="17"/>
  <c r="Q38" s="1"/>
  <c r="Q35"/>
  <c r="E6" i="214"/>
  <c r="Q18" i="17"/>
  <c r="P40" i="100"/>
  <c r="R38"/>
  <c r="H35" i="185"/>
  <c r="R13" i="25"/>
  <c r="R44"/>
  <c r="P40" i="28"/>
  <c r="R39"/>
  <c r="L42" i="92"/>
  <c r="N42" s="1"/>
  <c r="N41"/>
  <c r="R7" i="168"/>
  <c r="R37" i="35"/>
  <c r="R11" i="176"/>
  <c r="R49"/>
  <c r="R65"/>
  <c r="R8" i="37"/>
  <c r="P30"/>
  <c r="R26"/>
  <c r="R39"/>
  <c r="S9" i="38"/>
  <c r="S46"/>
  <c r="P28" i="169"/>
  <c r="R27"/>
  <c r="R41"/>
  <c r="R38" i="40"/>
  <c r="Q38" i="180"/>
  <c r="O26"/>
  <c r="Q25"/>
  <c r="R47" i="83"/>
  <c r="O35" i="16"/>
  <c r="Q35" s="1"/>
  <c r="Q31"/>
  <c r="O28" i="18"/>
  <c r="Q28" s="1"/>
  <c r="Q23"/>
  <c r="P36" i="21"/>
  <c r="R36" s="1"/>
  <c r="R32"/>
  <c r="P41"/>
  <c r="R41" s="1"/>
  <c r="R38"/>
  <c r="P35" i="100"/>
  <c r="R35" s="1"/>
  <c r="R30"/>
  <c r="H31" i="185"/>
  <c r="H43"/>
  <c r="P33" i="25"/>
  <c r="R32"/>
  <c r="P46" i="28"/>
  <c r="R45"/>
  <c r="O28" i="175"/>
  <c r="Q28" s="1"/>
  <c r="Q16"/>
  <c r="O39"/>
  <c r="Q39" s="1"/>
  <c r="Q36"/>
  <c r="R39" i="31"/>
  <c r="T39" s="1"/>
  <c r="T36"/>
  <c r="T46"/>
  <c r="P31" i="165"/>
  <c r="R31" s="1"/>
  <c r="R28"/>
  <c r="R8" i="35"/>
  <c r="P32"/>
  <c r="R30"/>
  <c r="R44"/>
  <c r="R38" i="176"/>
  <c r="R54"/>
  <c r="R69"/>
  <c r="R42" i="37"/>
  <c r="R33" i="169"/>
  <c r="R33" i="40"/>
  <c r="Q41" i="180"/>
  <c r="O31"/>
  <c r="Q30"/>
  <c r="O34" i="19"/>
  <c r="Q34" s="1"/>
  <c r="Q31"/>
  <c r="O26"/>
  <c r="Q26" s="1"/>
  <c r="Q17"/>
  <c r="O39"/>
  <c r="Q39" s="1"/>
  <c r="Q36"/>
  <c r="Q46"/>
  <c r="P30" i="83"/>
  <c r="R30" s="1"/>
  <c r="O31" i="17"/>
  <c r="O41" i="18"/>
  <c r="Q24" i="114"/>
  <c r="R34" i="31"/>
  <c r="T34" s="1"/>
  <c r="P31" i="170"/>
  <c r="O45" i="208"/>
  <c r="N64" i="181" s="1"/>
  <c r="O40" i="16"/>
  <c r="P28" i="21"/>
  <c r="O34" i="175"/>
  <c r="P26" i="28"/>
  <c r="R26" s="1"/>
  <c r="N25" i="172"/>
  <c r="N45" s="1"/>
  <c r="N41" i="171"/>
  <c r="E24" i="125"/>
  <c r="E45" s="1"/>
  <c r="N58" i="181" s="1"/>
  <c r="P23" i="37"/>
  <c r="R23" s="1"/>
  <c r="L33" i="44"/>
  <c r="R38" i="213"/>
  <c r="T38" s="1"/>
  <c r="N27" i="53"/>
  <c r="D25" i="182"/>
  <c r="P36" i="168"/>
  <c r="R36" s="1"/>
  <c r="M38" i="46"/>
  <c r="N36" i="53"/>
  <c r="N50" s="1"/>
  <c r="N25" i="177"/>
  <c r="N32"/>
  <c r="N19" i="23"/>
  <c r="N39" s="1"/>
  <c r="P31" i="24"/>
  <c r="R31" s="1"/>
  <c r="P37"/>
  <c r="R37" s="1"/>
  <c r="P27" i="25"/>
  <c r="P37"/>
  <c r="P36" i="28"/>
  <c r="O20" i="181"/>
  <c r="Q20" s="1"/>
  <c r="P31" i="168"/>
  <c r="P34" i="37"/>
  <c r="Q41" i="38"/>
  <c r="P23" i="169"/>
  <c r="P25" i="40"/>
  <c r="M36" i="178"/>
  <c r="M42"/>
  <c r="D34" i="200"/>
  <c r="D47" s="1"/>
  <c r="L24" i="44"/>
  <c r="D45" i="198"/>
  <c r="D46" s="1"/>
  <c r="D37" i="182"/>
  <c r="N26" i="184"/>
  <c r="N34"/>
  <c r="L24" i="126"/>
  <c r="L44" s="1"/>
  <c r="D44" i="189"/>
  <c r="O64" i="181"/>
  <c r="Q64" s="1"/>
  <c r="F44" i="185"/>
  <c r="L6" i="214" l="1"/>
  <c r="P51" i="83"/>
  <c r="R51" s="1"/>
  <c r="Q22" i="181"/>
  <c r="P45" i="165"/>
  <c r="R45" s="1"/>
  <c r="O13" i="181"/>
  <c r="Q13" s="1"/>
  <c r="H44" i="185"/>
  <c r="S41" i="38"/>
  <c r="O50" i="175"/>
  <c r="Q50" s="1"/>
  <c r="Q34"/>
  <c r="P52" i="21"/>
  <c r="R52" s="1"/>
  <c r="R28"/>
  <c r="R31" i="170"/>
  <c r="S24" i="114"/>
  <c r="O48" i="18"/>
  <c r="Q48" s="1"/>
  <c r="Q41"/>
  <c r="Q31" i="180"/>
  <c r="R32" i="35"/>
  <c r="R46" i="28"/>
  <c r="R33" i="25"/>
  <c r="Q26" i="180"/>
  <c r="R28" i="169"/>
  <c r="R30" i="37"/>
  <c r="R40" i="28"/>
  <c r="P52" i="100"/>
  <c r="R52" s="1"/>
  <c r="R40"/>
  <c r="L42" i="91"/>
  <c r="N42" s="1"/>
  <c r="N29"/>
  <c r="Q31" i="17"/>
  <c r="R25" i="40"/>
  <c r="R31" i="168"/>
  <c r="R27" i="25"/>
  <c r="R23" i="169"/>
  <c r="R34" i="37"/>
  <c r="R36" i="28"/>
  <c r="R37" i="25"/>
  <c r="O49" i="16"/>
  <c r="Q49" s="1"/>
  <c r="Q40"/>
  <c r="O7" i="181"/>
  <c r="Q7" s="1"/>
  <c r="D48" i="182"/>
  <c r="N62" i="181" s="1"/>
  <c r="L65" i="44"/>
  <c r="M44" i="181" s="1"/>
  <c r="N48" i="177"/>
  <c r="M52" i="181" s="1"/>
  <c r="M58"/>
  <c r="P48" i="25"/>
  <c r="M43" i="181"/>
  <c r="N43"/>
  <c r="M50"/>
  <c r="N50"/>
  <c r="M59"/>
  <c r="N59"/>
  <c r="M54"/>
  <c r="N54"/>
  <c r="M42"/>
  <c r="N42"/>
  <c r="M63"/>
  <c r="N63"/>
  <c r="M57"/>
  <c r="N57"/>
  <c r="M56"/>
  <c r="N56"/>
  <c r="M49"/>
  <c r="N49"/>
  <c r="O15"/>
  <c r="Q15" s="1"/>
  <c r="O27"/>
  <c r="Q27" s="1"/>
  <c r="O25"/>
  <c r="Q25" s="1"/>
  <c r="O34"/>
  <c r="Q34" s="1"/>
  <c r="O28"/>
  <c r="Q28" s="1"/>
  <c r="O5" l="1"/>
  <c r="Q5" s="1"/>
  <c r="Q29"/>
  <c r="O12"/>
  <c r="Q12" s="1"/>
  <c r="O19"/>
  <c r="Q19" s="1"/>
  <c r="O10"/>
  <c r="Q10" s="1"/>
  <c r="M62"/>
  <c r="O17"/>
  <c r="Q17" s="1"/>
  <c r="R48" i="25"/>
  <c r="N44" i="181"/>
  <c r="N52"/>
  <c r="Q19" i="213"/>
  <c r="P25"/>
  <c r="O29" i="162"/>
  <c r="P48" i="210" l="1"/>
  <c r="Q25" i="213"/>
  <c r="O12" i="83"/>
  <c r="J10" i="91"/>
  <c r="Q33" i="210"/>
  <c r="E44" i="198"/>
  <c r="F44" s="1"/>
  <c r="G44" s="1"/>
  <c r="E43"/>
  <c r="F43" s="1"/>
  <c r="E19"/>
  <c r="F19" s="1"/>
  <c r="G19" s="1"/>
  <c r="E18"/>
  <c r="F18" s="1"/>
  <c r="G18" s="1"/>
  <c r="E17"/>
  <c r="F17" s="1"/>
  <c r="G17" s="1"/>
  <c r="F45" l="1"/>
  <c r="H58" i="214" s="1"/>
  <c r="G43" i="198"/>
  <c r="E45"/>
  <c r="Q64" i="210"/>
  <c r="M53" i="59"/>
  <c r="M41"/>
  <c r="N41" s="1"/>
  <c r="O41" s="1"/>
  <c r="M38"/>
  <c r="N38" s="1"/>
  <c r="M35"/>
  <c r="M27"/>
  <c r="G45" i="198" l="1"/>
  <c r="P41" i="59"/>
  <c r="P38"/>
  <c r="F11" i="214"/>
  <c r="N39" i="59"/>
  <c r="N34" i="181"/>
  <c r="P39" i="59" l="1"/>
  <c r="O13" i="170"/>
  <c r="O8" i="41"/>
  <c r="N8"/>
  <c r="O41" i="169" l="1"/>
  <c r="N41"/>
  <c r="P41" i="210"/>
  <c r="P33"/>
  <c r="P25"/>
  <c r="N52" i="19" l="1"/>
  <c r="N6"/>
  <c r="O6" s="1"/>
  <c r="O8" i="37"/>
  <c r="O13" i="19" l="1"/>
  <c r="O53" s="1"/>
  <c r="P39" i="213"/>
  <c r="Q8"/>
  <c r="P8"/>
  <c r="P38" s="1"/>
  <c r="N34"/>
  <c r="L34"/>
  <c r="F34"/>
  <c r="J30"/>
  <c r="I30"/>
  <c r="H30"/>
  <c r="G30"/>
  <c r="F30"/>
  <c r="E30"/>
  <c r="C30"/>
  <c r="L29"/>
  <c r="N28"/>
  <c r="M28"/>
  <c r="N27"/>
  <c r="M27"/>
  <c r="L25"/>
  <c r="K25"/>
  <c r="N24"/>
  <c r="M24"/>
  <c r="N23"/>
  <c r="M23"/>
  <c r="D23"/>
  <c r="D30" s="1"/>
  <c r="N22"/>
  <c r="M22"/>
  <c r="M21"/>
  <c r="N21" s="1"/>
  <c r="J20"/>
  <c r="I20"/>
  <c r="H20"/>
  <c r="G20"/>
  <c r="F20"/>
  <c r="E20"/>
  <c r="D20"/>
  <c r="C20"/>
  <c r="K19"/>
  <c r="M18"/>
  <c r="L18"/>
  <c r="L19" s="1"/>
  <c r="N17"/>
  <c r="M17"/>
  <c r="J17"/>
  <c r="I17"/>
  <c r="H17"/>
  <c r="G17"/>
  <c r="F17"/>
  <c r="D17"/>
  <c r="C17"/>
  <c r="N16"/>
  <c r="M16"/>
  <c r="K16"/>
  <c r="M15"/>
  <c r="N15" s="1"/>
  <c r="M14"/>
  <c r="N13"/>
  <c r="M13"/>
  <c r="N12"/>
  <c r="M12"/>
  <c r="N11"/>
  <c r="M11"/>
  <c r="L8"/>
  <c r="N7"/>
  <c r="N8" s="1"/>
  <c r="K6"/>
  <c r="J6"/>
  <c r="M5"/>
  <c r="G5"/>
  <c r="K4"/>
  <c r="J4"/>
  <c r="O40" i="212"/>
  <c r="O38"/>
  <c r="O34"/>
  <c r="P34" s="1"/>
  <c r="Q34" s="1"/>
  <c r="O24"/>
  <c r="O30" s="1"/>
  <c r="O12"/>
  <c r="O13"/>
  <c r="O11"/>
  <c r="O6"/>
  <c r="N42"/>
  <c r="N35"/>
  <c r="L42"/>
  <c r="K42"/>
  <c r="M41"/>
  <c r="M40"/>
  <c r="L35"/>
  <c r="K35"/>
  <c r="M33"/>
  <c r="M32"/>
  <c r="L30"/>
  <c r="M29"/>
  <c r="M28"/>
  <c r="M26"/>
  <c r="N30"/>
  <c r="M25"/>
  <c r="M24"/>
  <c r="L21"/>
  <c r="K21"/>
  <c r="M20"/>
  <c r="M17"/>
  <c r="M16"/>
  <c r="M14"/>
  <c r="M13"/>
  <c r="M12"/>
  <c r="J12"/>
  <c r="H12"/>
  <c r="G12"/>
  <c r="F12"/>
  <c r="E12"/>
  <c r="D12"/>
  <c r="C12"/>
  <c r="N21"/>
  <c r="M9"/>
  <c r="M6"/>
  <c r="K6"/>
  <c r="I6"/>
  <c r="I12" s="1"/>
  <c r="N6"/>
  <c r="G5"/>
  <c r="L4"/>
  <c r="L6" s="1"/>
  <c r="I4"/>
  <c r="H4"/>
  <c r="G14" i="214" l="1"/>
  <c r="L14" s="1"/>
  <c r="R34" i="212"/>
  <c r="Q6" i="19"/>
  <c r="N25" i="213"/>
  <c r="O35" i="212"/>
  <c r="M19" i="213"/>
  <c r="M29"/>
  <c r="M35" i="212"/>
  <c r="M42"/>
  <c r="P30"/>
  <c r="P35"/>
  <c r="P42"/>
  <c r="O42"/>
  <c r="N19" i="213"/>
  <c r="M25"/>
  <c r="D31"/>
  <c r="N29"/>
  <c r="E31"/>
  <c r="G31"/>
  <c r="I31"/>
  <c r="M34"/>
  <c r="Q38"/>
  <c r="P21" i="212"/>
  <c r="R21" s="1"/>
  <c r="K31" i="213"/>
  <c r="C31"/>
  <c r="F31"/>
  <c r="H31"/>
  <c r="J31"/>
  <c r="L38"/>
  <c r="O21" i="212"/>
  <c r="M21"/>
  <c r="M30"/>
  <c r="L46"/>
  <c r="N46"/>
  <c r="P10" i="114"/>
  <c r="O10" i="165"/>
  <c r="O9" i="183"/>
  <c r="N9"/>
  <c r="Q53" i="19" l="1"/>
  <c r="D9" i="214"/>
  <c r="L9" s="1"/>
  <c r="R42" i="212"/>
  <c r="R30"/>
  <c r="R35"/>
  <c r="Q13" i="19"/>
  <c r="N38" i="213"/>
  <c r="P46" i="212"/>
  <c r="M46"/>
  <c r="O46"/>
  <c r="N14" i="181" s="1"/>
  <c r="N15"/>
  <c r="R46" i="212" l="1"/>
  <c r="P14" i="181"/>
  <c r="P9"/>
  <c r="O14"/>
  <c r="O11" i="176"/>
  <c r="Q14" i="181" l="1"/>
  <c r="N53" i="17"/>
  <c r="O50" i="184" l="1"/>
  <c r="O53"/>
  <c r="Q53" s="1"/>
  <c r="E43" i="189"/>
  <c r="G43" s="1"/>
  <c r="E41" i="200"/>
  <c r="O36" i="170"/>
  <c r="O9"/>
  <c r="O52" i="41"/>
  <c r="O46"/>
  <c r="O49"/>
  <c r="O38" i="40"/>
  <c r="O33" i="169"/>
  <c r="P46" i="38"/>
  <c r="P9"/>
  <c r="O42" i="37"/>
  <c r="O39"/>
  <c r="O69" i="176"/>
  <c r="O65"/>
  <c r="O54"/>
  <c r="O49"/>
  <c r="O38"/>
  <c r="O44" i="35"/>
  <c r="O37"/>
  <c r="O8"/>
  <c r="O46" i="168"/>
  <c r="O44" i="165"/>
  <c r="O41"/>
  <c r="O53" i="162"/>
  <c r="O56"/>
  <c r="O49"/>
  <c r="O41"/>
  <c r="O37"/>
  <c r="M44" i="163"/>
  <c r="M37"/>
  <c r="M33"/>
  <c r="M24"/>
  <c r="M9"/>
  <c r="N22" i="181"/>
  <c r="K41" i="92"/>
  <c r="K34"/>
  <c r="K30"/>
  <c r="K22"/>
  <c r="K9"/>
  <c r="G41" i="200" l="1"/>
  <c r="Q50" i="184"/>
  <c r="E44" i="189"/>
  <c r="G44" s="1"/>
  <c r="M45" i="163"/>
  <c r="K42" i="92"/>
  <c r="O57" i="162"/>
  <c r="Q46" i="31"/>
  <c r="Q6"/>
  <c r="O48" i="183"/>
  <c r="O45"/>
  <c r="P34" i="114"/>
  <c r="P29"/>
  <c r="O42" i="116"/>
  <c r="O38"/>
  <c r="O11"/>
  <c r="N46" i="175"/>
  <c r="N13"/>
  <c r="O44" i="25"/>
  <c r="O47"/>
  <c r="O13"/>
  <c r="O42" i="24"/>
  <c r="E35" i="185"/>
  <c r="E31"/>
  <c r="E23"/>
  <c r="E7"/>
  <c r="O48" i="100"/>
  <c r="O25"/>
  <c r="O11"/>
  <c r="O11" i="21"/>
  <c r="N46" i="19"/>
  <c r="N36" i="18"/>
  <c r="N48" i="16"/>
  <c r="N43" i="17"/>
  <c r="N13"/>
  <c r="O47" i="83"/>
  <c r="O42"/>
  <c r="M24" i="59"/>
  <c r="N48" i="100"/>
  <c r="O43" i="181" l="1"/>
  <c r="Q43" s="1"/>
  <c r="N28"/>
  <c r="N25"/>
  <c r="N27"/>
  <c r="P57" i="210"/>
  <c r="N38" i="176"/>
  <c r="M22" i="181"/>
  <c r="N57" i="210"/>
  <c r="L57"/>
  <c r="K57"/>
  <c r="J57"/>
  <c r="M50"/>
  <c r="M57" s="1"/>
  <c r="L33"/>
  <c r="J33"/>
  <c r="I33"/>
  <c r="H33"/>
  <c r="G33"/>
  <c r="E33"/>
  <c r="C33"/>
  <c r="M31"/>
  <c r="F31"/>
  <c r="M29"/>
  <c r="N27"/>
  <c r="D27"/>
  <c r="D33" s="1"/>
  <c r="F33"/>
  <c r="N25"/>
  <c r="L25"/>
  <c r="M15"/>
  <c r="M12"/>
  <c r="M9"/>
  <c r="P64" l="1"/>
  <c r="M33"/>
  <c r="M25"/>
  <c r="N33"/>
  <c r="L64"/>
  <c r="M24" i="25"/>
  <c r="L24"/>
  <c r="Q39" i="208"/>
  <c r="Q38"/>
  <c r="M38"/>
  <c r="Q37"/>
  <c r="M37"/>
  <c r="Q36"/>
  <c r="Q35"/>
  <c r="Q34"/>
  <c r="Q33"/>
  <c r="J33"/>
  <c r="I33"/>
  <c r="H33"/>
  <c r="G33"/>
  <c r="F33"/>
  <c r="E33"/>
  <c r="C33"/>
  <c r="L32"/>
  <c r="Q31"/>
  <c r="N30"/>
  <c r="Q30" s="1"/>
  <c r="M30"/>
  <c r="N29"/>
  <c r="M29"/>
  <c r="Q28"/>
  <c r="L27"/>
  <c r="K27"/>
  <c r="N26"/>
  <c r="Q26" s="1"/>
  <c r="M26"/>
  <c r="N25"/>
  <c r="Q25" s="1"/>
  <c r="M25"/>
  <c r="D25"/>
  <c r="D33" s="1"/>
  <c r="N24"/>
  <c r="M24"/>
  <c r="M23"/>
  <c r="N23" s="1"/>
  <c r="Q22"/>
  <c r="J22"/>
  <c r="I22"/>
  <c r="H22"/>
  <c r="G22"/>
  <c r="F22"/>
  <c r="E22"/>
  <c r="D22"/>
  <c r="C22"/>
  <c r="K21"/>
  <c r="Q19"/>
  <c r="M19"/>
  <c r="L19"/>
  <c r="L21" s="1"/>
  <c r="N18"/>
  <c r="Q18" s="1"/>
  <c r="M18"/>
  <c r="J18"/>
  <c r="I18"/>
  <c r="H18"/>
  <c r="G18"/>
  <c r="F18"/>
  <c r="D18"/>
  <c r="C18"/>
  <c r="N17"/>
  <c r="Q17" s="1"/>
  <c r="M17"/>
  <c r="K17"/>
  <c r="M15"/>
  <c r="N15" s="1"/>
  <c r="Q15" s="1"/>
  <c r="Q14"/>
  <c r="M14"/>
  <c r="N13"/>
  <c r="Q13" s="1"/>
  <c r="M13"/>
  <c r="N12"/>
  <c r="Q12" s="1"/>
  <c r="M12"/>
  <c r="N11"/>
  <c r="M11"/>
  <c r="Q10"/>
  <c r="Q9"/>
  <c r="L8"/>
  <c r="N7"/>
  <c r="N8" s="1"/>
  <c r="Q6"/>
  <c r="K6"/>
  <c r="J6"/>
  <c r="Q5"/>
  <c r="M5"/>
  <c r="G5"/>
  <c r="Q4"/>
  <c r="K4"/>
  <c r="J4"/>
  <c r="E13" i="198"/>
  <c r="O36" i="184"/>
  <c r="P36" s="1"/>
  <c r="O46" i="53"/>
  <c r="E39" i="185"/>
  <c r="O34" i="100"/>
  <c r="N47" i="18"/>
  <c r="E36" i="182"/>
  <c r="F36" s="1"/>
  <c r="G36" s="1"/>
  <c r="E35"/>
  <c r="F35" s="1"/>
  <c r="E30"/>
  <c r="F30" s="1"/>
  <c r="E20"/>
  <c r="G20" s="1"/>
  <c r="E18"/>
  <c r="F18" s="1"/>
  <c r="G18" s="1"/>
  <c r="E13"/>
  <c r="M27" i="126"/>
  <c r="O27" s="1"/>
  <c r="M18"/>
  <c r="O18" s="1"/>
  <c r="M15"/>
  <c r="O15" s="1"/>
  <c r="F17" i="125"/>
  <c r="G17" s="1"/>
  <c r="F34"/>
  <c r="H34" s="1"/>
  <c r="F28"/>
  <c r="H28" s="1"/>
  <c r="F15"/>
  <c r="H15" s="1"/>
  <c r="F14"/>
  <c r="H14" s="1"/>
  <c r="P22" i="75"/>
  <c r="P10"/>
  <c r="R10" s="1"/>
  <c r="O30" i="23"/>
  <c r="Q30" s="1"/>
  <c r="O23"/>
  <c r="Q23" s="1"/>
  <c r="O15"/>
  <c r="Q15" s="1"/>
  <c r="O14"/>
  <c r="Q14" s="1"/>
  <c r="O12"/>
  <c r="Q12" s="1"/>
  <c r="O11"/>
  <c r="Q11" s="1"/>
  <c r="P42" i="63"/>
  <c r="P31"/>
  <c r="R31" s="1"/>
  <c r="P19"/>
  <c r="R19" s="1"/>
  <c r="P11"/>
  <c r="R11" s="1"/>
  <c r="O30" i="177"/>
  <c r="Q30" s="1"/>
  <c r="O29"/>
  <c r="Q29" s="1"/>
  <c r="O27"/>
  <c r="O17"/>
  <c r="Q17" s="1"/>
  <c r="O13"/>
  <c r="M31" i="174"/>
  <c r="O31" s="1"/>
  <c r="M30"/>
  <c r="O30" s="1"/>
  <c r="M24"/>
  <c r="O24" s="1"/>
  <c r="M16"/>
  <c r="O16" s="1"/>
  <c r="O20" i="172"/>
  <c r="Q20" s="1"/>
  <c r="O19"/>
  <c r="Q19" s="1"/>
  <c r="O12"/>
  <c r="Q12" s="1"/>
  <c r="O7" i="51"/>
  <c r="P7" s="1"/>
  <c r="Q51" i="53"/>
  <c r="O41"/>
  <c r="Q41" s="1"/>
  <c r="O32"/>
  <c r="Q32" s="1"/>
  <c r="O22"/>
  <c r="Q22" s="1"/>
  <c r="O21"/>
  <c r="Q21" s="1"/>
  <c r="O19" i="171"/>
  <c r="P19" s="1"/>
  <c r="P28" s="1"/>
  <c r="O40"/>
  <c r="Q40" s="1"/>
  <c r="O39"/>
  <c r="O34"/>
  <c r="Q34" s="1"/>
  <c r="O20"/>
  <c r="Q20" s="1"/>
  <c r="O14"/>
  <c r="N37" i="46"/>
  <c r="P37" s="1"/>
  <c r="N36"/>
  <c r="P36" s="1"/>
  <c r="N34"/>
  <c r="N31"/>
  <c r="P31" s="1"/>
  <c r="N30"/>
  <c r="P30" s="1"/>
  <c r="N19"/>
  <c r="P19" s="1"/>
  <c r="N16"/>
  <c r="P16" s="1"/>
  <c r="N15"/>
  <c r="P15" s="1"/>
  <c r="M16" i="44"/>
  <c r="M36"/>
  <c r="M30"/>
  <c r="O30" s="1"/>
  <c r="M29"/>
  <c r="O29" s="1"/>
  <c r="M17"/>
  <c r="O17" s="1"/>
  <c r="M12"/>
  <c r="O12" s="1"/>
  <c r="N40" i="178"/>
  <c r="N30"/>
  <c r="N23"/>
  <c r="P23" s="1"/>
  <c r="N12"/>
  <c r="P12" s="1"/>
  <c r="O28" i="170"/>
  <c r="O12"/>
  <c r="O12" i="41"/>
  <c r="O30" i="40"/>
  <c r="O19"/>
  <c r="O27" i="169"/>
  <c r="O19"/>
  <c r="O17"/>
  <c r="P40" i="38"/>
  <c r="P34"/>
  <c r="P20"/>
  <c r="O33" i="37"/>
  <c r="O32"/>
  <c r="O26"/>
  <c r="O17"/>
  <c r="O16"/>
  <c r="O13"/>
  <c r="O12"/>
  <c r="O30" i="35"/>
  <c r="O24"/>
  <c r="O18"/>
  <c r="O12"/>
  <c r="O11"/>
  <c r="O34" i="168"/>
  <c r="O33"/>
  <c r="O30"/>
  <c r="O29"/>
  <c r="O28"/>
  <c r="O26"/>
  <c r="O25"/>
  <c r="O18"/>
  <c r="O15"/>
  <c r="O12"/>
  <c r="O11"/>
  <c r="O10"/>
  <c r="O5"/>
  <c r="O28" i="165"/>
  <c r="O27"/>
  <c r="O21"/>
  <c r="O20"/>
  <c r="O18"/>
  <c r="O13"/>
  <c r="Q37" i="31"/>
  <c r="Q36"/>
  <c r="Q33"/>
  <c r="Q32"/>
  <c r="Q30"/>
  <c r="Q29"/>
  <c r="Q19"/>
  <c r="Q18"/>
  <c r="Q17"/>
  <c r="Q10"/>
  <c r="P23" i="114"/>
  <c r="O31" i="116"/>
  <c r="N37" i="175"/>
  <c r="N36"/>
  <c r="N33"/>
  <c r="N25"/>
  <c r="N24"/>
  <c r="N22"/>
  <c r="N19"/>
  <c r="N16"/>
  <c r="O39" i="28"/>
  <c r="O45"/>
  <c r="O34"/>
  <c r="O31"/>
  <c r="O20"/>
  <c r="O16"/>
  <c r="O15"/>
  <c r="O14"/>
  <c r="O36" i="25"/>
  <c r="O35"/>
  <c r="O32"/>
  <c r="O22"/>
  <c r="O17"/>
  <c r="O36" i="24"/>
  <c r="O35"/>
  <c r="O33"/>
  <c r="O26"/>
  <c r="O25"/>
  <c r="O22"/>
  <c r="O17"/>
  <c r="O16"/>
  <c r="O14"/>
  <c r="O13"/>
  <c r="O38" i="100"/>
  <c r="O30"/>
  <c r="M33" i="59"/>
  <c r="O51" i="21"/>
  <c r="O39"/>
  <c r="O38"/>
  <c r="O33"/>
  <c r="O32"/>
  <c r="O23"/>
  <c r="O22"/>
  <c r="O17"/>
  <c r="N37" i="19"/>
  <c r="N36"/>
  <c r="N31"/>
  <c r="N21"/>
  <c r="N20"/>
  <c r="N17"/>
  <c r="N16"/>
  <c r="N39" i="18"/>
  <c r="N24"/>
  <c r="N23"/>
  <c r="N17"/>
  <c r="N37" i="16"/>
  <c r="N32"/>
  <c r="N31"/>
  <c r="N21"/>
  <c r="N36" i="17"/>
  <c r="N35"/>
  <c r="N24"/>
  <c r="N19"/>
  <c r="O50" i="83"/>
  <c r="O34"/>
  <c r="O24"/>
  <c r="O23"/>
  <c r="O19"/>
  <c r="O18"/>
  <c r="O15"/>
  <c r="I17" i="91"/>
  <c r="J41"/>
  <c r="J31"/>
  <c r="J28"/>
  <c r="J27"/>
  <c r="K21" i="1"/>
  <c r="D23" i="185"/>
  <c r="N42" i="116"/>
  <c r="Q14" i="171" l="1"/>
  <c r="Q19"/>
  <c r="N42" i="178"/>
  <c r="P40"/>
  <c r="O16" i="44"/>
  <c r="E42" i="214"/>
  <c r="L42" s="1"/>
  <c r="N38" i="46"/>
  <c r="P38" s="1"/>
  <c r="P34"/>
  <c r="O41" i="171"/>
  <c r="Q41" s="1"/>
  <c r="Q39"/>
  <c r="D25" i="214"/>
  <c r="Q7" i="51"/>
  <c r="O25" i="177"/>
  <c r="Q25" s="1"/>
  <c r="Q13"/>
  <c r="O32"/>
  <c r="Q32" s="1"/>
  <c r="Q27"/>
  <c r="R42" i="63"/>
  <c r="F32" i="182"/>
  <c r="F57" i="214" s="1"/>
  <c r="G30" i="182"/>
  <c r="P49" i="53"/>
  <c r="H47" i="214" s="1"/>
  <c r="Q46" i="53"/>
  <c r="E23" i="198"/>
  <c r="E46" s="1"/>
  <c r="F13"/>
  <c r="M21" i="1"/>
  <c r="N36" i="178"/>
  <c r="P36" s="1"/>
  <c r="P30"/>
  <c r="M38" i="44"/>
  <c r="O38" s="1"/>
  <c r="O36"/>
  <c r="P23" i="75"/>
  <c r="R22"/>
  <c r="H17" i="125"/>
  <c r="G24"/>
  <c r="E54" i="214" s="1"/>
  <c r="L54" s="1"/>
  <c r="E25" i="182"/>
  <c r="F13"/>
  <c r="F37"/>
  <c r="G57" i="214" s="1"/>
  <c r="G35" i="182"/>
  <c r="Q36" i="184"/>
  <c r="O35" i="171"/>
  <c r="Q35" s="1"/>
  <c r="O42" i="53"/>
  <c r="Q42" s="1"/>
  <c r="O8" i="51"/>
  <c r="O25" i="172"/>
  <c r="O19" i="23"/>
  <c r="Q19" s="1"/>
  <c r="O26"/>
  <c r="P17" i="75"/>
  <c r="R17" s="1"/>
  <c r="F24" i="125"/>
  <c r="F32"/>
  <c r="H32" s="1"/>
  <c r="M24" i="126"/>
  <c r="O24" s="1"/>
  <c r="M31"/>
  <c r="E37" i="182"/>
  <c r="M24" i="44"/>
  <c r="M33"/>
  <c r="O33" s="1"/>
  <c r="O36" i="53"/>
  <c r="Q36" s="1"/>
  <c r="M32" i="174"/>
  <c r="O32" s="1"/>
  <c r="P32" i="63"/>
  <c r="R32" s="1"/>
  <c r="O31" i="23"/>
  <c r="F37" i="125"/>
  <c r="E32" i="182"/>
  <c r="O49" i="53"/>
  <c r="M32" i="208"/>
  <c r="N32"/>
  <c r="Q32" s="1"/>
  <c r="O3" i="181"/>
  <c r="Q3" s="1"/>
  <c r="O30" i="83"/>
  <c r="N35" i="16"/>
  <c r="N34" i="19"/>
  <c r="O35" i="100"/>
  <c r="O37" i="24"/>
  <c r="J34" i="91"/>
  <c r="O37" i="83"/>
  <c r="N27" i="16"/>
  <c r="N41" i="18"/>
  <c r="N39" i="19"/>
  <c r="O28" i="21"/>
  <c r="O40" i="100"/>
  <c r="O31" i="24"/>
  <c r="O27" i="25"/>
  <c r="O33"/>
  <c r="O40" i="28"/>
  <c r="N34" i="175"/>
  <c r="O24" i="165"/>
  <c r="O7" i="168"/>
  <c r="O31"/>
  <c r="O30" i="37"/>
  <c r="P41" i="38"/>
  <c r="O23" i="169"/>
  <c r="O28"/>
  <c r="O33" i="40"/>
  <c r="O31" i="170"/>
  <c r="N40" i="16"/>
  <c r="N28" i="18"/>
  <c r="N26" i="19"/>
  <c r="O36" i="21"/>
  <c r="O41"/>
  <c r="O37" i="25"/>
  <c r="O26" i="28"/>
  <c r="O36"/>
  <c r="O46"/>
  <c r="N28" i="175"/>
  <c r="N39"/>
  <c r="O33" i="116"/>
  <c r="P24" i="114"/>
  <c r="O36" i="168"/>
  <c r="O32" i="35"/>
  <c r="O34" i="37"/>
  <c r="O25" i="40"/>
  <c r="O23" i="170"/>
  <c r="R9" i="31"/>
  <c r="S9" s="1"/>
  <c r="Q34"/>
  <c r="Q39"/>
  <c r="E43" i="185"/>
  <c r="N31" i="17"/>
  <c r="N38"/>
  <c r="M64" i="210"/>
  <c r="N64"/>
  <c r="N21" i="208"/>
  <c r="Q21" s="1"/>
  <c r="M21"/>
  <c r="D34"/>
  <c r="E34"/>
  <c r="G34"/>
  <c r="I34"/>
  <c r="K34"/>
  <c r="C34"/>
  <c r="F34"/>
  <c r="H34"/>
  <c r="J34"/>
  <c r="N27"/>
  <c r="Q27" s="1"/>
  <c r="Q23"/>
  <c r="L45"/>
  <c r="Q11"/>
  <c r="Q24"/>
  <c r="M27"/>
  <c r="Q29"/>
  <c r="K20" i="59"/>
  <c r="O48" i="177" l="1"/>
  <c r="Q48" s="1"/>
  <c r="R23" i="75"/>
  <c r="F45" i="125"/>
  <c r="O58" i="181" s="1"/>
  <c r="H37" i="125"/>
  <c r="O39" i="23"/>
  <c r="Q39" s="1"/>
  <c r="Q31"/>
  <c r="Q26"/>
  <c r="O45" i="172"/>
  <c r="Q45" s="1"/>
  <c r="Q25"/>
  <c r="G37" i="182"/>
  <c r="Q49" i="53"/>
  <c r="G32" i="182"/>
  <c r="Q8" i="51"/>
  <c r="T9" i="31"/>
  <c r="M44" i="126"/>
  <c r="O44" s="1"/>
  <c r="O31"/>
  <c r="F25" i="182"/>
  <c r="G13"/>
  <c r="H24" i="125"/>
  <c r="G45"/>
  <c r="F23" i="198"/>
  <c r="E58" i="214" s="1"/>
  <c r="L58" s="1"/>
  <c r="G13" i="198"/>
  <c r="O24" i="44"/>
  <c r="M65"/>
  <c r="O44" i="181" s="1"/>
  <c r="E48" i="182"/>
  <c r="O62" i="181" s="1"/>
  <c r="O52"/>
  <c r="Q52" s="1"/>
  <c r="E44" i="185"/>
  <c r="N13" i="181" s="1"/>
  <c r="O59"/>
  <c r="Q59" s="1"/>
  <c r="O52" i="21"/>
  <c r="N10" i="181" s="1"/>
  <c r="O54"/>
  <c r="Q54" s="1"/>
  <c r="O43" i="116"/>
  <c r="N50" i="175"/>
  <c r="O48" i="25"/>
  <c r="O51" i="83"/>
  <c r="O63" i="181"/>
  <c r="O50"/>
  <c r="Q50" s="1"/>
  <c r="O52" i="100"/>
  <c r="N29" i="181"/>
  <c r="Q7" i="208"/>
  <c r="N45"/>
  <c r="N12" i="183"/>
  <c r="O12" s="1"/>
  <c r="N14"/>
  <c r="O14" s="1"/>
  <c r="P14" s="1"/>
  <c r="Q14" s="1"/>
  <c r="N31"/>
  <c r="O31" s="1"/>
  <c r="N36"/>
  <c r="O36" s="1"/>
  <c r="P36" s="1"/>
  <c r="Q36" s="1"/>
  <c r="R36" s="1"/>
  <c r="N52" i="41"/>
  <c r="G25" i="182" l="1"/>
  <c r="E57" i="214"/>
  <c r="L57" s="1"/>
  <c r="Q61" i="181"/>
  <c r="G23" i="198"/>
  <c r="F46"/>
  <c r="R14" i="183"/>
  <c r="O65" i="44"/>
  <c r="P44" i="181"/>
  <c r="Q44" s="1"/>
  <c r="H45" i="125"/>
  <c r="P58" i="181"/>
  <c r="Q58" s="1"/>
  <c r="Q57"/>
  <c r="F48" i="182"/>
  <c r="N12" i="181"/>
  <c r="N17"/>
  <c r="N19"/>
  <c r="N20"/>
  <c r="N5"/>
  <c r="Q8" i="208"/>
  <c r="Q45"/>
  <c r="G48" i="182" l="1"/>
  <c r="P62" i="181"/>
  <c r="Q62" s="1"/>
  <c r="G46" i="198"/>
  <c r="P63" i="181"/>
  <c r="Q63" s="1"/>
  <c r="E31" i="200"/>
  <c r="E34" l="1"/>
  <c r="E47" s="1"/>
  <c r="O42" i="181" s="1"/>
  <c r="F31" i="200"/>
  <c r="N69" i="176"/>
  <c r="C41" i="200"/>
  <c r="C46"/>
  <c r="C34"/>
  <c r="C29"/>
  <c r="C22"/>
  <c r="C9"/>
  <c r="G40" i="214" l="1"/>
  <c r="L40" s="1"/>
  <c r="G31" i="200"/>
  <c r="C47"/>
  <c r="L42" i="181" s="1"/>
  <c r="N41" i="165"/>
  <c r="L63" i="181"/>
  <c r="G34" i="200" l="1"/>
  <c r="N10" i="165"/>
  <c r="L53" i="59"/>
  <c r="L7"/>
  <c r="M7" s="1"/>
  <c r="N47" i="162"/>
  <c r="L34" i="59"/>
  <c r="L22"/>
  <c r="L21"/>
  <c r="G47" i="200" l="1"/>
  <c r="P42" i="181"/>
  <c r="Q42" s="1"/>
  <c r="M12" i="59"/>
  <c r="N40" i="170"/>
  <c r="N65" i="176"/>
  <c r="N54"/>
  <c r="N11"/>
  <c r="N44" i="35"/>
  <c r="N37"/>
  <c r="N8"/>
  <c r="N46" i="168" l="1"/>
  <c r="N56" i="162"/>
  <c r="N53"/>
  <c r="N49"/>
  <c r="N11"/>
  <c r="L44" i="163"/>
  <c r="L9"/>
  <c r="J41" i="92"/>
  <c r="N6" i="31"/>
  <c r="O10" i="114"/>
  <c r="N38" i="116"/>
  <c r="N11"/>
  <c r="M13" i="175"/>
  <c r="N47" i="25"/>
  <c r="D43" i="185"/>
  <c r="D35"/>
  <c r="D31"/>
  <c r="D7"/>
  <c r="N11" i="100"/>
  <c r="L12" i="59"/>
  <c r="N11" i="21"/>
  <c r="M52" i="19"/>
  <c r="M46"/>
  <c r="M36" i="18"/>
  <c r="N42" i="83"/>
  <c r="I10" i="91"/>
  <c r="J53" i="184" l="1"/>
  <c r="K53"/>
  <c r="L53"/>
  <c r="M53"/>
  <c r="N49" i="41" l="1"/>
  <c r="N8" i="178"/>
  <c r="J7" i="1"/>
  <c r="N2" i="181" s="1"/>
  <c r="J21" i="1"/>
  <c r="N3" i="181" s="1"/>
  <c r="M19" i="175"/>
  <c r="J4" i="37"/>
  <c r="K4"/>
  <c r="G5"/>
  <c r="M5"/>
  <c r="J6"/>
  <c r="K6"/>
  <c r="N7"/>
  <c r="L8"/>
  <c r="M11"/>
  <c r="N11"/>
  <c r="M12"/>
  <c r="N12"/>
  <c r="M13"/>
  <c r="N13"/>
  <c r="M14"/>
  <c r="M15"/>
  <c r="N15" s="1"/>
  <c r="O15" s="1"/>
  <c r="O23" s="1"/>
  <c r="K16"/>
  <c r="M16"/>
  <c r="N16"/>
  <c r="C17"/>
  <c r="D17"/>
  <c r="F17"/>
  <c r="G17"/>
  <c r="H17"/>
  <c r="I17"/>
  <c r="J17"/>
  <c r="M17"/>
  <c r="N17"/>
  <c r="L19"/>
  <c r="L23" s="1"/>
  <c r="M19"/>
  <c r="M20"/>
  <c r="N20"/>
  <c r="K23"/>
  <c r="C24"/>
  <c r="D24"/>
  <c r="E24"/>
  <c r="F24"/>
  <c r="G24"/>
  <c r="H24"/>
  <c r="I24"/>
  <c r="J24"/>
  <c r="M25"/>
  <c r="N25" s="1"/>
  <c r="M26"/>
  <c r="N26"/>
  <c r="D27"/>
  <c r="D35" s="1"/>
  <c r="M27"/>
  <c r="N27"/>
  <c r="M28"/>
  <c r="N28"/>
  <c r="M29"/>
  <c r="K30"/>
  <c r="L30"/>
  <c r="M32"/>
  <c r="N32"/>
  <c r="M33"/>
  <c r="N33"/>
  <c r="L34"/>
  <c r="C35"/>
  <c r="E35"/>
  <c r="F35"/>
  <c r="G35"/>
  <c r="H35"/>
  <c r="I35"/>
  <c r="J35"/>
  <c r="F39"/>
  <c r="L39"/>
  <c r="N39"/>
  <c r="M41"/>
  <c r="M42" s="1"/>
  <c r="N41"/>
  <c r="J42"/>
  <c r="K42"/>
  <c r="L42"/>
  <c r="P6" i="75"/>
  <c r="P7" l="1"/>
  <c r="P35" s="1"/>
  <c r="Q6"/>
  <c r="N9" i="178"/>
  <c r="O8"/>
  <c r="C36" i="37"/>
  <c r="K36"/>
  <c r="G36"/>
  <c r="D36"/>
  <c r="L43"/>
  <c r="I36"/>
  <c r="E36"/>
  <c r="J36"/>
  <c r="H36"/>
  <c r="F36"/>
  <c r="O43"/>
  <c r="N35" i="181" s="1"/>
  <c r="N8" i="37"/>
  <c r="M30"/>
  <c r="M34"/>
  <c r="N34"/>
  <c r="N30"/>
  <c r="N42"/>
  <c r="M39"/>
  <c r="N23"/>
  <c r="M23"/>
  <c r="M46" i="83"/>
  <c r="P8" i="178" l="1"/>
  <c r="Q7" i="75"/>
  <c r="R6"/>
  <c r="N43" i="37"/>
  <c r="M35" i="181" s="1"/>
  <c r="Q35" i="75" l="1"/>
  <c r="R35" s="1"/>
  <c r="D53" i="214"/>
  <c r="L53" s="1"/>
  <c r="P9" i="178"/>
  <c r="D39" i="214"/>
  <c r="R7" i="75"/>
  <c r="P43" i="37"/>
  <c r="R43" s="1"/>
  <c r="M47" i="184"/>
  <c r="M34"/>
  <c r="M26"/>
  <c r="M10"/>
  <c r="K9" i="126"/>
  <c r="D8" i="125"/>
  <c r="L71" i="178"/>
  <c r="N9" i="170"/>
  <c r="C37" i="182"/>
  <c r="C32"/>
  <c r="C25"/>
  <c r="C7"/>
  <c r="N46" i="41"/>
  <c r="M46"/>
  <c r="M39"/>
  <c r="M33"/>
  <c r="M8"/>
  <c r="N38" i="40"/>
  <c r="M38"/>
  <c r="N33" i="169"/>
  <c r="O9" i="38"/>
  <c r="M37" i="35"/>
  <c r="N44" i="165"/>
  <c r="M44"/>
  <c r="M53" i="162"/>
  <c r="K9" i="163"/>
  <c r="M6" i="31"/>
  <c r="N46"/>
  <c r="N48" i="183"/>
  <c r="N45"/>
  <c r="M45"/>
  <c r="M33"/>
  <c r="M9"/>
  <c r="O34" i="114"/>
  <c r="N34"/>
  <c r="M46" i="175"/>
  <c r="M11" i="28"/>
  <c r="N44" i="25"/>
  <c r="M11" i="100"/>
  <c r="N51" i="21"/>
  <c r="L52" i="19"/>
  <c r="L46"/>
  <c r="L36" i="18"/>
  <c r="M48" i="16"/>
  <c r="M53" i="17"/>
  <c r="M43"/>
  <c r="N47" i="83"/>
  <c r="I41" i="91"/>
  <c r="N7" i="40"/>
  <c r="N8" i="169"/>
  <c r="O8" s="1"/>
  <c r="N6" i="168"/>
  <c r="N8" i="25"/>
  <c r="N7" i="24"/>
  <c r="M9" i="19"/>
  <c r="M9" i="18"/>
  <c r="M8" i="16"/>
  <c r="N12" i="83"/>
  <c r="P55" i="181" l="1"/>
  <c r="M10" i="16"/>
  <c r="N8"/>
  <c r="O9" i="169"/>
  <c r="O42" s="1"/>
  <c r="N37" i="181" s="1"/>
  <c r="M11" i="18"/>
  <c r="N9"/>
  <c r="N10" i="24"/>
  <c r="O7"/>
  <c r="O35" i="181"/>
  <c r="Q35" s="1"/>
  <c r="N8" i="40"/>
  <c r="O7"/>
  <c r="M13" i="19"/>
  <c r="N9"/>
  <c r="N13" i="25"/>
  <c r="N9" i="169"/>
  <c r="N13" i="19" l="1"/>
  <c r="N53" s="1"/>
  <c r="N9" i="181" s="1"/>
  <c r="P7" i="24"/>
  <c r="Q7" s="1"/>
  <c r="O10"/>
  <c r="N11" i="18"/>
  <c r="N48" s="1"/>
  <c r="N8" i="181" s="1"/>
  <c r="N10" i="16"/>
  <c r="O8" i="40"/>
  <c r="P9" i="169"/>
  <c r="P42" s="1"/>
  <c r="D44" i="185"/>
  <c r="M13" i="181" s="1"/>
  <c r="R9" i="169" l="1"/>
  <c r="D16" i="214"/>
  <c r="R7" i="24"/>
  <c r="N49" i="16"/>
  <c r="R42" i="169"/>
  <c r="P8" i="40"/>
  <c r="P10" i="24"/>
  <c r="L69" i="176"/>
  <c r="K69"/>
  <c r="J69"/>
  <c r="M67"/>
  <c r="M69" s="1"/>
  <c r="L65"/>
  <c r="M64"/>
  <c r="M65" s="1"/>
  <c r="L62"/>
  <c r="N61"/>
  <c r="O61" s="1"/>
  <c r="P61" s="1"/>
  <c r="Q61" s="1"/>
  <c r="R61" s="1"/>
  <c r="M60"/>
  <c r="N60" s="1"/>
  <c r="O60" s="1"/>
  <c r="P60" s="1"/>
  <c r="Q60" s="1"/>
  <c r="R60" s="1"/>
  <c r="M59"/>
  <c r="N59" s="1"/>
  <c r="M58"/>
  <c r="M57"/>
  <c r="L54"/>
  <c r="K53"/>
  <c r="F53"/>
  <c r="M51"/>
  <c r="L49"/>
  <c r="J49"/>
  <c r="I49"/>
  <c r="H49"/>
  <c r="G49"/>
  <c r="E49"/>
  <c r="C49"/>
  <c r="M47"/>
  <c r="F47"/>
  <c r="M46"/>
  <c r="N44"/>
  <c r="D44"/>
  <c r="D49" s="1"/>
  <c r="M43"/>
  <c r="M42"/>
  <c r="F42"/>
  <c r="M41"/>
  <c r="N41" s="1"/>
  <c r="K41"/>
  <c r="M40"/>
  <c r="L38"/>
  <c r="M34"/>
  <c r="M32"/>
  <c r="M31"/>
  <c r="M28"/>
  <c r="M27"/>
  <c r="M26"/>
  <c r="M24"/>
  <c r="M23"/>
  <c r="M22"/>
  <c r="M21"/>
  <c r="M19"/>
  <c r="J19"/>
  <c r="I19"/>
  <c r="H19"/>
  <c r="G19"/>
  <c r="F19"/>
  <c r="E19"/>
  <c r="D19"/>
  <c r="C19"/>
  <c r="M18"/>
  <c r="M17"/>
  <c r="M16"/>
  <c r="M15"/>
  <c r="M14"/>
  <c r="M8"/>
  <c r="K8"/>
  <c r="M7"/>
  <c r="L7"/>
  <c r="K7"/>
  <c r="J7"/>
  <c r="L6"/>
  <c r="M6" s="1"/>
  <c r="H6"/>
  <c r="G6"/>
  <c r="M5"/>
  <c r="L5"/>
  <c r="K5"/>
  <c r="I5"/>
  <c r="H5"/>
  <c r="G5"/>
  <c r="D61" i="214" l="1"/>
  <c r="C6" i="197" s="1"/>
  <c r="R8" i="40"/>
  <c r="R10" i="24"/>
  <c r="M11" i="176"/>
  <c r="K10"/>
  <c r="F49"/>
  <c r="N7" i="181"/>
  <c r="O8"/>
  <c r="Q8" s="1"/>
  <c r="L11" i="176"/>
  <c r="L71" s="1"/>
  <c r="M49"/>
  <c r="M62"/>
  <c r="O37" i="181"/>
  <c r="Q37" s="1"/>
  <c r="N49" i="176"/>
  <c r="M38"/>
  <c r="M54"/>
  <c r="N57"/>
  <c r="O9" i="181" l="1"/>
  <c r="Q9" s="1"/>
  <c r="N62" i="176"/>
  <c r="N71" s="1"/>
  <c r="M33" i="181" s="1"/>
  <c r="O57" i="176"/>
  <c r="M71"/>
  <c r="N17" i="41"/>
  <c r="P57" i="176" l="1"/>
  <c r="Q57" s="1"/>
  <c r="O62"/>
  <c r="O71" s="1"/>
  <c r="N33" i="181" s="1"/>
  <c r="M50" i="184"/>
  <c r="L50"/>
  <c r="L45"/>
  <c r="L44"/>
  <c r="L42"/>
  <c r="L38"/>
  <c r="M38" s="1"/>
  <c r="F37"/>
  <c r="E37"/>
  <c r="L36"/>
  <c r="L33"/>
  <c r="L31"/>
  <c r="L30"/>
  <c r="L29"/>
  <c r="L28"/>
  <c r="L20"/>
  <c r="L19"/>
  <c r="L17"/>
  <c r="L16"/>
  <c r="L15"/>
  <c r="L14"/>
  <c r="L13"/>
  <c r="L7"/>
  <c r="L5"/>
  <c r="L48" i="183"/>
  <c r="M47"/>
  <c r="M48" s="1"/>
  <c r="L43"/>
  <c r="L42"/>
  <c r="L41"/>
  <c r="L37"/>
  <c r="M37" s="1"/>
  <c r="M38" s="1"/>
  <c r="F36"/>
  <c r="E36"/>
  <c r="N35"/>
  <c r="O35" s="1"/>
  <c r="L35"/>
  <c r="L38" s="1"/>
  <c r="L31"/>
  <c r="N30"/>
  <c r="O30" s="1"/>
  <c r="P30" s="1"/>
  <c r="Q30" s="1"/>
  <c r="R30" s="1"/>
  <c r="L30"/>
  <c r="N29"/>
  <c r="O29" s="1"/>
  <c r="L29"/>
  <c r="L28"/>
  <c r="M23"/>
  <c r="M22"/>
  <c r="M20"/>
  <c r="N19"/>
  <c r="O19" s="1"/>
  <c r="P19" s="1"/>
  <c r="R19" s="1"/>
  <c r="L19"/>
  <c r="L18"/>
  <c r="M17"/>
  <c r="N16"/>
  <c r="L16"/>
  <c r="N15"/>
  <c r="O15" s="1"/>
  <c r="L15"/>
  <c r="L14"/>
  <c r="N13"/>
  <c r="L13"/>
  <c r="L12"/>
  <c r="L7"/>
  <c r="L5"/>
  <c r="C43" i="182"/>
  <c r="N35" i="41"/>
  <c r="N31"/>
  <c r="O31" s="1"/>
  <c r="P31" s="1"/>
  <c r="Q31" s="1"/>
  <c r="R31" s="1"/>
  <c r="N30"/>
  <c r="N20"/>
  <c r="O20" s="1"/>
  <c r="N19"/>
  <c r="O19" s="1"/>
  <c r="P19" s="1"/>
  <c r="Q19" s="1"/>
  <c r="R19" s="1"/>
  <c r="N15"/>
  <c r="N14"/>
  <c r="N11"/>
  <c r="O11" s="1"/>
  <c r="N6" i="28"/>
  <c r="M9" i="17"/>
  <c r="H31" i="214" l="1"/>
  <c r="L31" s="1"/>
  <c r="R57" i="176"/>
  <c r="L39" i="184"/>
  <c r="L34"/>
  <c r="O15" i="41"/>
  <c r="P15" s="1"/>
  <c r="N33"/>
  <c r="O30"/>
  <c r="N39"/>
  <c r="O35"/>
  <c r="L26" i="183"/>
  <c r="P35"/>
  <c r="Q35" s="1"/>
  <c r="L45"/>
  <c r="L26" i="184"/>
  <c r="L47"/>
  <c r="P15" i="183"/>
  <c r="O26"/>
  <c r="P29"/>
  <c r="O33"/>
  <c r="M39" i="184"/>
  <c r="N38"/>
  <c r="N39" s="1"/>
  <c r="N54" s="1"/>
  <c r="P62" i="176"/>
  <c r="N11" i="28"/>
  <c r="O6"/>
  <c r="O21" i="184"/>
  <c r="P21" s="1"/>
  <c r="Q21" s="1"/>
  <c r="O29"/>
  <c r="P29" s="1"/>
  <c r="Q29" s="1"/>
  <c r="O31"/>
  <c r="P31" s="1"/>
  <c r="O33"/>
  <c r="P33" s="1"/>
  <c r="Q33" s="1"/>
  <c r="O15"/>
  <c r="O26" s="1"/>
  <c r="O16"/>
  <c r="P16" s="1"/>
  <c r="Q16" s="1"/>
  <c r="M13" i="17"/>
  <c r="N26" i="183"/>
  <c r="M54" i="184"/>
  <c r="L60" i="181" s="1"/>
  <c r="N33" i="183"/>
  <c r="L33"/>
  <c r="L9"/>
  <c r="C44" i="182"/>
  <c r="C48" s="1"/>
  <c r="L62" i="181" s="1"/>
  <c r="M26" i="183"/>
  <c r="M49" s="1"/>
  <c r="L23" i="181" s="1"/>
  <c r="L10" i="184"/>
  <c r="N37" i="183"/>
  <c r="O37" s="1"/>
  <c r="P37" s="1"/>
  <c r="Q37" s="1"/>
  <c r="R37" s="1"/>
  <c r="O20" i="53"/>
  <c r="N16" i="178"/>
  <c r="O16" s="1"/>
  <c r="N16" i="169"/>
  <c r="O32" i="38"/>
  <c r="P32" s="1"/>
  <c r="O18"/>
  <c r="P18" s="1"/>
  <c r="Q18" s="1"/>
  <c r="R18" s="1"/>
  <c r="S18" s="1"/>
  <c r="N28" i="35"/>
  <c r="N16"/>
  <c r="O16" s="1"/>
  <c r="I12" i="92"/>
  <c r="J55" i="181"/>
  <c r="I55"/>
  <c r="H55"/>
  <c r="J54"/>
  <c r="I54"/>
  <c r="H54"/>
  <c r="F54"/>
  <c r="E54"/>
  <c r="D54"/>
  <c r="K52"/>
  <c r="J52"/>
  <c r="I52"/>
  <c r="H52"/>
  <c r="F52"/>
  <c r="E52"/>
  <c r="D52"/>
  <c r="K51"/>
  <c r="J51"/>
  <c r="I51"/>
  <c r="H51"/>
  <c r="F51"/>
  <c r="E51"/>
  <c r="D51"/>
  <c r="J50"/>
  <c r="I50"/>
  <c r="H50"/>
  <c r="F50"/>
  <c r="E50"/>
  <c r="D50"/>
  <c r="J49"/>
  <c r="I49"/>
  <c r="H49"/>
  <c r="F49"/>
  <c r="E49"/>
  <c r="D49"/>
  <c r="J48"/>
  <c r="I48"/>
  <c r="H48"/>
  <c r="F48"/>
  <c r="E48"/>
  <c r="D48"/>
  <c r="K47"/>
  <c r="J47"/>
  <c r="I47"/>
  <c r="H47"/>
  <c r="F47"/>
  <c r="E47"/>
  <c r="D47"/>
  <c r="K46"/>
  <c r="J46"/>
  <c r="I46"/>
  <c r="H46"/>
  <c r="F46"/>
  <c r="E46"/>
  <c r="D46"/>
  <c r="J44"/>
  <c r="I44"/>
  <c r="H44"/>
  <c r="F44"/>
  <c r="E44"/>
  <c r="D44"/>
  <c r="K41"/>
  <c r="J41"/>
  <c r="I41"/>
  <c r="H41"/>
  <c r="F41"/>
  <c r="E41"/>
  <c r="D41"/>
  <c r="J40"/>
  <c r="I40"/>
  <c r="H40"/>
  <c r="F40"/>
  <c r="E40"/>
  <c r="D40"/>
  <c r="K39"/>
  <c r="J39"/>
  <c r="I39"/>
  <c r="H39"/>
  <c r="F39"/>
  <c r="E39"/>
  <c r="D39"/>
  <c r="J37"/>
  <c r="I37"/>
  <c r="H37"/>
  <c r="F37"/>
  <c r="E37"/>
  <c r="D37"/>
  <c r="J36"/>
  <c r="I36"/>
  <c r="H36"/>
  <c r="F36"/>
  <c r="E36"/>
  <c r="D36"/>
  <c r="K35"/>
  <c r="J33"/>
  <c r="I33"/>
  <c r="H33"/>
  <c r="F33"/>
  <c r="E33"/>
  <c r="D33"/>
  <c r="J32"/>
  <c r="I32"/>
  <c r="H32"/>
  <c r="F32"/>
  <c r="E32"/>
  <c r="D32"/>
  <c r="J31"/>
  <c r="I31"/>
  <c r="H31"/>
  <c r="F31"/>
  <c r="E31"/>
  <c r="D31"/>
  <c r="J30"/>
  <c r="I30"/>
  <c r="H30"/>
  <c r="F30"/>
  <c r="E30"/>
  <c r="D30"/>
  <c r="J29"/>
  <c r="I29"/>
  <c r="H29"/>
  <c r="H28"/>
  <c r="F28"/>
  <c r="E28"/>
  <c r="D28"/>
  <c r="J25"/>
  <c r="I25"/>
  <c r="H25"/>
  <c r="J24"/>
  <c r="I24"/>
  <c r="H24"/>
  <c r="F24"/>
  <c r="E24"/>
  <c r="D24"/>
  <c r="K23"/>
  <c r="J23"/>
  <c r="I23"/>
  <c r="H23"/>
  <c r="F23"/>
  <c r="E23"/>
  <c r="D23"/>
  <c r="J19"/>
  <c r="I19"/>
  <c r="H19"/>
  <c r="F19"/>
  <c r="E19"/>
  <c r="D19"/>
  <c r="J18"/>
  <c r="I18"/>
  <c r="H18"/>
  <c r="F18"/>
  <c r="E18"/>
  <c r="D18"/>
  <c r="J16"/>
  <c r="I16"/>
  <c r="H16"/>
  <c r="F16"/>
  <c r="E16"/>
  <c r="D16"/>
  <c r="J12"/>
  <c r="I12"/>
  <c r="H12"/>
  <c r="F12"/>
  <c r="E12"/>
  <c r="D12"/>
  <c r="J11"/>
  <c r="I11"/>
  <c r="H11"/>
  <c r="G11"/>
  <c r="F11"/>
  <c r="E11"/>
  <c r="D11"/>
  <c r="J10"/>
  <c r="I10"/>
  <c r="H10"/>
  <c r="F10"/>
  <c r="E10"/>
  <c r="D10"/>
  <c r="J9"/>
  <c r="I9"/>
  <c r="H9"/>
  <c r="F9"/>
  <c r="E9"/>
  <c r="D9"/>
  <c r="J8"/>
  <c r="I8"/>
  <c r="H8"/>
  <c r="F8"/>
  <c r="E8"/>
  <c r="D8"/>
  <c r="J7"/>
  <c r="I7"/>
  <c r="H7"/>
  <c r="G7"/>
  <c r="F7"/>
  <c r="E7"/>
  <c r="D7"/>
  <c r="J6"/>
  <c r="I6"/>
  <c r="H6"/>
  <c r="G6"/>
  <c r="F6"/>
  <c r="E6"/>
  <c r="D6"/>
  <c r="F5"/>
  <c r="E5"/>
  <c r="D5"/>
  <c r="I3"/>
  <c r="H3"/>
  <c r="E3"/>
  <c r="D3"/>
  <c r="I2"/>
  <c r="H2"/>
  <c r="G2"/>
  <c r="F2"/>
  <c r="E2"/>
  <c r="D2"/>
  <c r="P16" i="178" l="1"/>
  <c r="P15" i="184"/>
  <c r="P26" s="1"/>
  <c r="E56" i="214" s="1"/>
  <c r="P34" i="184"/>
  <c r="F56" i="214" s="1"/>
  <c r="Q31" i="184"/>
  <c r="R62" i="176"/>
  <c r="O27" i="53"/>
  <c r="O50" s="1"/>
  <c r="P20"/>
  <c r="P27" s="1"/>
  <c r="E47" i="214" s="1"/>
  <c r="L47" s="1"/>
  <c r="P33" i="183"/>
  <c r="P26"/>
  <c r="Q15"/>
  <c r="R35"/>
  <c r="P26" i="41"/>
  <c r="Q15"/>
  <c r="O34" i="184"/>
  <c r="P38" i="183"/>
  <c r="L49"/>
  <c r="O26" i="41"/>
  <c r="L54" i="184"/>
  <c r="M60" i="181"/>
  <c r="N60"/>
  <c r="Q32" i="38"/>
  <c r="R32" s="1"/>
  <c r="P36"/>
  <c r="O11" i="28"/>
  <c r="O50" s="1"/>
  <c r="N18" i="181" s="1"/>
  <c r="O39" i="41"/>
  <c r="P30"/>
  <c r="O33"/>
  <c r="P16" i="35"/>
  <c r="P71" i="176"/>
  <c r="O38" i="183"/>
  <c r="O49" s="1"/>
  <c r="N23" i="181" s="1"/>
  <c r="O38" i="184"/>
  <c r="N38" i="183"/>
  <c r="N49" s="1"/>
  <c r="M23" i="181" s="1"/>
  <c r="K66"/>
  <c r="G22" i="214" l="1"/>
  <c r="P49" i="183"/>
  <c r="O39" i="184"/>
  <c r="O54" s="1"/>
  <c r="P38"/>
  <c r="R16" i="35"/>
  <c r="F34" i="214"/>
  <c r="S32" i="38"/>
  <c r="R38" i="183"/>
  <c r="Q34" i="184"/>
  <c r="P33" i="41"/>
  <c r="P53" s="1"/>
  <c r="Q30"/>
  <c r="R15"/>
  <c r="R15" i="183"/>
  <c r="F22" i="214"/>
  <c r="R29" i="183"/>
  <c r="Q20" i="53"/>
  <c r="R71" i="176"/>
  <c r="P33" i="181"/>
  <c r="Q15" i="184"/>
  <c r="Q26"/>
  <c r="Q56" i="181"/>
  <c r="O33"/>
  <c r="O53" i="41"/>
  <c r="N39" i="181" s="1"/>
  <c r="P11" i="28"/>
  <c r="Q36" i="38"/>
  <c r="O49" i="181"/>
  <c r="N34" i="170"/>
  <c r="N36" s="1"/>
  <c r="N28"/>
  <c r="N31" s="1"/>
  <c r="N20"/>
  <c r="N12"/>
  <c r="N12" i="41"/>
  <c r="N26" s="1"/>
  <c r="N30" i="40"/>
  <c r="N19"/>
  <c r="N11"/>
  <c r="N27" i="169"/>
  <c r="N28" s="1"/>
  <c r="N19"/>
  <c r="N17"/>
  <c r="N12"/>
  <c r="O46" i="38"/>
  <c r="O40"/>
  <c r="O34"/>
  <c r="O20"/>
  <c r="N30" i="35"/>
  <c r="N32" s="1"/>
  <c r="N24"/>
  <c r="N18"/>
  <c r="N14"/>
  <c r="N12"/>
  <c r="N11"/>
  <c r="N34" i="168"/>
  <c r="N33"/>
  <c r="N30"/>
  <c r="N29"/>
  <c r="N28"/>
  <c r="N26"/>
  <c r="N25"/>
  <c r="N18"/>
  <c r="N15"/>
  <c r="N12"/>
  <c r="N11"/>
  <c r="N10"/>
  <c r="N5"/>
  <c r="N7" s="1"/>
  <c r="N34" i="165"/>
  <c r="N28"/>
  <c r="N21"/>
  <c r="N20"/>
  <c r="N18"/>
  <c r="N13"/>
  <c r="N39" i="162"/>
  <c r="N34"/>
  <c r="N33"/>
  <c r="N25"/>
  <c r="N21"/>
  <c r="N20"/>
  <c r="N17"/>
  <c r="N14"/>
  <c r="L36" i="163"/>
  <c r="L35"/>
  <c r="L32"/>
  <c r="L31"/>
  <c r="L29"/>
  <c r="L28"/>
  <c r="L26"/>
  <c r="L21"/>
  <c r="L20"/>
  <c r="L19"/>
  <c r="L18"/>
  <c r="L15"/>
  <c r="L13"/>
  <c r="L12"/>
  <c r="J32" i="92"/>
  <c r="J29"/>
  <c r="J28"/>
  <c r="J26"/>
  <c r="J24"/>
  <c r="J19"/>
  <c r="J18"/>
  <c r="J17"/>
  <c r="J13"/>
  <c r="J12"/>
  <c r="J7"/>
  <c r="R26" i="41" l="1"/>
  <c r="E37" i="214"/>
  <c r="R26" i="183"/>
  <c r="E22" i="214"/>
  <c r="R33" i="183"/>
  <c r="L22" i="214"/>
  <c r="R11" i="28"/>
  <c r="Q27" i="53"/>
  <c r="P50"/>
  <c r="F37" i="214"/>
  <c r="R30" i="41"/>
  <c r="S36" i="38"/>
  <c r="Q33" i="181"/>
  <c r="Q38" i="184"/>
  <c r="P39"/>
  <c r="G56" i="214" s="1"/>
  <c r="L37" i="163"/>
  <c r="N23" i="169"/>
  <c r="N42" s="1"/>
  <c r="M37" i="181" s="1"/>
  <c r="N31" i="168"/>
  <c r="O23" i="181"/>
  <c r="P50" i="28"/>
  <c r="R50" s="1"/>
  <c r="N53" i="41"/>
  <c r="M39" i="181" s="1"/>
  <c r="J34" i="92"/>
  <c r="J9"/>
  <c r="N23" i="170"/>
  <c r="N36" i="168"/>
  <c r="O41" i="38"/>
  <c r="O36"/>
  <c r="N37" i="31"/>
  <c r="N36"/>
  <c r="N33"/>
  <c r="N32"/>
  <c r="N30"/>
  <c r="N29"/>
  <c r="N19"/>
  <c r="N18"/>
  <c r="N17"/>
  <c r="N10"/>
  <c r="O26" i="114"/>
  <c r="O29" s="1"/>
  <c r="O23"/>
  <c r="N31" i="116"/>
  <c r="N33" s="1"/>
  <c r="N17"/>
  <c r="N26" s="1"/>
  <c r="M37" i="175"/>
  <c r="M36"/>
  <c r="M33"/>
  <c r="M32"/>
  <c r="M25"/>
  <c r="M24"/>
  <c r="M22"/>
  <c r="M16"/>
  <c r="N39" i="28"/>
  <c r="N45"/>
  <c r="N46" s="1"/>
  <c r="N34"/>
  <c r="N31"/>
  <c r="N30"/>
  <c r="N20"/>
  <c r="N16"/>
  <c r="N15"/>
  <c r="N14"/>
  <c r="N39" i="21"/>
  <c r="N38"/>
  <c r="N33"/>
  <c r="N32"/>
  <c r="N23"/>
  <c r="N22"/>
  <c r="N17"/>
  <c r="N14"/>
  <c r="N36" i="25"/>
  <c r="N35"/>
  <c r="N32"/>
  <c r="N22"/>
  <c r="N17"/>
  <c r="N16"/>
  <c r="N40" i="24"/>
  <c r="N39"/>
  <c r="N36"/>
  <c r="N35"/>
  <c r="N33"/>
  <c r="N26"/>
  <c r="N25"/>
  <c r="N22"/>
  <c r="N21"/>
  <c r="N17"/>
  <c r="N16"/>
  <c r="N14"/>
  <c r="N13"/>
  <c r="N38" i="100"/>
  <c r="N37"/>
  <c r="N34"/>
  <c r="N33"/>
  <c r="N32"/>
  <c r="N30"/>
  <c r="N29"/>
  <c r="N27"/>
  <c r="N22"/>
  <c r="N17"/>
  <c r="N14"/>
  <c r="L42" i="59"/>
  <c r="M42" s="1"/>
  <c r="L36"/>
  <c r="M36" s="1"/>
  <c r="L33"/>
  <c r="L25"/>
  <c r="M25" s="1"/>
  <c r="L23"/>
  <c r="M23" s="1"/>
  <c r="N23" s="1"/>
  <c r="O23" s="1"/>
  <c r="P23" s="1"/>
  <c r="L19"/>
  <c r="M19" s="1"/>
  <c r="L18"/>
  <c r="M18" s="1"/>
  <c r="L16"/>
  <c r="M16" s="1"/>
  <c r="L15"/>
  <c r="M15" s="1"/>
  <c r="N15" s="1"/>
  <c r="O15" s="1"/>
  <c r="M37" i="19"/>
  <c r="M36"/>
  <c r="M31"/>
  <c r="M30"/>
  <c r="M21"/>
  <c r="M20"/>
  <c r="M17"/>
  <c r="M16"/>
  <c r="M39" i="18"/>
  <c r="M41" s="1"/>
  <c r="M24"/>
  <c r="M23"/>
  <c r="M17"/>
  <c r="M38" i="16"/>
  <c r="M37"/>
  <c r="M32"/>
  <c r="M31"/>
  <c r="M22"/>
  <c r="M21"/>
  <c r="M16"/>
  <c r="M36" i="17"/>
  <c r="M35"/>
  <c r="M24"/>
  <c r="M19"/>
  <c r="N50" i="83"/>
  <c r="N34"/>
  <c r="N24"/>
  <c r="N23"/>
  <c r="N19"/>
  <c r="N18"/>
  <c r="N15"/>
  <c r="I31" i="91"/>
  <c r="I34" s="1"/>
  <c r="I28"/>
  <c r="I27"/>
  <c r="L33" i="169"/>
  <c r="L41"/>
  <c r="M39"/>
  <c r="M38"/>
  <c r="K38"/>
  <c r="K39" s="1"/>
  <c r="J38"/>
  <c r="I38"/>
  <c r="H38"/>
  <c r="G38"/>
  <c r="F38"/>
  <c r="E38"/>
  <c r="D38"/>
  <c r="C38"/>
  <c r="J36" i="174"/>
  <c r="J35"/>
  <c r="K35" s="1"/>
  <c r="L35" s="1"/>
  <c r="M10" i="31"/>
  <c r="M11"/>
  <c r="L37" i="214" l="1"/>
  <c r="L56"/>
  <c r="P15" i="59"/>
  <c r="Q39" i="184"/>
  <c r="P54"/>
  <c r="R33" i="41"/>
  <c r="Q53"/>
  <c r="R49" i="183"/>
  <c r="P23" i="181"/>
  <c r="Q23" s="1"/>
  <c r="Q50" i="53"/>
  <c r="P49" i="181"/>
  <c r="Q49" s="1"/>
  <c r="N27" i="25"/>
  <c r="N41" i="21"/>
  <c r="N42" i="24"/>
  <c r="N28" i="21"/>
  <c r="L39" i="174"/>
  <c r="M35"/>
  <c r="M39" i="59"/>
  <c r="M28" i="18"/>
  <c r="N42" i="59"/>
  <c r="M43"/>
  <c r="O60" i="181"/>
  <c r="O18"/>
  <c r="Q18" s="1"/>
  <c r="O39"/>
  <c r="M26" i="19"/>
  <c r="M39"/>
  <c r="N40" i="28"/>
  <c r="L43" i="59"/>
  <c r="N43" i="116"/>
  <c r="M20" i="181" s="1"/>
  <c r="N40" i="100"/>
  <c r="N37" i="25"/>
  <c r="N26" i="28"/>
  <c r="M28" i="175"/>
  <c r="M39"/>
  <c r="M41" i="169"/>
  <c r="M40" i="16"/>
  <c r="N36" i="28"/>
  <c r="N39" i="31"/>
  <c r="N6" i="63"/>
  <c r="M27" i="31"/>
  <c r="M44"/>
  <c r="M37"/>
  <c r="M33"/>
  <c r="M32"/>
  <c r="M30"/>
  <c r="M29"/>
  <c r="M19"/>
  <c r="M17"/>
  <c r="M15"/>
  <c r="N15" s="1"/>
  <c r="Q15" s="1"/>
  <c r="M14"/>
  <c r="L52" i="17"/>
  <c r="L46"/>
  <c r="L42"/>
  <c r="L41"/>
  <c r="L40"/>
  <c r="L35"/>
  <c r="L34"/>
  <c r="L26"/>
  <c r="L25"/>
  <c r="L24"/>
  <c r="L22"/>
  <c r="M22" s="1"/>
  <c r="L19"/>
  <c r="L18"/>
  <c r="L5"/>
  <c r="N23" i="38"/>
  <c r="N24"/>
  <c r="M8" i="162"/>
  <c r="M28" i="40"/>
  <c r="M14" i="169"/>
  <c r="N43" i="59" l="1"/>
  <c r="O42"/>
  <c r="M39" i="174"/>
  <c r="N35"/>
  <c r="R53" i="41"/>
  <c r="P39" i="181"/>
  <c r="Q39" s="1"/>
  <c r="Q54" i="184"/>
  <c r="P60" i="181"/>
  <c r="Q60" s="1"/>
  <c r="N50" i="28"/>
  <c r="M18" i="181" s="1"/>
  <c r="R15" i="31"/>
  <c r="S15" s="1"/>
  <c r="N28" i="40"/>
  <c r="M11" i="162"/>
  <c r="M31" i="17"/>
  <c r="N27" i="31"/>
  <c r="M34" i="17"/>
  <c r="M38" s="1"/>
  <c r="L43"/>
  <c r="L53"/>
  <c r="N8" i="63"/>
  <c r="M17" i="24"/>
  <c r="M14" i="21"/>
  <c r="L7" i="17"/>
  <c r="K26" i="19"/>
  <c r="K46"/>
  <c r="J52"/>
  <c r="T15" i="31" l="1"/>
  <c r="N39" i="174"/>
  <c r="O35"/>
  <c r="P42" i="59"/>
  <c r="N33" i="40"/>
  <c r="L13" i="17"/>
  <c r="M31" i="171"/>
  <c r="M20" i="165"/>
  <c r="M40" i="83"/>
  <c r="L26" i="18"/>
  <c r="M41" i="25"/>
  <c r="P43" i="59" l="1"/>
  <c r="G11" i="214"/>
  <c r="O39" i="174"/>
  <c r="M29" i="181"/>
  <c r="M6" i="25"/>
  <c r="K31" i="163"/>
  <c r="J31"/>
  <c r="K32"/>
  <c r="J32"/>
  <c r="M22" i="165"/>
  <c r="M29"/>
  <c r="M23" i="28" l="1"/>
  <c r="N20" i="75" l="1"/>
  <c r="O23" s="1"/>
  <c r="O35" s="1"/>
  <c r="M7" i="170"/>
  <c r="M21" i="177"/>
  <c r="M31" i="100"/>
  <c r="M4" i="168"/>
  <c r="M55" i="181" l="1"/>
  <c r="N55"/>
  <c r="K18" i="126"/>
  <c r="M27" i="168"/>
  <c r="I7" i="92"/>
  <c r="I9" s="1"/>
  <c r="J50" i="59" l="1"/>
  <c r="K49"/>
  <c r="K48"/>
  <c r="K46"/>
  <c r="L46" s="1"/>
  <c r="M46" s="1"/>
  <c r="J43"/>
  <c r="K42"/>
  <c r="K43" s="1"/>
  <c r="J39"/>
  <c r="K38"/>
  <c r="K36"/>
  <c r="K33"/>
  <c r="I33"/>
  <c r="H33"/>
  <c r="G33"/>
  <c r="F33"/>
  <c r="E33"/>
  <c r="D33"/>
  <c r="C33"/>
  <c r="J31"/>
  <c r="K26"/>
  <c r="K25"/>
  <c r="K23"/>
  <c r="I21"/>
  <c r="I43" s="1"/>
  <c r="H21"/>
  <c r="H43" s="1"/>
  <c r="G21"/>
  <c r="G43" s="1"/>
  <c r="F21"/>
  <c r="F43" s="1"/>
  <c r="E21"/>
  <c r="E43" s="1"/>
  <c r="D21"/>
  <c r="D43" s="1"/>
  <c r="C21"/>
  <c r="C43" s="1"/>
  <c r="K19"/>
  <c r="K18"/>
  <c r="K17"/>
  <c r="L17" s="1"/>
  <c r="K16"/>
  <c r="K15"/>
  <c r="J12"/>
  <c r="D12"/>
  <c r="D11"/>
  <c r="I5"/>
  <c r="H5"/>
  <c r="G5"/>
  <c r="F5"/>
  <c r="K4"/>
  <c r="K12" s="1"/>
  <c r="I3"/>
  <c r="H3"/>
  <c r="K31" l="1"/>
  <c r="N46"/>
  <c r="O46" s="1"/>
  <c r="O55" i="181"/>
  <c r="Q55" s="1"/>
  <c r="L39" i="59"/>
  <c r="L49"/>
  <c r="M49" s="1"/>
  <c r="N49" s="1"/>
  <c r="O49" s="1"/>
  <c r="P49" s="1"/>
  <c r="L48"/>
  <c r="M48" s="1"/>
  <c r="N48" s="1"/>
  <c r="O48" s="1"/>
  <c r="P48" s="1"/>
  <c r="K50"/>
  <c r="K39"/>
  <c r="L26"/>
  <c r="M26" s="1"/>
  <c r="J54"/>
  <c r="H11" i="214" l="1"/>
  <c r="P46" i="59"/>
  <c r="N50"/>
  <c r="N26"/>
  <c r="O26" s="1"/>
  <c r="M31"/>
  <c r="M50"/>
  <c r="L50"/>
  <c r="L31"/>
  <c r="K54"/>
  <c r="P50" l="1"/>
  <c r="N31"/>
  <c r="M54"/>
  <c r="N11" i="181" s="1"/>
  <c r="L54" i="59"/>
  <c r="M11" i="181" s="1"/>
  <c r="L11"/>
  <c r="L7" i="18"/>
  <c r="L5" i="16"/>
  <c r="L10" s="1"/>
  <c r="L5" i="18"/>
  <c r="L11" s="1"/>
  <c r="M5" i="21"/>
  <c r="L4" i="175"/>
  <c r="N5" i="38"/>
  <c r="M5" i="169"/>
  <c r="M4" i="40"/>
  <c r="M8" s="1"/>
  <c r="M5" i="170"/>
  <c r="M9" s="1"/>
  <c r="L5" i="178"/>
  <c r="L5" i="46"/>
  <c r="M5" i="180"/>
  <c r="M5" i="172"/>
  <c r="N3" i="75"/>
  <c r="N54" i="59" l="1"/>
  <c r="P26"/>
  <c r="L5" i="19"/>
  <c r="O11" i="181"/>
  <c r="M4" i="37"/>
  <c r="M8" s="1"/>
  <c r="M4" i="213"/>
  <c r="M8" s="1"/>
  <c r="M38" s="1"/>
  <c r="M4" i="208"/>
  <c r="M8" s="1"/>
  <c r="M45" s="1"/>
  <c r="M9" i="46"/>
  <c r="M9" i="172"/>
  <c r="M9" i="169"/>
  <c r="L13" i="175"/>
  <c r="M11" i="21"/>
  <c r="K5" i="174"/>
  <c r="M4" i="165"/>
  <c r="L56" i="162"/>
  <c r="L53"/>
  <c r="E11" i="214" l="1"/>
  <c r="P31" i="59"/>
  <c r="M43" i="37"/>
  <c r="M47" i="53"/>
  <c r="L11" i="214" l="1"/>
  <c r="P54" i="59"/>
  <c r="P11" i="181"/>
  <c r="Q11" s="1"/>
  <c r="M55" i="162"/>
  <c r="M56" s="1"/>
  <c r="J44" i="44"/>
  <c r="N22" i="114"/>
  <c r="L36" i="17"/>
  <c r="L47"/>
  <c r="L48"/>
  <c r="L49"/>
  <c r="M15" i="83"/>
  <c r="M16"/>
  <c r="M17"/>
  <c r="N17" s="1"/>
  <c r="M18"/>
  <c r="M19"/>
  <c r="M21"/>
  <c r="N21" s="1"/>
  <c r="M22"/>
  <c r="M23"/>
  <c r="M24"/>
  <c r="M25"/>
  <c r="M26"/>
  <c r="M27"/>
  <c r="M33"/>
  <c r="N33" s="1"/>
  <c r="M34"/>
  <c r="M35"/>
  <c r="M36"/>
  <c r="M39"/>
  <c r="M41"/>
  <c r="M45"/>
  <c r="M49" i="17" l="1"/>
  <c r="N30" i="83"/>
  <c r="O22" i="114"/>
  <c r="O24" s="1"/>
  <c r="L38" i="17"/>
  <c r="L50"/>
  <c r="M47" i="83"/>
  <c r="M42"/>
  <c r="N37"/>
  <c r="M37"/>
  <c r="M30"/>
  <c r="M17" i="168"/>
  <c r="M13"/>
  <c r="M41"/>
  <c r="M40"/>
  <c r="M42"/>
  <c r="M18" i="31"/>
  <c r="M28"/>
  <c r="M34" s="1"/>
  <c r="M45"/>
  <c r="M21"/>
  <c r="M36"/>
  <c r="M38" i="28"/>
  <c r="M29"/>
  <c r="M33" i="168"/>
  <c r="M24"/>
  <c r="M15"/>
  <c r="M22" i="31"/>
  <c r="M50" i="17" l="1"/>
  <c r="M54" s="1"/>
  <c r="M6" i="181" s="1"/>
  <c r="N49" i="17"/>
  <c r="M46" i="168"/>
  <c r="N13"/>
  <c r="N17"/>
  <c r="O17" s="1"/>
  <c r="P17" s="1"/>
  <c r="Q17" s="1"/>
  <c r="R17" s="1"/>
  <c r="N22" i="31"/>
  <c r="Q22" s="1"/>
  <c r="M39"/>
  <c r="M46"/>
  <c r="M24"/>
  <c r="N28"/>
  <c r="N34" s="1"/>
  <c r="N51" i="83"/>
  <c r="M5" i="181" s="1"/>
  <c r="N33" i="75"/>
  <c r="K40" i="126"/>
  <c r="K33"/>
  <c r="K27"/>
  <c r="K19"/>
  <c r="K16"/>
  <c r="K15"/>
  <c r="K12"/>
  <c r="D43" i="125"/>
  <c r="D42"/>
  <c r="D41"/>
  <c r="D40"/>
  <c r="D36"/>
  <c r="D34"/>
  <c r="D31"/>
  <c r="D28"/>
  <c r="D27"/>
  <c r="D23"/>
  <c r="D15"/>
  <c r="D14"/>
  <c r="D13"/>
  <c r="L6" i="19"/>
  <c r="L13" s="1"/>
  <c r="N32" i="75"/>
  <c r="N30"/>
  <c r="N22"/>
  <c r="M30" i="23"/>
  <c r="M23"/>
  <c r="M14"/>
  <c r="M13"/>
  <c r="M11"/>
  <c r="N31" i="63"/>
  <c r="N19"/>
  <c r="N18"/>
  <c r="O18" s="1"/>
  <c r="P18" s="1"/>
  <c r="Q18" s="1"/>
  <c r="R18" s="1"/>
  <c r="N11"/>
  <c r="M41" i="177"/>
  <c r="M40"/>
  <c r="M31"/>
  <c r="M30"/>
  <c r="M27"/>
  <c r="M23"/>
  <c r="M17"/>
  <c r="M14"/>
  <c r="M12"/>
  <c r="K38" i="174"/>
  <c r="K37"/>
  <c r="K31"/>
  <c r="K30"/>
  <c r="K26"/>
  <c r="K24"/>
  <c r="M34" i="172"/>
  <c r="M40"/>
  <c r="M31"/>
  <c r="M30"/>
  <c r="M29"/>
  <c r="M20"/>
  <c r="M19"/>
  <c r="M18"/>
  <c r="M17"/>
  <c r="M16"/>
  <c r="M12"/>
  <c r="M29" i="51"/>
  <c r="M20"/>
  <c r="M16"/>
  <c r="M11"/>
  <c r="M48" i="53"/>
  <c r="M41"/>
  <c r="M35"/>
  <c r="M32"/>
  <c r="M24"/>
  <c r="M23"/>
  <c r="M22"/>
  <c r="M21"/>
  <c r="M15"/>
  <c r="M14"/>
  <c r="M49" i="171"/>
  <c r="M46"/>
  <c r="M45"/>
  <c r="M40"/>
  <c r="M39"/>
  <c r="M34"/>
  <c r="M23"/>
  <c r="M21"/>
  <c r="M20"/>
  <c r="M14"/>
  <c r="M37" i="180"/>
  <c r="M36"/>
  <c r="M30"/>
  <c r="M25"/>
  <c r="M17"/>
  <c r="M16"/>
  <c r="N16" s="1"/>
  <c r="M15"/>
  <c r="M12"/>
  <c r="L46" i="46"/>
  <c r="L45"/>
  <c r="L42"/>
  <c r="L37"/>
  <c r="L36"/>
  <c r="L35"/>
  <c r="L34"/>
  <c r="L31"/>
  <c r="L30"/>
  <c r="L29"/>
  <c r="M32" s="1"/>
  <c r="L25"/>
  <c r="L22"/>
  <c r="L20"/>
  <c r="L19"/>
  <c r="L18"/>
  <c r="M26" s="1"/>
  <c r="L17"/>
  <c r="L16"/>
  <c r="L15"/>
  <c r="L14"/>
  <c r="L13"/>
  <c r="L12"/>
  <c r="K46" i="44"/>
  <c r="K42"/>
  <c r="K37"/>
  <c r="K36"/>
  <c r="K32"/>
  <c r="K31"/>
  <c r="K29"/>
  <c r="K20"/>
  <c r="K19"/>
  <c r="K17"/>
  <c r="K15"/>
  <c r="K12"/>
  <c r="L47" i="178"/>
  <c r="L46"/>
  <c r="L41"/>
  <c r="L40"/>
  <c r="L39"/>
  <c r="L35"/>
  <c r="L30"/>
  <c r="L23"/>
  <c r="L21"/>
  <c r="L20"/>
  <c r="M20" s="1"/>
  <c r="M26" s="1"/>
  <c r="M72" s="1"/>
  <c r="L18"/>
  <c r="L15"/>
  <c r="L12"/>
  <c r="M42" i="170"/>
  <c r="M41"/>
  <c r="M34"/>
  <c r="M30"/>
  <c r="M28"/>
  <c r="M22"/>
  <c r="M20"/>
  <c r="M18"/>
  <c r="M12"/>
  <c r="M12" i="41"/>
  <c r="M26" s="1"/>
  <c r="M44" i="40"/>
  <c r="M43"/>
  <c r="M41"/>
  <c r="M30"/>
  <c r="M23"/>
  <c r="M19"/>
  <c r="M16"/>
  <c r="M11"/>
  <c r="M31" i="169"/>
  <c r="M33" s="1"/>
  <c r="M27"/>
  <c r="M20"/>
  <c r="M19"/>
  <c r="M17"/>
  <c r="M15"/>
  <c r="M12"/>
  <c r="N40" i="38"/>
  <c r="N34"/>
  <c r="N20"/>
  <c r="N12"/>
  <c r="M40" i="35"/>
  <c r="M31"/>
  <c r="M30"/>
  <c r="M24"/>
  <c r="M23"/>
  <c r="N23" s="1"/>
  <c r="O23" s="1"/>
  <c r="M22"/>
  <c r="M21"/>
  <c r="M18"/>
  <c r="M15"/>
  <c r="M14"/>
  <c r="M12"/>
  <c r="M11"/>
  <c r="M34" i="168"/>
  <c r="M30"/>
  <c r="M29"/>
  <c r="M28"/>
  <c r="M26"/>
  <c r="M25"/>
  <c r="M19"/>
  <c r="M18"/>
  <c r="M14"/>
  <c r="N14" s="1"/>
  <c r="O14" s="1"/>
  <c r="P14" s="1"/>
  <c r="Q14" s="1"/>
  <c r="R14" s="1"/>
  <c r="M12"/>
  <c r="M11"/>
  <c r="M10"/>
  <c r="M40" i="165"/>
  <c r="M34"/>
  <c r="M30"/>
  <c r="M28"/>
  <c r="M21"/>
  <c r="M18"/>
  <c r="M17"/>
  <c r="M15"/>
  <c r="M13"/>
  <c r="M46" i="162"/>
  <c r="M49" s="1"/>
  <c r="M36"/>
  <c r="M35"/>
  <c r="M34"/>
  <c r="M33"/>
  <c r="M32"/>
  <c r="M25"/>
  <c r="M22"/>
  <c r="M20"/>
  <c r="M18"/>
  <c r="M14"/>
  <c r="K29" i="163"/>
  <c r="K43"/>
  <c r="K42"/>
  <c r="K41"/>
  <c r="K36"/>
  <c r="K35"/>
  <c r="K40"/>
  <c r="K27"/>
  <c r="L27" s="1"/>
  <c r="L33" s="1"/>
  <c r="K26"/>
  <c r="K22"/>
  <c r="K21"/>
  <c r="K20"/>
  <c r="K19"/>
  <c r="K18"/>
  <c r="K17"/>
  <c r="L17" s="1"/>
  <c r="K16"/>
  <c r="K15"/>
  <c r="K14"/>
  <c r="K13"/>
  <c r="K12"/>
  <c r="I38" i="92"/>
  <c r="I41" s="1"/>
  <c r="I32"/>
  <c r="I29"/>
  <c r="I28"/>
  <c r="I26"/>
  <c r="I25"/>
  <c r="J25" s="1"/>
  <c r="I24"/>
  <c r="I20"/>
  <c r="I19"/>
  <c r="I18"/>
  <c r="I17"/>
  <c r="I16"/>
  <c r="J16" s="1"/>
  <c r="I15"/>
  <c r="I13"/>
  <c r="N13" i="114"/>
  <c r="M31" i="116"/>
  <c r="L45" i="175"/>
  <c r="L44"/>
  <c r="L43"/>
  <c r="L37"/>
  <c r="L33"/>
  <c r="L26"/>
  <c r="L25"/>
  <c r="L24"/>
  <c r="L22"/>
  <c r="L16"/>
  <c r="M39" i="28"/>
  <c r="M35"/>
  <c r="M45"/>
  <c r="M34"/>
  <c r="M31"/>
  <c r="M30"/>
  <c r="M22"/>
  <c r="M21"/>
  <c r="M20"/>
  <c r="M19"/>
  <c r="M18"/>
  <c r="M17"/>
  <c r="M16"/>
  <c r="M15"/>
  <c r="M14"/>
  <c r="M43" i="25"/>
  <c r="M42"/>
  <c r="M40"/>
  <c r="M36"/>
  <c r="M32"/>
  <c r="M25"/>
  <c r="M22"/>
  <c r="M19"/>
  <c r="M18"/>
  <c r="M16"/>
  <c r="M45" i="24"/>
  <c r="M40"/>
  <c r="M36"/>
  <c r="M25"/>
  <c r="M24"/>
  <c r="N24" s="1"/>
  <c r="M23"/>
  <c r="M21"/>
  <c r="M18"/>
  <c r="M15"/>
  <c r="N15" s="1"/>
  <c r="M14"/>
  <c r="M13"/>
  <c r="M46" i="100"/>
  <c r="M38"/>
  <c r="M37"/>
  <c r="M34"/>
  <c r="M33"/>
  <c r="M32"/>
  <c r="M30"/>
  <c r="M29"/>
  <c r="M28"/>
  <c r="N28" s="1"/>
  <c r="M27"/>
  <c r="M24"/>
  <c r="M22"/>
  <c r="M20"/>
  <c r="N20" s="1"/>
  <c r="M19"/>
  <c r="M17"/>
  <c r="M14"/>
  <c r="M47" i="21"/>
  <c r="M46"/>
  <c r="M39"/>
  <c r="M35"/>
  <c r="M33"/>
  <c r="M26"/>
  <c r="M23"/>
  <c r="M22"/>
  <c r="M19"/>
  <c r="L37" i="19"/>
  <c r="L31"/>
  <c r="L22"/>
  <c r="L21"/>
  <c r="L20"/>
  <c r="L19"/>
  <c r="L16"/>
  <c r="L44" i="18"/>
  <c r="L39"/>
  <c r="L24"/>
  <c r="L23"/>
  <c r="L22"/>
  <c r="L20"/>
  <c r="L17"/>
  <c r="L14"/>
  <c r="L47" i="16"/>
  <c r="L46"/>
  <c r="L38"/>
  <c r="L32"/>
  <c r="L25"/>
  <c r="L24"/>
  <c r="L23"/>
  <c r="L21"/>
  <c r="L17"/>
  <c r="L13"/>
  <c r="H38" i="91"/>
  <c r="H28"/>
  <c r="H21"/>
  <c r="H30" i="92"/>
  <c r="H22"/>
  <c r="L37" i="162"/>
  <c r="L25" i="172"/>
  <c r="J31"/>
  <c r="I31"/>
  <c r="H31"/>
  <c r="G31"/>
  <c r="F31"/>
  <c r="E31"/>
  <c r="D31"/>
  <c r="C31"/>
  <c r="M50" i="171"/>
  <c r="L50"/>
  <c r="K50"/>
  <c r="J50"/>
  <c r="J71" i="178"/>
  <c r="K71"/>
  <c r="M35" i="100" l="1"/>
  <c r="I30" i="92"/>
  <c r="R22" i="31"/>
  <c r="S22" s="1"/>
  <c r="Q24"/>
  <c r="M48" i="46"/>
  <c r="M46" i="181" s="1"/>
  <c r="M41"/>
  <c r="N41"/>
  <c r="P23" i="35"/>
  <c r="O26"/>
  <c r="O45" s="1"/>
  <c r="N32" i="181" s="1"/>
  <c r="N20" i="180"/>
  <c r="N42" s="1"/>
  <c r="O16"/>
  <c r="M44" i="177"/>
  <c r="O13" i="168"/>
  <c r="O49" i="17"/>
  <c r="N50"/>
  <c r="N18" i="46"/>
  <c r="N25" i="100"/>
  <c r="N35"/>
  <c r="M25"/>
  <c r="J30" i="92"/>
  <c r="M47" i="18"/>
  <c r="L47"/>
  <c r="M44" i="25"/>
  <c r="I22" i="92"/>
  <c r="L22" i="181"/>
  <c r="K24" i="163"/>
  <c r="K37"/>
  <c r="N26" i="35"/>
  <c r="M32"/>
  <c r="M44"/>
  <c r="M23" i="169"/>
  <c r="M45" i="40"/>
  <c r="K54" i="44"/>
  <c r="L38" i="46"/>
  <c r="L43"/>
  <c r="M44" i="172"/>
  <c r="K39" i="174"/>
  <c r="K24" i="126"/>
  <c r="L48" i="16"/>
  <c r="L28" i="18"/>
  <c r="L41"/>
  <c r="M40" i="100"/>
  <c r="M48"/>
  <c r="J20" i="92"/>
  <c r="I34"/>
  <c r="L24" i="163"/>
  <c r="K44"/>
  <c r="N18" i="162"/>
  <c r="N22"/>
  <c r="N32"/>
  <c r="N37" s="1"/>
  <c r="M37"/>
  <c r="M28" i="169"/>
  <c r="M33" i="40"/>
  <c r="N43"/>
  <c r="K24" i="44"/>
  <c r="K38"/>
  <c r="K44"/>
  <c r="L26" i="46"/>
  <c r="L32"/>
  <c r="M25" i="172"/>
  <c r="M32"/>
  <c r="M37"/>
  <c r="M31" i="168"/>
  <c r="N34" i="75"/>
  <c r="L46" i="175"/>
  <c r="M51" i="21"/>
  <c r="N19" i="168"/>
  <c r="O19" s="1"/>
  <c r="P19" s="1"/>
  <c r="Q19" s="1"/>
  <c r="R19" s="1"/>
  <c r="M36"/>
  <c r="M21"/>
  <c r="K36" i="126"/>
  <c r="K31"/>
  <c r="K43"/>
  <c r="M36" i="170"/>
  <c r="N42"/>
  <c r="O42" s="1"/>
  <c r="N41"/>
  <c r="O41" s="1"/>
  <c r="M43"/>
  <c r="N20" i="178"/>
  <c r="O20" s="1"/>
  <c r="E39" i="214" s="1"/>
  <c r="L49" i="178"/>
  <c r="L42"/>
  <c r="N17" i="165"/>
  <c r="M41"/>
  <c r="M47" i="31"/>
  <c r="M26" i="28"/>
  <c r="M36"/>
  <c r="M40"/>
  <c r="M46"/>
  <c r="H41" i="91"/>
  <c r="D37" i="125"/>
  <c r="D44"/>
  <c r="D24"/>
  <c r="D32"/>
  <c r="N42" i="63"/>
  <c r="N41" i="38"/>
  <c r="N36"/>
  <c r="M53" i="41"/>
  <c r="L39" i="181" s="1"/>
  <c r="N26" i="46" l="1"/>
  <c r="O18"/>
  <c r="O50" i="17"/>
  <c r="O54" s="1"/>
  <c r="P20" i="180"/>
  <c r="E45" i="214" s="1"/>
  <c r="L45" s="1"/>
  <c r="Q16" i="180"/>
  <c r="T22" i="31"/>
  <c r="S24"/>
  <c r="E23" i="214" s="1"/>
  <c r="L23" s="1"/>
  <c r="P20" i="178"/>
  <c r="P26" i="35"/>
  <c r="Q23"/>
  <c r="N26" i="178"/>
  <c r="N72" s="1"/>
  <c r="O20" i="180"/>
  <c r="R24" i="31"/>
  <c r="R47" s="1"/>
  <c r="N52" i="100"/>
  <c r="M12" i="181" s="1"/>
  <c r="I42" i="92"/>
  <c r="N46" i="181"/>
  <c r="M47"/>
  <c r="N47"/>
  <c r="P41" i="170"/>
  <c r="O43"/>
  <c r="O44" s="1"/>
  <c r="N40" i="181" s="1"/>
  <c r="M52" i="100"/>
  <c r="P13" i="168"/>
  <c r="Q13" s="1"/>
  <c r="O21"/>
  <c r="O47" s="1"/>
  <c r="N31" i="181" s="1"/>
  <c r="O42" i="180"/>
  <c r="O47" i="181" s="1"/>
  <c r="N21" i="168"/>
  <c r="N47" s="1"/>
  <c r="M31" i="181" s="1"/>
  <c r="N54" i="17"/>
  <c r="N6" i="181" s="1"/>
  <c r="K44" i="126"/>
  <c r="N32" i="46"/>
  <c r="P32" s="1"/>
  <c r="N45" i="40"/>
  <c r="O43"/>
  <c r="J22" i="92"/>
  <c r="J42" s="1"/>
  <c r="M25" i="181" s="1"/>
  <c r="M45" i="172"/>
  <c r="N45" i="35"/>
  <c r="M32" i="181" s="1"/>
  <c r="L48" i="18"/>
  <c r="L45" i="163"/>
  <c r="M27" i="181" s="1"/>
  <c r="M48" i="18"/>
  <c r="M8" i="181" s="1"/>
  <c r="N43" i="170"/>
  <c r="N44" s="1"/>
  <c r="M40" i="181" s="1"/>
  <c r="M50" i="28"/>
  <c r="D45" i="125"/>
  <c r="N7" i="38"/>
  <c r="M26" i="24"/>
  <c r="R13" i="168" l="1"/>
  <c r="E29" i="214"/>
  <c r="L29" s="1"/>
  <c r="P43" i="170"/>
  <c r="P44" s="1"/>
  <c r="Q41"/>
  <c r="Q20" i="180"/>
  <c r="P42"/>
  <c r="R23" i="35"/>
  <c r="E30" i="214"/>
  <c r="L30" s="1"/>
  <c r="P26" i="178"/>
  <c r="T24" i="31"/>
  <c r="S47"/>
  <c r="Q49" i="17"/>
  <c r="P50"/>
  <c r="P18" i="46"/>
  <c r="E44" i="214"/>
  <c r="L44" s="1"/>
  <c r="N48" i="46"/>
  <c r="O41" i="181"/>
  <c r="P21" i="168"/>
  <c r="P47" s="1"/>
  <c r="P43" i="40"/>
  <c r="Q43" s="1"/>
  <c r="O45"/>
  <c r="O46" s="1"/>
  <c r="N38" i="181" s="1"/>
  <c r="P45" i="35"/>
  <c r="L56" i="181"/>
  <c r="N9" i="38"/>
  <c r="D39" i="126"/>
  <c r="H37"/>
  <c r="G37"/>
  <c r="F37"/>
  <c r="E37"/>
  <c r="D37"/>
  <c r="I36"/>
  <c r="I32"/>
  <c r="I25"/>
  <c r="J24"/>
  <c r="I16"/>
  <c r="J9"/>
  <c r="H9"/>
  <c r="G9"/>
  <c r="F9"/>
  <c r="E9"/>
  <c r="D9"/>
  <c r="G7"/>
  <c r="F7"/>
  <c r="E7"/>
  <c r="D7"/>
  <c r="I6"/>
  <c r="H6"/>
  <c r="I4"/>
  <c r="H4"/>
  <c r="C44" i="125"/>
  <c r="C8"/>
  <c r="C18" s="1"/>
  <c r="C7"/>
  <c r="M30" i="25"/>
  <c r="H36" i="214" l="1"/>
  <c r="R43" i="40"/>
  <c r="P26" i="46"/>
  <c r="Q50" i="17"/>
  <c r="T47" i="31"/>
  <c r="P24" i="181"/>
  <c r="R26" i="35"/>
  <c r="Q42" i="180"/>
  <c r="P47" i="181"/>
  <c r="Q47" s="1"/>
  <c r="R41" i="170"/>
  <c r="H38" i="214"/>
  <c r="L38" s="1"/>
  <c r="R21" i="168"/>
  <c r="H7" i="126"/>
  <c r="O6" i="181"/>
  <c r="O32"/>
  <c r="P45" i="40"/>
  <c r="O46" i="181"/>
  <c r="N30" i="25"/>
  <c r="I37" i="126"/>
  <c r="J24" i="44"/>
  <c r="L36" i="214" l="1"/>
  <c r="R45" i="40"/>
  <c r="R47" i="168"/>
  <c r="P31" i="181"/>
  <c r="R43" i="170"/>
  <c r="R45" i="35"/>
  <c r="P32" i="181"/>
  <c r="Q32" s="1"/>
  <c r="Q54" i="17"/>
  <c r="P6" i="181"/>
  <c r="P48" i="46"/>
  <c r="P46" i="181"/>
  <c r="Q46" s="1"/>
  <c r="O31"/>
  <c r="P46" i="40"/>
  <c r="O40" i="181"/>
  <c r="N33" i="25"/>
  <c r="L58" i="181"/>
  <c r="L59"/>
  <c r="M9" i="165"/>
  <c r="R46" i="40" l="1"/>
  <c r="P38" i="181"/>
  <c r="Q6"/>
  <c r="R44" i="170"/>
  <c r="P40" i="181"/>
  <c r="Q40" s="1"/>
  <c r="Q31"/>
  <c r="O38"/>
  <c r="N48" i="25"/>
  <c r="M17" i="181" s="1"/>
  <c r="L36" i="178"/>
  <c r="M6" i="35"/>
  <c r="Q38" i="181" l="1"/>
  <c r="J5" i="163"/>
  <c r="M5" i="83"/>
  <c r="M12" s="1"/>
  <c r="N5" i="114"/>
  <c r="N10" s="1"/>
  <c r="M4" i="35"/>
  <c r="M8" s="1"/>
  <c r="K5" i="44"/>
  <c r="K9" s="1"/>
  <c r="M5" i="171"/>
  <c r="M5" i="53"/>
  <c r="M4" i="51"/>
  <c r="M5" i="177"/>
  <c r="M9" s="1"/>
  <c r="M5" i="23"/>
  <c r="M8" s="1"/>
  <c r="H5" i="91"/>
  <c r="H10" s="1"/>
  <c r="M5" i="116"/>
  <c r="M11" s="1"/>
  <c r="M4" i="25"/>
  <c r="M13" s="1"/>
  <c r="M4" i="24"/>
  <c r="M50" i="83"/>
  <c r="L47"/>
  <c r="L50"/>
  <c r="K50"/>
  <c r="L27" i="17"/>
  <c r="K53"/>
  <c r="J43" i="163"/>
  <c r="J42"/>
  <c r="J41"/>
  <c r="J36"/>
  <c r="J35"/>
  <c r="J30"/>
  <c r="J28"/>
  <c r="J26"/>
  <c r="J18"/>
  <c r="J17"/>
  <c r="J12"/>
  <c r="J9"/>
  <c r="M5" i="168"/>
  <c r="M21" i="170"/>
  <c r="M17"/>
  <c r="M27" i="53"/>
  <c r="L47" i="46"/>
  <c r="K47"/>
  <c r="L7" i="178"/>
  <c r="L13"/>
  <c r="N15" i="38"/>
  <c r="M7"/>
  <c r="L29" i="162"/>
  <c r="M17" i="51"/>
  <c r="M14" i="180"/>
  <c r="M13"/>
  <c r="N30" i="63"/>
  <c r="O30" s="1"/>
  <c r="M16" i="177"/>
  <c r="M28" i="51"/>
  <c r="N28" s="1"/>
  <c r="M27"/>
  <c r="M19"/>
  <c r="M17" i="171"/>
  <c r="N17" s="1"/>
  <c r="M26" i="170"/>
  <c r="M17" i="40"/>
  <c r="M13" i="35"/>
  <c r="M26" s="1"/>
  <c r="M33" i="165"/>
  <c r="M35" s="1"/>
  <c r="M26"/>
  <c r="M19"/>
  <c r="M14"/>
  <c r="L19" i="16"/>
  <c r="M19" s="1"/>
  <c r="M27" s="1"/>
  <c r="H14" i="91"/>
  <c r="J5" i="174"/>
  <c r="K30" i="44"/>
  <c r="L45" i="40"/>
  <c r="J37" i="163" l="1"/>
  <c r="J24"/>
  <c r="N28" i="171"/>
  <c r="N56" s="1"/>
  <c r="O17"/>
  <c r="O28" s="1"/>
  <c r="J44" i="163"/>
  <c r="N31" i="51"/>
  <c r="N43" s="1"/>
  <c r="O28"/>
  <c r="K33" i="44"/>
  <c r="K65" s="1"/>
  <c r="N17" i="40"/>
  <c r="N25" s="1"/>
  <c r="M25"/>
  <c r="M46" s="1"/>
  <c r="M45" i="35"/>
  <c r="M7" i="168"/>
  <c r="M47" s="1"/>
  <c r="M31" i="170"/>
  <c r="M23"/>
  <c r="L26" i="178"/>
  <c r="L9"/>
  <c r="N26" i="165"/>
  <c r="I14" i="91"/>
  <c r="H23"/>
  <c r="L31" i="17"/>
  <c r="L54" s="1"/>
  <c r="M51" i="83"/>
  <c r="O15" i="38"/>
  <c r="P15" s="1"/>
  <c r="N29"/>
  <c r="N33" i="165"/>
  <c r="O33" s="1"/>
  <c r="J33" i="163"/>
  <c r="L27" i="25"/>
  <c r="I21" i="1"/>
  <c r="H21"/>
  <c r="I7"/>
  <c r="H7"/>
  <c r="N14" i="75"/>
  <c r="N10"/>
  <c r="N9"/>
  <c r="N21"/>
  <c r="M28" i="23"/>
  <c r="M22"/>
  <c r="M21"/>
  <c r="M15"/>
  <c r="M12"/>
  <c r="K43" i="46"/>
  <c r="K38"/>
  <c r="F33"/>
  <c r="K32"/>
  <c r="J31"/>
  <c r="I31"/>
  <c r="H31"/>
  <c r="G31"/>
  <c r="F31"/>
  <c r="E31"/>
  <c r="D31"/>
  <c r="C31"/>
  <c r="K26"/>
  <c r="J26"/>
  <c r="J20"/>
  <c r="J15"/>
  <c r="I15"/>
  <c r="I25" s="1"/>
  <c r="H15"/>
  <c r="H25" s="1"/>
  <c r="G15"/>
  <c r="G25" s="1"/>
  <c r="F15"/>
  <c r="F25" s="1"/>
  <c r="E15"/>
  <c r="E25" s="1"/>
  <c r="D15"/>
  <c r="D25" s="1"/>
  <c r="C15"/>
  <c r="C25" s="1"/>
  <c r="L7"/>
  <c r="L9" s="1"/>
  <c r="K7"/>
  <c r="K5"/>
  <c r="M38" i="180"/>
  <c r="L38"/>
  <c r="M31"/>
  <c r="L31"/>
  <c r="K29"/>
  <c r="M26"/>
  <c r="L26"/>
  <c r="J26"/>
  <c r="I26"/>
  <c r="H26"/>
  <c r="G26"/>
  <c r="F26"/>
  <c r="E26"/>
  <c r="D26"/>
  <c r="C26"/>
  <c r="K25"/>
  <c r="M20"/>
  <c r="L20"/>
  <c r="M7"/>
  <c r="L7"/>
  <c r="I7"/>
  <c r="F7"/>
  <c r="E7"/>
  <c r="D7"/>
  <c r="C7"/>
  <c r="J6"/>
  <c r="L5"/>
  <c r="K5"/>
  <c r="J4"/>
  <c r="H4"/>
  <c r="H7" s="1"/>
  <c r="G4"/>
  <c r="G7" s="1"/>
  <c r="M29" i="114"/>
  <c r="H31" i="91"/>
  <c r="H34" s="1"/>
  <c r="H27"/>
  <c r="H26"/>
  <c r="I26" s="1"/>
  <c r="K28" i="163"/>
  <c r="K49" i="178"/>
  <c r="F49"/>
  <c r="D47"/>
  <c r="K42"/>
  <c r="K36"/>
  <c r="K26"/>
  <c r="K9"/>
  <c r="L5" i="177"/>
  <c r="M34"/>
  <c r="M36" s="1"/>
  <c r="M29"/>
  <c r="M28"/>
  <c r="M18"/>
  <c r="M15"/>
  <c r="M13"/>
  <c r="L36"/>
  <c r="L44"/>
  <c r="L32"/>
  <c r="L25"/>
  <c r="K44"/>
  <c r="H37"/>
  <c r="G37"/>
  <c r="F37"/>
  <c r="E37"/>
  <c r="D37"/>
  <c r="K36"/>
  <c r="I36"/>
  <c r="I33"/>
  <c r="K32"/>
  <c r="I26"/>
  <c r="K25"/>
  <c r="J25"/>
  <c r="H21"/>
  <c r="G21"/>
  <c r="F21"/>
  <c r="E21"/>
  <c r="D21"/>
  <c r="I15"/>
  <c r="K9"/>
  <c r="J9"/>
  <c r="H9"/>
  <c r="G9"/>
  <c r="F9"/>
  <c r="E9"/>
  <c r="D9"/>
  <c r="G7"/>
  <c r="F7"/>
  <c r="E7"/>
  <c r="D7"/>
  <c r="I6"/>
  <c r="H6"/>
  <c r="I4"/>
  <c r="H4"/>
  <c r="K46" i="175"/>
  <c r="C46"/>
  <c r="K39"/>
  <c r="C39"/>
  <c r="L36"/>
  <c r="K34"/>
  <c r="C34"/>
  <c r="L32"/>
  <c r="L31"/>
  <c r="K28"/>
  <c r="C28"/>
  <c r="L23"/>
  <c r="L19"/>
  <c r="J17"/>
  <c r="I17"/>
  <c r="H17"/>
  <c r="G17"/>
  <c r="F17"/>
  <c r="E17"/>
  <c r="D17"/>
  <c r="K13"/>
  <c r="C13"/>
  <c r="J10"/>
  <c r="I10"/>
  <c r="F10"/>
  <c r="E10"/>
  <c r="D10"/>
  <c r="G6"/>
  <c r="H6" s="1"/>
  <c r="H3"/>
  <c r="G3"/>
  <c r="L27" i="53"/>
  <c r="M27" i="165"/>
  <c r="M31" s="1"/>
  <c r="M16"/>
  <c r="N16" s="1"/>
  <c r="N24" s="1"/>
  <c r="M6"/>
  <c r="M10" s="1"/>
  <c r="M39" i="162"/>
  <c r="M21"/>
  <c r="M19"/>
  <c r="N19" s="1"/>
  <c r="N29" s="1"/>
  <c r="M17"/>
  <c r="N26" i="114"/>
  <c r="N29" s="1"/>
  <c r="N23"/>
  <c r="N16"/>
  <c r="N14"/>
  <c r="M35" i="116"/>
  <c r="M30"/>
  <c r="M29"/>
  <c r="M22"/>
  <c r="M17"/>
  <c r="M35" i="25"/>
  <c r="M31"/>
  <c r="M23"/>
  <c r="M17"/>
  <c r="M39" i="24"/>
  <c r="M35"/>
  <c r="M34"/>
  <c r="N34" s="1"/>
  <c r="M22"/>
  <c r="M19"/>
  <c r="N19" s="1"/>
  <c r="N31" s="1"/>
  <c r="M16"/>
  <c r="M38" i="21"/>
  <c r="M32"/>
  <c r="M31"/>
  <c r="M17"/>
  <c r="L36" i="19"/>
  <c r="L30"/>
  <c r="L29"/>
  <c r="L17"/>
  <c r="L37" i="16"/>
  <c r="L31"/>
  <c r="L30"/>
  <c r="L22"/>
  <c r="L16"/>
  <c r="J38" i="174"/>
  <c r="J37"/>
  <c r="D35"/>
  <c r="H33"/>
  <c r="G33"/>
  <c r="F33"/>
  <c r="E33"/>
  <c r="D33"/>
  <c r="I32"/>
  <c r="J30"/>
  <c r="J29"/>
  <c r="I28"/>
  <c r="J26"/>
  <c r="J24"/>
  <c r="J23"/>
  <c r="K23" s="1"/>
  <c r="J22"/>
  <c r="I21"/>
  <c r="J17"/>
  <c r="K17" s="1"/>
  <c r="L17" s="1"/>
  <c r="K16"/>
  <c r="J16"/>
  <c r="J14"/>
  <c r="I14"/>
  <c r="J12"/>
  <c r="K12" s="1"/>
  <c r="L12" s="1"/>
  <c r="J11"/>
  <c r="H8"/>
  <c r="G8"/>
  <c r="F8"/>
  <c r="E8"/>
  <c r="D8"/>
  <c r="K7"/>
  <c r="J7"/>
  <c r="J8" s="1"/>
  <c r="G7"/>
  <c r="F7"/>
  <c r="E7"/>
  <c r="D7"/>
  <c r="I6"/>
  <c r="H6"/>
  <c r="I4"/>
  <c r="H4"/>
  <c r="L37" i="172"/>
  <c r="K37"/>
  <c r="L44"/>
  <c r="K44"/>
  <c r="F42"/>
  <c r="E42"/>
  <c r="K32"/>
  <c r="L28"/>
  <c r="L32" s="1"/>
  <c r="K25"/>
  <c r="J16"/>
  <c r="I16"/>
  <c r="H16"/>
  <c r="G16"/>
  <c r="D16"/>
  <c r="C16"/>
  <c r="F12"/>
  <c r="F16" s="1"/>
  <c r="E12"/>
  <c r="E16" s="1"/>
  <c r="G6"/>
  <c r="L5"/>
  <c r="L9" s="1"/>
  <c r="K5"/>
  <c r="K9" s="1"/>
  <c r="J5"/>
  <c r="I5"/>
  <c r="H5"/>
  <c r="M47" i="171"/>
  <c r="L47"/>
  <c r="M41"/>
  <c r="L41"/>
  <c r="F37"/>
  <c r="M35"/>
  <c r="L35"/>
  <c r="K35"/>
  <c r="J34"/>
  <c r="I34"/>
  <c r="H34"/>
  <c r="G34"/>
  <c r="F34"/>
  <c r="E34"/>
  <c r="D34"/>
  <c r="C34"/>
  <c r="K31"/>
  <c r="M28"/>
  <c r="L28"/>
  <c r="K19"/>
  <c r="M7"/>
  <c r="L7"/>
  <c r="K6"/>
  <c r="J6"/>
  <c r="H6"/>
  <c r="L5"/>
  <c r="L11" s="1"/>
  <c r="K4"/>
  <c r="J4"/>
  <c r="H4"/>
  <c r="F4"/>
  <c r="L43" i="170"/>
  <c r="F43"/>
  <c r="L36"/>
  <c r="L31"/>
  <c r="L23"/>
  <c r="L9"/>
  <c r="K29" i="169"/>
  <c r="J29"/>
  <c r="I29"/>
  <c r="H29"/>
  <c r="G29"/>
  <c r="F29"/>
  <c r="E29"/>
  <c r="D29"/>
  <c r="C29"/>
  <c r="L28"/>
  <c r="K26"/>
  <c r="L23"/>
  <c r="J18"/>
  <c r="I18"/>
  <c r="H18"/>
  <c r="G18"/>
  <c r="F18"/>
  <c r="E18"/>
  <c r="D18"/>
  <c r="C18"/>
  <c r="K15"/>
  <c r="L9"/>
  <c r="J39"/>
  <c r="I39"/>
  <c r="H39"/>
  <c r="G39"/>
  <c r="F39"/>
  <c r="E39"/>
  <c r="D39"/>
  <c r="C39"/>
  <c r="G7"/>
  <c r="F7"/>
  <c r="E7"/>
  <c r="D7"/>
  <c r="C7"/>
  <c r="K6"/>
  <c r="J6"/>
  <c r="H6"/>
  <c r="K4"/>
  <c r="J4"/>
  <c r="I4"/>
  <c r="I7" s="1"/>
  <c r="H4"/>
  <c r="L46" i="168"/>
  <c r="K38"/>
  <c r="L36"/>
  <c r="J36"/>
  <c r="I36"/>
  <c r="H36"/>
  <c r="G36"/>
  <c r="F36"/>
  <c r="E36"/>
  <c r="C36"/>
  <c r="K33"/>
  <c r="L31"/>
  <c r="D25"/>
  <c r="D36" s="1"/>
  <c r="L21"/>
  <c r="K19"/>
  <c r="K24" s="1"/>
  <c r="J19"/>
  <c r="I19"/>
  <c r="H19"/>
  <c r="G19"/>
  <c r="C19"/>
  <c r="F19"/>
  <c r="E19"/>
  <c r="D19"/>
  <c r="J11"/>
  <c r="H11"/>
  <c r="C11"/>
  <c r="I8"/>
  <c r="I11" s="1"/>
  <c r="G8"/>
  <c r="G11" s="1"/>
  <c r="F8"/>
  <c r="F11" s="1"/>
  <c r="D8"/>
  <c r="D11" s="1"/>
  <c r="E11"/>
  <c r="K6"/>
  <c r="J6"/>
  <c r="I6"/>
  <c r="H6"/>
  <c r="F6"/>
  <c r="E6"/>
  <c r="D6"/>
  <c r="C6"/>
  <c r="L4"/>
  <c r="L7" s="1"/>
  <c r="G4"/>
  <c r="G6" s="1"/>
  <c r="N5" i="75"/>
  <c r="M38" i="23"/>
  <c r="O31" i="51" l="1"/>
  <c r="P28"/>
  <c r="O56" i="171"/>
  <c r="J45" i="163"/>
  <c r="L20" i="174"/>
  <c r="H7" i="177"/>
  <c r="L72" i="178"/>
  <c r="G10" i="175"/>
  <c r="M48" i="181"/>
  <c r="N48"/>
  <c r="H7" i="174"/>
  <c r="J20"/>
  <c r="L27"/>
  <c r="M23"/>
  <c r="M33" i="116"/>
  <c r="M32" i="177"/>
  <c r="I29" i="91"/>
  <c r="J26"/>
  <c r="Q15" i="38"/>
  <c r="P29"/>
  <c r="P47" s="1"/>
  <c r="N36" i="181" s="1"/>
  <c r="N31" i="165"/>
  <c r="O26"/>
  <c r="M12" i="174"/>
  <c r="M2" i="181"/>
  <c r="M3"/>
  <c r="N35" i="165"/>
  <c r="I23" i="91"/>
  <c r="J14"/>
  <c r="M42" i="169"/>
  <c r="K8" i="174"/>
  <c r="M31" i="24"/>
  <c r="M27" i="25"/>
  <c r="M33"/>
  <c r="M26" i="116"/>
  <c r="M38"/>
  <c r="O16" i="114"/>
  <c r="M9" i="180"/>
  <c r="N46" i="40"/>
  <c r="M38" i="181" s="1"/>
  <c r="J7" i="180"/>
  <c r="L9"/>
  <c r="L42" s="1"/>
  <c r="L27" i="16"/>
  <c r="M30"/>
  <c r="M35" s="1"/>
  <c r="L35"/>
  <c r="L40"/>
  <c r="N37" i="24"/>
  <c r="M42"/>
  <c r="M37" i="25"/>
  <c r="M29" i="162"/>
  <c r="K33" i="163"/>
  <c r="K45" s="1"/>
  <c r="J39" i="174"/>
  <c r="M11" i="171"/>
  <c r="M56" s="1"/>
  <c r="L48" i="181" s="1"/>
  <c r="N7" i="75"/>
  <c r="N23"/>
  <c r="N17"/>
  <c r="M25" i="177"/>
  <c r="M48" s="1"/>
  <c r="L28" i="175"/>
  <c r="M31"/>
  <c r="L34"/>
  <c r="L39"/>
  <c r="M28" i="21"/>
  <c r="N31"/>
  <c r="N36" s="1"/>
  <c r="M36"/>
  <c r="M41"/>
  <c r="M44" i="170"/>
  <c r="M24" i="165"/>
  <c r="M45" s="1"/>
  <c r="H29" i="91"/>
  <c r="H42" s="1"/>
  <c r="L26" i="19"/>
  <c r="M29"/>
  <c r="L34"/>
  <c r="L39"/>
  <c r="M19" i="23"/>
  <c r="M26"/>
  <c r="M31"/>
  <c r="N19" i="114"/>
  <c r="N24"/>
  <c r="L2" i="181"/>
  <c r="L3"/>
  <c r="O29" i="38"/>
  <c r="K9" i="46"/>
  <c r="K48" s="1"/>
  <c r="J7" i="169"/>
  <c r="L56" i="171"/>
  <c r="L9" i="177"/>
  <c r="L48" s="1"/>
  <c r="L48" i="46"/>
  <c r="L44" i="170"/>
  <c r="K50" i="175"/>
  <c r="C50"/>
  <c r="K14" i="174"/>
  <c r="K20" s="1"/>
  <c r="J27"/>
  <c r="K22"/>
  <c r="J32"/>
  <c r="K29"/>
  <c r="L29" s="1"/>
  <c r="H7" i="169"/>
  <c r="K30" i="180"/>
  <c r="K72" i="178"/>
  <c r="K48" i="177"/>
  <c r="I37"/>
  <c r="H10" i="175"/>
  <c r="I33" i="174"/>
  <c r="K45" i="172"/>
  <c r="L45"/>
  <c r="H6"/>
  <c r="F39" i="171"/>
  <c r="K36"/>
  <c r="L42" i="169"/>
  <c r="C37" i="168"/>
  <c r="H37"/>
  <c r="J37"/>
  <c r="E37"/>
  <c r="G37"/>
  <c r="I37"/>
  <c r="K39"/>
  <c r="D37"/>
  <c r="F37"/>
  <c r="L47"/>
  <c r="O43" i="51" l="1"/>
  <c r="O26" i="181" s="1"/>
  <c r="M27" i="174"/>
  <c r="N23"/>
  <c r="M20"/>
  <c r="M46" s="1"/>
  <c r="N12"/>
  <c r="Q29" i="38"/>
  <c r="R15"/>
  <c r="Q17" i="171"/>
  <c r="E46" i="214"/>
  <c r="L46" s="1"/>
  <c r="F25"/>
  <c r="Q28" i="51"/>
  <c r="I42" i="91"/>
  <c r="M4" i="181" s="1"/>
  <c r="J46" i="174"/>
  <c r="M43" i="116"/>
  <c r="N35" i="114"/>
  <c r="L32" i="174"/>
  <c r="L46" s="1"/>
  <c r="O19" i="114"/>
  <c r="O35" s="1"/>
  <c r="M21" i="181" s="1"/>
  <c r="P16" i="114"/>
  <c r="J23" i="91"/>
  <c r="O35" i="165"/>
  <c r="O31"/>
  <c r="J29" i="91"/>
  <c r="M39" i="23"/>
  <c r="M34" i="19"/>
  <c r="M53" s="1"/>
  <c r="M9" i="181" s="1"/>
  <c r="L53" i="19"/>
  <c r="K32" i="174"/>
  <c r="M48" i="25"/>
  <c r="M49" i="16"/>
  <c r="M7" i="181" s="1"/>
  <c r="K27" i="174"/>
  <c r="N45" i="165"/>
  <c r="M30" i="181" s="1"/>
  <c r="L49" i="16"/>
  <c r="N35" i="75"/>
  <c r="L50" i="175"/>
  <c r="M34"/>
  <c r="N52" i="21"/>
  <c r="M10" i="181" s="1"/>
  <c r="M52" i="21"/>
  <c r="O47" i="38"/>
  <c r="M36" i="181" s="1"/>
  <c r="L40"/>
  <c r="L46"/>
  <c r="L37"/>
  <c r="L41"/>
  <c r="M42" i="180"/>
  <c r="F35" i="171"/>
  <c r="F35" i="169"/>
  <c r="M42" i="51"/>
  <c r="M31"/>
  <c r="M24"/>
  <c r="M6"/>
  <c r="M49" i="53"/>
  <c r="M42"/>
  <c r="M36"/>
  <c r="M9"/>
  <c r="N46" i="38"/>
  <c r="L38" i="116"/>
  <c r="L26"/>
  <c r="L49" i="24"/>
  <c r="L48"/>
  <c r="M48" s="1"/>
  <c r="N48" s="1"/>
  <c r="O48" s="1"/>
  <c r="P48" s="1"/>
  <c r="Q48" s="1"/>
  <c r="R48" s="1"/>
  <c r="L47"/>
  <c r="M47" s="1"/>
  <c r="L46"/>
  <c r="L45"/>
  <c r="M33"/>
  <c r="M6"/>
  <c r="L44" i="165"/>
  <c r="L41"/>
  <c r="L35"/>
  <c r="K34"/>
  <c r="D34"/>
  <c r="K32"/>
  <c r="L31"/>
  <c r="K28"/>
  <c r="J27"/>
  <c r="I27"/>
  <c r="H27"/>
  <c r="G27"/>
  <c r="F27"/>
  <c r="E27"/>
  <c r="D27"/>
  <c r="C27"/>
  <c r="L24"/>
  <c r="J22"/>
  <c r="I22"/>
  <c r="H22"/>
  <c r="G22"/>
  <c r="F22"/>
  <c r="E22"/>
  <c r="D22"/>
  <c r="C22"/>
  <c r="K21"/>
  <c r="K22" s="1"/>
  <c r="J19"/>
  <c r="I19"/>
  <c r="H19"/>
  <c r="E19"/>
  <c r="D19"/>
  <c r="C19"/>
  <c r="F18"/>
  <c r="F19" s="1"/>
  <c r="G16"/>
  <c r="G19" s="1"/>
  <c r="K18"/>
  <c r="L6"/>
  <c r="L10" s="1"/>
  <c r="H5"/>
  <c r="J4"/>
  <c r="H4"/>
  <c r="L26" i="181" l="1"/>
  <c r="Q31" i="51"/>
  <c r="Q28" i="171"/>
  <c r="P56"/>
  <c r="E34" i="214"/>
  <c r="S15" i="38"/>
  <c r="N20" i="174"/>
  <c r="O12"/>
  <c r="N27"/>
  <c r="O23"/>
  <c r="K46"/>
  <c r="L54" i="181"/>
  <c r="J42" i="91"/>
  <c r="N4" i="181" s="1"/>
  <c r="L19"/>
  <c r="M51"/>
  <c r="N51"/>
  <c r="O45" i="165"/>
  <c r="N30" i="181" s="1"/>
  <c r="Q16" i="114"/>
  <c r="P19"/>
  <c r="P35" s="1"/>
  <c r="N21" i="181" s="1"/>
  <c r="O48"/>
  <c r="Q47" i="38"/>
  <c r="M10" i="24"/>
  <c r="N47"/>
  <c r="O47" s="1"/>
  <c r="M49"/>
  <c r="M37"/>
  <c r="M11" i="53"/>
  <c r="M50" s="1"/>
  <c r="M8" i="51"/>
  <c r="M43" s="1"/>
  <c r="M50" i="175"/>
  <c r="M19" i="181" s="1"/>
  <c r="N47" i="38"/>
  <c r="L9" i="181"/>
  <c r="L50"/>
  <c r="L52"/>
  <c r="L55"/>
  <c r="L47"/>
  <c r="K35" i="165"/>
  <c r="L45"/>
  <c r="D40" i="163"/>
  <c r="H38"/>
  <c r="G38"/>
  <c r="F38"/>
  <c r="E38"/>
  <c r="D38"/>
  <c r="I37"/>
  <c r="I34"/>
  <c r="I25"/>
  <c r="H22"/>
  <c r="G22"/>
  <c r="F22"/>
  <c r="E22"/>
  <c r="D22"/>
  <c r="I17"/>
  <c r="H9"/>
  <c r="G9"/>
  <c r="F9"/>
  <c r="E9"/>
  <c r="D9"/>
  <c r="G7"/>
  <c r="F7"/>
  <c r="E7"/>
  <c r="D7"/>
  <c r="I6"/>
  <c r="H6"/>
  <c r="I4"/>
  <c r="H4"/>
  <c r="L44" i="162"/>
  <c r="L49" s="1"/>
  <c r="L40"/>
  <c r="L11"/>
  <c r="L36" i="28"/>
  <c r="L46"/>
  <c r="L40"/>
  <c r="L26"/>
  <c r="H34" i="92"/>
  <c r="L44" i="35"/>
  <c r="L38" i="40"/>
  <c r="L33"/>
  <c r="L25"/>
  <c r="L8"/>
  <c r="J64" i="44"/>
  <c r="J33"/>
  <c r="L38" i="23"/>
  <c r="L31"/>
  <c r="L26"/>
  <c r="L19"/>
  <c r="L8"/>
  <c r="K38"/>
  <c r="D34"/>
  <c r="H32"/>
  <c r="G32"/>
  <c r="F32"/>
  <c r="E32"/>
  <c r="D32"/>
  <c r="K31"/>
  <c r="I31"/>
  <c r="I27"/>
  <c r="K26"/>
  <c r="I20"/>
  <c r="K19"/>
  <c r="J19"/>
  <c r="H18"/>
  <c r="G18"/>
  <c r="F18"/>
  <c r="E18"/>
  <c r="D18"/>
  <c r="I13"/>
  <c r="K8"/>
  <c r="J8"/>
  <c r="H8"/>
  <c r="G8"/>
  <c r="F8"/>
  <c r="E8"/>
  <c r="D8"/>
  <c r="G7"/>
  <c r="F7"/>
  <c r="E7"/>
  <c r="D7"/>
  <c r="I6"/>
  <c r="H6"/>
  <c r="I4"/>
  <c r="H4"/>
  <c r="M29" i="38"/>
  <c r="M36"/>
  <c r="M46"/>
  <c r="M41"/>
  <c r="M5"/>
  <c r="L35" i="41"/>
  <c r="L39" s="1"/>
  <c r="L44"/>
  <c r="L42"/>
  <c r="L31"/>
  <c r="L30"/>
  <c r="L29"/>
  <c r="L21"/>
  <c r="L20"/>
  <c r="L19"/>
  <c r="L17"/>
  <c r="L15"/>
  <c r="L14"/>
  <c r="L11"/>
  <c r="L6"/>
  <c r="L4"/>
  <c r="K13" i="17"/>
  <c r="J9" i="44"/>
  <c r="J38"/>
  <c r="G23" i="91"/>
  <c r="G10"/>
  <c r="M24" i="114"/>
  <c r="M19"/>
  <c r="M10"/>
  <c r="H9" i="92"/>
  <c r="L46" i="31"/>
  <c r="L39"/>
  <c r="L34"/>
  <c r="L24"/>
  <c r="L6"/>
  <c r="L33" i="116"/>
  <c r="L11"/>
  <c r="H33"/>
  <c r="H26"/>
  <c r="H11"/>
  <c r="F13"/>
  <c r="F29" s="1"/>
  <c r="G13"/>
  <c r="G5"/>
  <c r="E13"/>
  <c r="D13"/>
  <c r="C13"/>
  <c r="K46" i="28"/>
  <c r="K40"/>
  <c r="K26"/>
  <c r="K11"/>
  <c r="L4"/>
  <c r="L11" s="1"/>
  <c r="J15"/>
  <c r="I9"/>
  <c r="I10"/>
  <c r="I11"/>
  <c r="H15"/>
  <c r="G15"/>
  <c r="F15"/>
  <c r="E15"/>
  <c r="D15"/>
  <c r="C15"/>
  <c r="G6"/>
  <c r="I4"/>
  <c r="H4"/>
  <c r="L44" i="25"/>
  <c r="L37"/>
  <c r="L33"/>
  <c r="L6"/>
  <c r="L13" s="1"/>
  <c r="K31"/>
  <c r="K27"/>
  <c r="K25"/>
  <c r="K4"/>
  <c r="K6"/>
  <c r="F15"/>
  <c r="F8"/>
  <c r="J15"/>
  <c r="J4"/>
  <c r="J6"/>
  <c r="I15"/>
  <c r="I4"/>
  <c r="I8" s="1"/>
  <c r="H15"/>
  <c r="H6"/>
  <c r="H8" s="1"/>
  <c r="G15"/>
  <c r="G4"/>
  <c r="G8" s="1"/>
  <c r="E15"/>
  <c r="E8"/>
  <c r="D22"/>
  <c r="D15"/>
  <c r="D8"/>
  <c r="C15"/>
  <c r="C8"/>
  <c r="L42" i="24"/>
  <c r="L33"/>
  <c r="L37" s="1"/>
  <c r="L31"/>
  <c r="L6"/>
  <c r="L10" s="1"/>
  <c r="K33"/>
  <c r="K21"/>
  <c r="K6"/>
  <c r="K8" s="1"/>
  <c r="F32"/>
  <c r="E32"/>
  <c r="J22"/>
  <c r="I22"/>
  <c r="H22"/>
  <c r="G22"/>
  <c r="F22"/>
  <c r="E22"/>
  <c r="D22"/>
  <c r="C22"/>
  <c r="J13"/>
  <c r="I13"/>
  <c r="H13"/>
  <c r="G13"/>
  <c r="F13"/>
  <c r="E13"/>
  <c r="D13"/>
  <c r="C13"/>
  <c r="J4"/>
  <c r="J6"/>
  <c r="I7"/>
  <c r="H7"/>
  <c r="G7"/>
  <c r="F7"/>
  <c r="E7"/>
  <c r="D7"/>
  <c r="C7"/>
  <c r="K35" i="41"/>
  <c r="K31"/>
  <c r="K22"/>
  <c r="K16"/>
  <c r="K3"/>
  <c r="K5"/>
  <c r="J28"/>
  <c r="J29" s="1"/>
  <c r="I28"/>
  <c r="I29" s="1"/>
  <c r="H28"/>
  <c r="H29" s="1"/>
  <c r="G28"/>
  <c r="G29" s="1"/>
  <c r="F28"/>
  <c r="F29" s="1"/>
  <c r="E28"/>
  <c r="E29" s="1"/>
  <c r="D28"/>
  <c r="D29" s="1"/>
  <c r="C28"/>
  <c r="C29" s="1"/>
  <c r="J6"/>
  <c r="J4"/>
  <c r="H4"/>
  <c r="L32" i="35"/>
  <c r="L37"/>
  <c r="L26"/>
  <c r="L6"/>
  <c r="L49" i="53"/>
  <c r="L42"/>
  <c r="L36"/>
  <c r="L9"/>
  <c r="L11" s="1"/>
  <c r="L40" i="100"/>
  <c r="L48"/>
  <c r="L35"/>
  <c r="L25"/>
  <c r="L11"/>
  <c r="J11"/>
  <c r="J25"/>
  <c r="J35"/>
  <c r="J40"/>
  <c r="J48"/>
  <c r="I39"/>
  <c r="I20"/>
  <c r="H39"/>
  <c r="H20"/>
  <c r="G39"/>
  <c r="G20"/>
  <c r="F39"/>
  <c r="F20"/>
  <c r="E39"/>
  <c r="E20"/>
  <c r="D39"/>
  <c r="D20"/>
  <c r="C39"/>
  <c r="C20"/>
  <c r="I27"/>
  <c r="H27"/>
  <c r="G27"/>
  <c r="F27"/>
  <c r="E27"/>
  <c r="D27"/>
  <c r="C27"/>
  <c r="D11"/>
  <c r="D10"/>
  <c r="I4"/>
  <c r="I6"/>
  <c r="H4"/>
  <c r="H6"/>
  <c r="G6"/>
  <c r="F6"/>
  <c r="L41" i="21"/>
  <c r="L51"/>
  <c r="L36"/>
  <c r="L28"/>
  <c r="L11"/>
  <c r="K11"/>
  <c r="K28"/>
  <c r="K36"/>
  <c r="K41"/>
  <c r="K51"/>
  <c r="J20"/>
  <c r="J40"/>
  <c r="I40"/>
  <c r="I20"/>
  <c r="H40"/>
  <c r="H20"/>
  <c r="G40"/>
  <c r="G20"/>
  <c r="F40"/>
  <c r="F20"/>
  <c r="E40"/>
  <c r="E20"/>
  <c r="D40"/>
  <c r="D20"/>
  <c r="C40"/>
  <c r="C20"/>
  <c r="J30"/>
  <c r="I30"/>
  <c r="H30"/>
  <c r="G30"/>
  <c r="F30"/>
  <c r="E30"/>
  <c r="D30"/>
  <c r="C30"/>
  <c r="D11"/>
  <c r="D10"/>
  <c r="I4"/>
  <c r="I6"/>
  <c r="H4"/>
  <c r="H6"/>
  <c r="G6"/>
  <c r="F6"/>
  <c r="J6"/>
  <c r="J4"/>
  <c r="K13" i="19"/>
  <c r="K34"/>
  <c r="K39"/>
  <c r="J38"/>
  <c r="J39" s="1"/>
  <c r="I38"/>
  <c r="I39" s="1"/>
  <c r="H38"/>
  <c r="H39" s="1"/>
  <c r="G38"/>
  <c r="F38"/>
  <c r="F39" s="1"/>
  <c r="E38"/>
  <c r="D38"/>
  <c r="C38"/>
  <c r="J28"/>
  <c r="I28"/>
  <c r="H28"/>
  <c r="G28"/>
  <c r="F28"/>
  <c r="E28"/>
  <c r="D28"/>
  <c r="C28"/>
  <c r="D13"/>
  <c r="D12"/>
  <c r="I4"/>
  <c r="I7"/>
  <c r="H4"/>
  <c r="H7"/>
  <c r="G7"/>
  <c r="F7"/>
  <c r="J7"/>
  <c r="J4"/>
  <c r="K41" i="18"/>
  <c r="K47"/>
  <c r="K36"/>
  <c r="K28"/>
  <c r="K11"/>
  <c r="J20"/>
  <c r="J40"/>
  <c r="I40"/>
  <c r="I20"/>
  <c r="H40"/>
  <c r="H20"/>
  <c r="G40"/>
  <c r="G20"/>
  <c r="F40"/>
  <c r="F20"/>
  <c r="E40"/>
  <c r="E20"/>
  <c r="D40"/>
  <c r="D20"/>
  <c r="C40"/>
  <c r="C20"/>
  <c r="J30"/>
  <c r="I30"/>
  <c r="H30"/>
  <c r="G30"/>
  <c r="F30"/>
  <c r="E30"/>
  <c r="D30"/>
  <c r="C30"/>
  <c r="D11"/>
  <c r="I4"/>
  <c r="I6"/>
  <c r="H4"/>
  <c r="H6"/>
  <c r="G6"/>
  <c r="F6"/>
  <c r="J6"/>
  <c r="J4"/>
  <c r="K40" i="16"/>
  <c r="K48"/>
  <c r="K35"/>
  <c r="K27"/>
  <c r="K10"/>
  <c r="J19"/>
  <c r="J39"/>
  <c r="I39"/>
  <c r="I19"/>
  <c r="H39"/>
  <c r="H19"/>
  <c r="G39"/>
  <c r="G19"/>
  <c r="F39"/>
  <c r="F19"/>
  <c r="E39"/>
  <c r="E19"/>
  <c r="D39"/>
  <c r="D19"/>
  <c r="C39"/>
  <c r="C19"/>
  <c r="J29"/>
  <c r="I29"/>
  <c r="H29"/>
  <c r="G29"/>
  <c r="F29"/>
  <c r="E29"/>
  <c r="D29"/>
  <c r="C29"/>
  <c r="D10"/>
  <c r="I4"/>
  <c r="I6"/>
  <c r="H4"/>
  <c r="H6"/>
  <c r="G6"/>
  <c r="F6"/>
  <c r="J6"/>
  <c r="J4"/>
  <c r="K43" i="17"/>
  <c r="K50"/>
  <c r="K38"/>
  <c r="K31"/>
  <c r="H4"/>
  <c r="I4"/>
  <c r="J4"/>
  <c r="F6"/>
  <c r="G6"/>
  <c r="H6"/>
  <c r="I6"/>
  <c r="J6"/>
  <c r="C8"/>
  <c r="D8"/>
  <c r="E8"/>
  <c r="F8"/>
  <c r="G8"/>
  <c r="D12"/>
  <c r="D13"/>
  <c r="C22"/>
  <c r="D22"/>
  <c r="E22"/>
  <c r="F22"/>
  <c r="G22"/>
  <c r="H22"/>
  <c r="I22"/>
  <c r="J22"/>
  <c r="C33"/>
  <c r="D33"/>
  <c r="E33"/>
  <c r="F33"/>
  <c r="G33"/>
  <c r="H33"/>
  <c r="I33"/>
  <c r="J33"/>
  <c r="C42"/>
  <c r="D42"/>
  <c r="E42"/>
  <c r="F42"/>
  <c r="G42"/>
  <c r="H42"/>
  <c r="I42"/>
  <c r="J42"/>
  <c r="C43"/>
  <c r="D43"/>
  <c r="E43"/>
  <c r="F43"/>
  <c r="G43"/>
  <c r="H43"/>
  <c r="I43"/>
  <c r="J43"/>
  <c r="L42" i="83"/>
  <c r="L37"/>
  <c r="L30"/>
  <c r="L12"/>
  <c r="K30"/>
  <c r="K42"/>
  <c r="K37"/>
  <c r="K7"/>
  <c r="K12" s="1"/>
  <c r="J42"/>
  <c r="I42"/>
  <c r="H42"/>
  <c r="G42"/>
  <c r="K5" i="40"/>
  <c r="K3"/>
  <c r="M8" i="63"/>
  <c r="K34" i="35"/>
  <c r="K10"/>
  <c r="K18" s="1"/>
  <c r="K4"/>
  <c r="L38" i="38"/>
  <c r="L32"/>
  <c r="L17"/>
  <c r="L4"/>
  <c r="L6"/>
  <c r="K29" i="53"/>
  <c r="K19"/>
  <c r="M5" i="75"/>
  <c r="M7" s="1"/>
  <c r="L6" i="51"/>
  <c r="K30" i="31"/>
  <c r="K24"/>
  <c r="K18"/>
  <c r="G16" i="92"/>
  <c r="G24"/>
  <c r="G19"/>
  <c r="G7"/>
  <c r="G8" s="1"/>
  <c r="J46" i="83"/>
  <c r="I46"/>
  <c r="H46"/>
  <c r="G46"/>
  <c r="F46"/>
  <c r="E46"/>
  <c r="D46"/>
  <c r="C46"/>
  <c r="J37"/>
  <c r="J30"/>
  <c r="J12"/>
  <c r="L19" i="114"/>
  <c r="L16"/>
  <c r="L4"/>
  <c r="L6"/>
  <c r="L42" i="63"/>
  <c r="L32"/>
  <c r="L26"/>
  <c r="L8"/>
  <c r="M14"/>
  <c r="M17"/>
  <c r="M19"/>
  <c r="M20"/>
  <c r="M42"/>
  <c r="M29"/>
  <c r="M31"/>
  <c r="L24" i="51"/>
  <c r="K24"/>
  <c r="L31"/>
  <c r="K31"/>
  <c r="L42"/>
  <c r="K42"/>
  <c r="L4"/>
  <c r="K8"/>
  <c r="M17" i="75"/>
  <c r="M34"/>
  <c r="L7"/>
  <c r="L34"/>
  <c r="M23"/>
  <c r="L23"/>
  <c r="L17"/>
  <c r="K16" i="40"/>
  <c r="K35"/>
  <c r="K30"/>
  <c r="J4"/>
  <c r="J6"/>
  <c r="J4" i="35"/>
  <c r="J13"/>
  <c r="J26"/>
  <c r="J34"/>
  <c r="J13" i="114"/>
  <c r="J10"/>
  <c r="J7"/>
  <c r="I13"/>
  <c r="I10"/>
  <c r="I7"/>
  <c r="H13"/>
  <c r="H10"/>
  <c r="H4"/>
  <c r="H7" s="1"/>
  <c r="G13"/>
  <c r="G10"/>
  <c r="G7"/>
  <c r="F13"/>
  <c r="F10"/>
  <c r="F7"/>
  <c r="E13"/>
  <c r="E10"/>
  <c r="E7"/>
  <c r="D10"/>
  <c r="D7"/>
  <c r="C13"/>
  <c r="C10"/>
  <c r="C7"/>
  <c r="I37" i="83"/>
  <c r="I30"/>
  <c r="I12"/>
  <c r="H37"/>
  <c r="H30"/>
  <c r="H12"/>
  <c r="G37"/>
  <c r="G30"/>
  <c r="G7"/>
  <c r="G12" s="1"/>
  <c r="F25" i="91"/>
  <c r="K29" i="75"/>
  <c r="K20"/>
  <c r="K14"/>
  <c r="K8"/>
  <c r="F13" i="92"/>
  <c r="J27" i="40"/>
  <c r="J28" s="1"/>
  <c r="J38" i="181" s="1"/>
  <c r="J22" i="53"/>
  <c r="K13" i="63"/>
  <c r="K6"/>
  <c r="J29" i="75"/>
  <c r="J20"/>
  <c r="J14"/>
  <c r="J8"/>
  <c r="E13" i="92"/>
  <c r="I26" i="35"/>
  <c r="I34"/>
  <c r="I13"/>
  <c r="I27" i="40"/>
  <c r="I28" s="1"/>
  <c r="I38" i="181" s="1"/>
  <c r="I22" i="53"/>
  <c r="J13" i="63"/>
  <c r="D25" i="91"/>
  <c r="I29" i="75"/>
  <c r="I20"/>
  <c r="I14"/>
  <c r="I8"/>
  <c r="D13" i="92"/>
  <c r="D5"/>
  <c r="H26" i="35"/>
  <c r="H34"/>
  <c r="H13"/>
  <c r="H4"/>
  <c r="H27" i="40"/>
  <c r="H28" s="1"/>
  <c r="H4"/>
  <c r="H22" i="53"/>
  <c r="I13" i="63"/>
  <c r="E21"/>
  <c r="F21" s="1"/>
  <c r="E37"/>
  <c r="F37" s="1"/>
  <c r="H37" s="1"/>
  <c r="E14"/>
  <c r="F14" s="1"/>
  <c r="H14" s="1"/>
  <c r="E13"/>
  <c r="F22" i="53"/>
  <c r="E22"/>
  <c r="F27" i="40"/>
  <c r="F28" s="1"/>
  <c r="F38" i="181" s="1"/>
  <c r="E27" i="40"/>
  <c r="E28" s="1"/>
  <c r="E38" i="181" s="1"/>
  <c r="D27" i="40"/>
  <c r="D28" s="1"/>
  <c r="D38" i="181" s="1"/>
  <c r="F26" i="35"/>
  <c r="F34"/>
  <c r="F13"/>
  <c r="E26"/>
  <c r="E34"/>
  <c r="E13"/>
  <c r="D34"/>
  <c r="D26"/>
  <c r="D13"/>
  <c r="K4" i="38"/>
  <c r="J12" i="31"/>
  <c r="K25" i="38"/>
  <c r="K19"/>
  <c r="K13"/>
  <c r="K6"/>
  <c r="J15" i="53"/>
  <c r="J38" i="51"/>
  <c r="J18"/>
  <c r="J9"/>
  <c r="I15" i="53"/>
  <c r="I26" i="31"/>
  <c r="I8"/>
  <c r="I12" s="1"/>
  <c r="J4" i="38"/>
  <c r="J25"/>
  <c r="J19"/>
  <c r="J13"/>
  <c r="I38" i="51"/>
  <c r="I18"/>
  <c r="I9"/>
  <c r="E4" i="91"/>
  <c r="E25"/>
  <c r="E26" s="1"/>
  <c r="H12" i="31"/>
  <c r="H4"/>
  <c r="I4" i="38"/>
  <c r="I25"/>
  <c r="I19"/>
  <c r="I13"/>
  <c r="H15" i="53"/>
  <c r="H38" i="51"/>
  <c r="H25"/>
  <c r="H18"/>
  <c r="H9"/>
  <c r="D18" i="1"/>
  <c r="D21" s="1"/>
  <c r="G3" i="181" s="1"/>
  <c r="C4" i="1"/>
  <c r="C21"/>
  <c r="F3" i="181" s="1"/>
  <c r="F42" i="51"/>
  <c r="F38"/>
  <c r="F18"/>
  <c r="F9"/>
  <c r="E38"/>
  <c r="E18"/>
  <c r="E9"/>
  <c r="D38"/>
  <c r="D25"/>
  <c r="D18"/>
  <c r="D9"/>
  <c r="F15" i="53"/>
  <c r="E15"/>
  <c r="D22"/>
  <c r="D15"/>
  <c r="F12" i="31"/>
  <c r="E12"/>
  <c r="D12"/>
  <c r="C12"/>
  <c r="G12"/>
  <c r="F34"/>
  <c r="D23" i="1"/>
  <c r="N27"/>
  <c r="N32"/>
  <c r="N52"/>
  <c r="N54"/>
  <c r="C13" i="35"/>
  <c r="G13"/>
  <c r="G4"/>
  <c r="C26"/>
  <c r="G26"/>
  <c r="C34"/>
  <c r="G34"/>
  <c r="F38"/>
  <c r="C27" i="40"/>
  <c r="C28" s="1"/>
  <c r="G27"/>
  <c r="G28" s="1"/>
  <c r="F7" i="83"/>
  <c r="C51"/>
  <c r="D51"/>
  <c r="E51"/>
  <c r="F51"/>
  <c r="F54" s="1"/>
  <c r="G4" i="53"/>
  <c r="C15"/>
  <c r="G15"/>
  <c r="C22"/>
  <c r="G22"/>
  <c r="F42"/>
  <c r="F45"/>
  <c r="C9" i="51"/>
  <c r="G9"/>
  <c r="C18"/>
  <c r="G18"/>
  <c r="C25"/>
  <c r="E25"/>
  <c r="G25"/>
  <c r="C38"/>
  <c r="G38"/>
  <c r="F47"/>
  <c r="H5" i="63"/>
  <c r="H6"/>
  <c r="G7"/>
  <c r="H7" s="1"/>
  <c r="H8"/>
  <c r="H9"/>
  <c r="H11"/>
  <c r="C13"/>
  <c r="G13"/>
  <c r="H16"/>
  <c r="H17"/>
  <c r="H18"/>
  <c r="H19"/>
  <c r="H20"/>
  <c r="H26"/>
  <c r="H27"/>
  <c r="H28"/>
  <c r="H29"/>
  <c r="H30"/>
  <c r="H31"/>
  <c r="H32"/>
  <c r="H38"/>
  <c r="H42"/>
  <c r="F46"/>
  <c r="F41" i="23"/>
  <c r="H4" i="75"/>
  <c r="H8" s="1"/>
  <c r="C8"/>
  <c r="D8"/>
  <c r="E8"/>
  <c r="F8"/>
  <c r="G8"/>
  <c r="C14"/>
  <c r="D14"/>
  <c r="E14"/>
  <c r="F14"/>
  <c r="G14"/>
  <c r="H14"/>
  <c r="C20"/>
  <c r="E20"/>
  <c r="F20"/>
  <c r="G20"/>
  <c r="H20"/>
  <c r="C29"/>
  <c r="D29"/>
  <c r="E29"/>
  <c r="F29"/>
  <c r="G29"/>
  <c r="H29"/>
  <c r="E35" i="63" l="1"/>
  <c r="E36" s="1"/>
  <c r="N46" i="174"/>
  <c r="F49" i="214"/>
  <c r="F61" s="1"/>
  <c r="C8" i="197" s="1"/>
  <c r="O20" i="174"/>
  <c r="E49" i="214"/>
  <c r="L49" s="1"/>
  <c r="L34"/>
  <c r="L8" i="41"/>
  <c r="Q19" i="114"/>
  <c r="Q35" s="1"/>
  <c r="R16"/>
  <c r="O27" i="174"/>
  <c r="S29" i="38"/>
  <c r="Q56" i="171"/>
  <c r="P48" i="181"/>
  <c r="Q48" s="1"/>
  <c r="L46" i="41"/>
  <c r="H7" i="23"/>
  <c r="H38" i="181"/>
  <c r="C41" i="18"/>
  <c r="E41"/>
  <c r="G41"/>
  <c r="K53" i="19"/>
  <c r="L26" i="41"/>
  <c r="L33"/>
  <c r="O36" i="181"/>
  <c r="J53"/>
  <c r="P47" i="24"/>
  <c r="Q47" s="1"/>
  <c r="O49"/>
  <c r="O53" s="1"/>
  <c r="N16" i="181" s="1"/>
  <c r="N49" i="24"/>
  <c r="K36" i="53"/>
  <c r="K36" i="41"/>
  <c r="J8" i="25"/>
  <c r="J30" s="1"/>
  <c r="J17" i="181" s="1"/>
  <c r="M53" i="24"/>
  <c r="L29" i="181"/>
  <c r="L24"/>
  <c r="H43" i="116"/>
  <c r="L20" i="181"/>
  <c r="L18"/>
  <c r="L12"/>
  <c r="K52" i="21"/>
  <c r="C41"/>
  <c r="G41"/>
  <c r="I41"/>
  <c r="J41"/>
  <c r="H8" i="17"/>
  <c r="L27" i="181"/>
  <c r="L6"/>
  <c r="J35"/>
  <c r="L25"/>
  <c r="L38"/>
  <c r="L8"/>
  <c r="L10"/>
  <c r="L4"/>
  <c r="L21"/>
  <c r="L44"/>
  <c r="L35"/>
  <c r="L30"/>
  <c r="L32"/>
  <c r="L36"/>
  <c r="L49"/>
  <c r="L57"/>
  <c r="L7"/>
  <c r="L5"/>
  <c r="L51"/>
  <c r="F41" i="18"/>
  <c r="D26" i="91"/>
  <c r="H4" i="181" s="1"/>
  <c r="M35" i="75"/>
  <c r="L39" i="38"/>
  <c r="K51" i="83"/>
  <c r="I8" i="17"/>
  <c r="F40" i="16"/>
  <c r="H40"/>
  <c r="I40"/>
  <c r="J40"/>
  <c r="I41" i="18"/>
  <c r="J41"/>
  <c r="F40" i="100"/>
  <c r="H40"/>
  <c r="I40"/>
  <c r="J52"/>
  <c r="L8" i="35"/>
  <c r="L45" s="1"/>
  <c r="K39" i="23"/>
  <c r="L43" i="116"/>
  <c r="N14" i="63"/>
  <c r="O14" s="1"/>
  <c r="M26"/>
  <c r="F35" i="181"/>
  <c r="L52" i="100"/>
  <c r="M35" i="114"/>
  <c r="D40" i="16"/>
  <c r="E40"/>
  <c r="F13" i="63"/>
  <c r="F35" s="1"/>
  <c r="N29"/>
  <c r="O29" s="1"/>
  <c r="N20"/>
  <c r="N17"/>
  <c r="P17" s="1"/>
  <c r="Q17" s="1"/>
  <c r="Q26" s="1"/>
  <c r="Q43" s="1"/>
  <c r="H13"/>
  <c r="H53" i="181"/>
  <c r="H35"/>
  <c r="I35"/>
  <c r="D35"/>
  <c r="M9" i="38"/>
  <c r="M47" s="1"/>
  <c r="L51" i="83"/>
  <c r="D41" i="18"/>
  <c r="H41"/>
  <c r="K48"/>
  <c r="K54" i="17"/>
  <c r="L8" i="51"/>
  <c r="L43" s="1"/>
  <c r="I51" i="83"/>
  <c r="I5" i="181" s="1"/>
  <c r="G51" i="83"/>
  <c r="G5" i="181" s="1"/>
  <c r="H51" i="83"/>
  <c r="H5" i="181" s="1"/>
  <c r="J51" i="83"/>
  <c r="J5" i="181" s="1"/>
  <c r="J65" i="44"/>
  <c r="L9" i="114"/>
  <c r="L20" s="1"/>
  <c r="D39" i="19"/>
  <c r="E39"/>
  <c r="C39"/>
  <c r="G39"/>
  <c r="H21" i="63"/>
  <c r="I53" i="181"/>
  <c r="M32" i="63"/>
  <c r="L43"/>
  <c r="D40" i="100"/>
  <c r="E40"/>
  <c r="C40"/>
  <c r="G40"/>
  <c r="L50" i="53"/>
  <c r="L47" i="31"/>
  <c r="L39" i="23"/>
  <c r="L35" i="75"/>
  <c r="L46" i="40"/>
  <c r="L41" i="162"/>
  <c r="L57" s="1"/>
  <c r="M40"/>
  <c r="K33" i="31"/>
  <c r="C29" i="116"/>
  <c r="D29"/>
  <c r="E29"/>
  <c r="G29"/>
  <c r="F30" i="25"/>
  <c r="F17" i="181" s="1"/>
  <c r="K10" i="25"/>
  <c r="K32" s="1"/>
  <c r="D30"/>
  <c r="D17" i="181" s="1"/>
  <c r="E30" i="25"/>
  <c r="E17" i="181" s="1"/>
  <c r="G30" i="25"/>
  <c r="I30"/>
  <c r="I17" i="181" s="1"/>
  <c r="C30" i="25"/>
  <c r="H30"/>
  <c r="H17" i="181" s="1"/>
  <c r="L48" i="25"/>
  <c r="J7" i="24"/>
  <c r="L53"/>
  <c r="E41" i="21"/>
  <c r="F41"/>
  <c r="K49" i="16"/>
  <c r="C40"/>
  <c r="G40"/>
  <c r="H7" i="163"/>
  <c r="I38"/>
  <c r="L50" i="28"/>
  <c r="I15"/>
  <c r="D41" i="21"/>
  <c r="H41"/>
  <c r="L52"/>
  <c r="K43" i="51"/>
  <c r="H42" i="92"/>
  <c r="G25"/>
  <c r="E35" i="181"/>
  <c r="I32" i="23"/>
  <c r="F26" i="91"/>
  <c r="J4" i="181" s="1"/>
  <c r="F30" i="116"/>
  <c r="F31" s="1"/>
  <c r="F36" i="63" l="1"/>
  <c r="H35"/>
  <c r="E51" i="214"/>
  <c r="L51" s="1"/>
  <c r="R47" i="24"/>
  <c r="R17" i="63"/>
  <c r="S47" i="38"/>
  <c r="P36" i="181"/>
  <c r="Q36" s="1"/>
  <c r="O46" i="174"/>
  <c r="P51" i="181"/>
  <c r="E21" i="214"/>
  <c r="S16" i="114"/>
  <c r="P26" i="63"/>
  <c r="P43" s="1"/>
  <c r="L53" i="41"/>
  <c r="E53" i="181"/>
  <c r="F31" i="25"/>
  <c r="F32" s="1"/>
  <c r="O4" i="181"/>
  <c r="Q4" s="1"/>
  <c r="P49" i="24"/>
  <c r="P53" s="1"/>
  <c r="O51" i="181"/>
  <c r="O32" i="63"/>
  <c r="O26"/>
  <c r="O30" i="181"/>
  <c r="Q30" s="1"/>
  <c r="N53" i="24"/>
  <c r="M16" i="181" s="1"/>
  <c r="N40" i="162"/>
  <c r="N41" s="1"/>
  <c r="M41"/>
  <c r="M57" s="1"/>
  <c r="L28" i="181" s="1"/>
  <c r="N32" i="63"/>
  <c r="N26"/>
  <c r="L17" i="181"/>
  <c r="L16"/>
  <c r="M43" i="63"/>
  <c r="H16" i="214" l="1"/>
  <c r="L16" s="1"/>
  <c r="H36" i="63"/>
  <c r="L21" i="214"/>
  <c r="S19" i="114"/>
  <c r="R49" i="24"/>
  <c r="R26" i="63"/>
  <c r="Q51" i="181"/>
  <c r="O21"/>
  <c r="O43" i="63"/>
  <c r="N57" i="162"/>
  <c r="M28" i="181" s="1"/>
  <c r="N43" i="63"/>
  <c r="L53" i="181" s="1"/>
  <c r="H61" i="214" l="1"/>
  <c r="C10" i="197" s="1"/>
  <c r="R43" i="63"/>
  <c r="P53" i="181"/>
  <c r="R53" i="24"/>
  <c r="P16" i="181"/>
  <c r="S35" i="114"/>
  <c r="P21" i="181"/>
  <c r="Q21" s="1"/>
  <c r="M53"/>
  <c r="N53"/>
  <c r="O16"/>
  <c r="F53" l="1"/>
  <c r="Q16"/>
  <c r="O53"/>
  <c r="Q53" s="1"/>
  <c r="L31" l="1"/>
  <c r="L33" l="1"/>
  <c r="L66" s="1"/>
  <c r="O24" l="1"/>
  <c r="O66" l="1"/>
  <c r="Q24"/>
  <c r="Q47" i="31"/>
  <c r="N24" i="181" l="1"/>
  <c r="N66" s="1"/>
  <c r="M66"/>
  <c r="P41" i="178"/>
  <c r="P42" l="1"/>
  <c r="G39" i="214"/>
  <c r="P72" i="178"/>
  <c r="G61" i="214" l="1"/>
  <c r="C9" i="197" s="1"/>
  <c r="L39" i="214"/>
  <c r="P41" i="181"/>
  <c r="Q41" l="1"/>
  <c r="Q19" i="51"/>
  <c r="P26" i="181" l="1"/>
  <c r="E25" i="214"/>
  <c r="Q24" i="51"/>
  <c r="Q43" l="1"/>
  <c r="L25" i="214"/>
  <c r="L61" s="1"/>
  <c r="E61"/>
  <c r="C7" i="197" s="1"/>
  <c r="Q26" i="181"/>
  <c r="P66"/>
  <c r="Q66" s="1"/>
  <c r="C14" i="197" l="1"/>
  <c r="D7" l="1"/>
  <c r="D6"/>
  <c r="D10"/>
  <c r="D13"/>
  <c r="D11"/>
  <c r="D14"/>
  <c r="D12"/>
  <c r="D8"/>
  <c r="D9"/>
  <c r="K36" i="40" l="1"/>
  <c r="K21"/>
  <c r="K36" i="28"/>
  <c r="K50"/>
  <c r="K30" i="212"/>
  <c r="K46"/>
  <c r="N24" i="31"/>
  <c r="N47"/>
  <c r="M24" i="181"/>
</calcChain>
</file>

<file path=xl/comments1.xml><?xml version="1.0" encoding="utf-8"?>
<comments xmlns="http://schemas.openxmlformats.org/spreadsheetml/2006/main">
  <authors>
    <author>Budget Departmnet</author>
  </authors>
  <commentList>
    <comment ref="P8" author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  <comment ref="Q8" authorId="0">
      <text>
        <r>
          <rPr>
            <b/>
            <sz val="12"/>
            <color indexed="81"/>
            <rFont val="Tahoma"/>
            <family val="2"/>
          </rPr>
          <t>Budget Departmnet:</t>
        </r>
        <r>
          <rPr>
            <sz val="12"/>
            <color indexed="81"/>
            <rFont val="Tahoma"/>
            <family val="2"/>
          </rPr>
          <t xml:space="preserve">
Waa la hubin doonaa</t>
        </r>
      </text>
    </comment>
  </commentList>
</comments>
</file>

<file path=xl/sharedStrings.xml><?xml version="1.0" encoding="utf-8"?>
<sst xmlns="http://schemas.openxmlformats.org/spreadsheetml/2006/main" count="4306" uniqueCount="986">
  <si>
    <t xml:space="preserve">M/Xige </t>
  </si>
  <si>
    <t xml:space="preserve">Faahfaahin </t>
  </si>
  <si>
    <t>Miis 2001</t>
  </si>
  <si>
    <t xml:space="preserve">Faraqa </t>
  </si>
  <si>
    <t xml:space="preserve"> </t>
  </si>
  <si>
    <t xml:space="preserve">Sub Total </t>
  </si>
  <si>
    <t>M/Xige</t>
  </si>
  <si>
    <t>Faahfaahin</t>
  </si>
  <si>
    <t>Kharashka Shaqaalaha</t>
  </si>
  <si>
    <t>Mushaharka Shaqaalaha joogtada ah</t>
  </si>
  <si>
    <t>Mushaharka Shaqaalaha aan J/ahayn</t>
  </si>
  <si>
    <t>Gunnada Guri &amp; Xil</t>
  </si>
  <si>
    <t>Kharashka Hawsha Socota</t>
  </si>
  <si>
    <t>Kharashka Qalabka Hawsha</t>
  </si>
  <si>
    <t>Habeen Dhaxyada ( Travelling Allowance)</t>
  </si>
  <si>
    <t>Isticmaalka Boosaha &amp; Isgaadhsiinta</t>
  </si>
  <si>
    <t>Isticmaalka Nalka &amp; Biyaha</t>
  </si>
  <si>
    <t xml:space="preserve">Barnaamijyada Hawlaha Shaqada                               </t>
  </si>
  <si>
    <t>Grand Total</t>
  </si>
  <si>
    <t>Miis 200</t>
  </si>
  <si>
    <t xml:space="preserve">Madax </t>
  </si>
  <si>
    <t>Madax</t>
  </si>
  <si>
    <t xml:space="preserve">  </t>
  </si>
  <si>
    <t>Kh.Maamulka</t>
  </si>
  <si>
    <t>Miis 2002</t>
  </si>
  <si>
    <t>Rev 2001</t>
  </si>
  <si>
    <t>e</t>
  </si>
  <si>
    <t>Magaca Wasaaradda/ Hay'ada</t>
  </si>
  <si>
    <t>Miis 2003</t>
  </si>
  <si>
    <t>Faraqa</t>
  </si>
  <si>
    <t xml:space="preserve">Martiqaadyada &amp; Munaasibadaha </t>
  </si>
  <si>
    <t>Daryeelka Baabuurta &amp; Mishiinada iwm.</t>
  </si>
  <si>
    <t>Miis. 2003</t>
  </si>
  <si>
    <t>Miis 2005</t>
  </si>
  <si>
    <t>Faraq</t>
  </si>
  <si>
    <t>Miis.2005</t>
  </si>
  <si>
    <t>Miis .2005</t>
  </si>
  <si>
    <t xml:space="preserve">Isugeyn </t>
  </si>
  <si>
    <t>Ciidanka Qaranka.</t>
  </si>
  <si>
    <t>Faraqa.</t>
  </si>
  <si>
    <t>Miis 2006</t>
  </si>
  <si>
    <t>Miis. 2006</t>
  </si>
  <si>
    <t>Miis.2006</t>
  </si>
  <si>
    <t>Miis. 2005</t>
  </si>
  <si>
    <t>Madax.</t>
  </si>
  <si>
    <t>Faahfaahin.</t>
  </si>
  <si>
    <t>Ciidanka Ilaaladda Xeebaha.</t>
  </si>
  <si>
    <t>Daaweynta &amp; Caafimaadka.</t>
  </si>
  <si>
    <t>Guddiga Doorshooyinka Qaranka.</t>
  </si>
  <si>
    <t>Guddiga Qandaraaska Qaranka.</t>
  </si>
  <si>
    <t>Wasaaradda Maaliyadda.</t>
  </si>
  <si>
    <t>Hay'adda Miino-Saarka Qaranka.</t>
  </si>
  <si>
    <t>Hanti-dhawrka Guud Qaranka.</t>
  </si>
  <si>
    <t>Hay'adda Shaqaalaha Dawladda.</t>
  </si>
  <si>
    <t>W.Boostadda &amp; Isgaadhsiinta.</t>
  </si>
  <si>
    <t>Golaha Guurtida JSL.</t>
  </si>
  <si>
    <t>Golaha Wakiiladda JSL.</t>
  </si>
  <si>
    <t>Madax-weyne ku-.Xigeenka JSL.</t>
  </si>
  <si>
    <t>Qasriga Madaxtooyaddan JSL.</t>
  </si>
  <si>
    <t>Sub-Total:</t>
  </si>
  <si>
    <t>Kharashka Nabad-gelyadda.</t>
  </si>
  <si>
    <t>Grand Total:</t>
  </si>
  <si>
    <t>Total.</t>
  </si>
  <si>
    <t>Wasaaradda Beeraha.</t>
  </si>
  <si>
    <t>Miis.2007</t>
  </si>
  <si>
    <t>-</t>
  </si>
  <si>
    <t>Miis. 2007</t>
  </si>
  <si>
    <t>Miis. 2007.</t>
  </si>
  <si>
    <t>Gunno.</t>
  </si>
  <si>
    <t>Miis. 2008</t>
  </si>
  <si>
    <t>Daawadda.</t>
  </si>
  <si>
    <t>Miis. 2008.</t>
  </si>
  <si>
    <t>Miis.2007.</t>
  </si>
  <si>
    <t>Wasaaradda Arrimaha Gudaha.</t>
  </si>
  <si>
    <t>Gunnada Guri &amp; Xil (L/B/W)</t>
  </si>
  <si>
    <t>Miis. 2009</t>
  </si>
  <si>
    <t>Miis. 2009.</t>
  </si>
  <si>
    <t>Miis.2009.</t>
  </si>
  <si>
    <t>Miis.2009</t>
  </si>
  <si>
    <t>Miis. 2007( A )</t>
  </si>
  <si>
    <t xml:space="preserve">Miis. 2008. </t>
  </si>
  <si>
    <t>W.Arrimaha Dibada.</t>
  </si>
  <si>
    <t xml:space="preserve">Noolka Safarada Gudaha. </t>
  </si>
  <si>
    <t>Noolka Safaradda Dibadda.</t>
  </si>
  <si>
    <t>Tababarka &amp; Imtixaanadda.</t>
  </si>
  <si>
    <t>Iibsiga Alaabta Xafiisyadda (Stationery).</t>
  </si>
  <si>
    <t>Iibsiga Wargeysyadda &amp; Bugaagta.</t>
  </si>
  <si>
    <t>Dhismayaasha Cusub.</t>
  </si>
  <si>
    <t>Daryeelka &amp; Dib-udhiska Dhismayaasha.</t>
  </si>
  <si>
    <t>Kh. Iibsiga Adeega Qalabka Hawsha.</t>
  </si>
  <si>
    <t>Dharka &amp; Dirayska.</t>
  </si>
  <si>
    <t>Batroolka, Naafatadda &amp; Saliidaha.</t>
  </si>
  <si>
    <t>Daabacaadda Documentiga Lacagta.</t>
  </si>
  <si>
    <t>Ijaarka Gaadiika, Xaf. &amp; Guryaha.</t>
  </si>
  <si>
    <t>Kharashyadda yar yar ee Xafiisyadda</t>
  </si>
  <si>
    <t>Kharashka Joogtaynta Maamulka.</t>
  </si>
  <si>
    <t>Miis. 2010</t>
  </si>
  <si>
    <t>Laanta Socdaalka.</t>
  </si>
  <si>
    <t>Gunno Ciideed.</t>
  </si>
  <si>
    <t>Khidmadda Baanka.</t>
  </si>
  <si>
    <t>Kharashka Gaarka ah.</t>
  </si>
  <si>
    <t>Kh. Bilicda Xafiisyadda &amp; Guryaha.</t>
  </si>
  <si>
    <t>Kharashka Qalabka Raaga ee Hawsha.</t>
  </si>
  <si>
    <t>Hantidda Raagta.</t>
  </si>
  <si>
    <t>Qalabka Xafiisyadda &amp; Guryaha.</t>
  </si>
  <si>
    <t>Gaadiidka &amp; Mishiinadda.</t>
  </si>
  <si>
    <t>Qalabka Nalka &amp; Biyaha.</t>
  </si>
  <si>
    <t>Qalabaka Boosaha &amp; Isgaadhsiinta.</t>
  </si>
  <si>
    <t>Daryeelka Qal. Gaadiidka, Mish. Iwm.</t>
  </si>
  <si>
    <t>Daryeelka Xaf. Guryaha &amp; Bakhaaradda.</t>
  </si>
  <si>
    <t>Miis. 2010.</t>
  </si>
  <si>
    <t>Daryeelka Qal. Xafiisyadda &amp; Guryaha.</t>
  </si>
  <si>
    <t>Miis.2010.</t>
  </si>
  <si>
    <t>Isticmaalka Nalka &amp; Biyaha.</t>
  </si>
  <si>
    <t>Kharashyadda yar yar ee Xafiisyadda.</t>
  </si>
  <si>
    <t xml:space="preserve">Martiqaadyada &amp; Munaasibadaha. </t>
  </si>
  <si>
    <t>Isticmaalka Boosaha &amp; Isgaadhsiinta.</t>
  </si>
  <si>
    <t>noolka safarada dibada.</t>
  </si>
  <si>
    <t>Habeen Dhaxyada ( Travelling Allowance).</t>
  </si>
  <si>
    <t>Kharashka Hawlaha shaqada.</t>
  </si>
  <si>
    <t>Ijaarka Guryaha &amp; Xafiisyadda.</t>
  </si>
  <si>
    <t>KH. Bilicda Xafiisyadda &amp; Guryaha.</t>
  </si>
  <si>
    <t>Kh. Dhiiri-gelinta &amp; Abaalmarinta.</t>
  </si>
  <si>
    <t>Kh. Hawlaha Miino Saarka.</t>
  </si>
  <si>
    <t>Kh. Isticmaalka Nalka &amp; Biyaha.</t>
  </si>
  <si>
    <t xml:space="preserve">Noolka Safarada Gudaha </t>
  </si>
  <si>
    <t>Noolk Safaradda Dibadda</t>
  </si>
  <si>
    <t xml:space="preserve">Tobobarka iyo Imitixaanadda </t>
  </si>
  <si>
    <t>Marti-qaadka iyo munaasibadaha</t>
  </si>
  <si>
    <t>Kharashka Nabad Galyada</t>
  </si>
  <si>
    <t xml:space="preserve">Dharka iyo Dirayska </t>
  </si>
  <si>
    <t>Baatroolka Naafatada iyo saliida</t>
  </si>
  <si>
    <t>Qalabka Alaabta Xafiiska(office stationery)</t>
  </si>
  <si>
    <t>Buugaagta,Wargeysyada iyo Daabacaadda</t>
  </si>
  <si>
    <t>Kharashka Qalabka Raaga ee Howsha</t>
  </si>
  <si>
    <t>Qalabka Xafiiska iyo Guryaha</t>
  </si>
  <si>
    <t>Daryeelka iyo Dib u-dhiska Dhismayasha</t>
  </si>
  <si>
    <t>Daryeelka Qalabka Xafiisyada iyo Guryaha</t>
  </si>
  <si>
    <t>Grant  Total</t>
  </si>
  <si>
    <t>Liiltirka.</t>
  </si>
  <si>
    <t>Ijaarka Guryaha, Xafiisyadda &amp; Gaadiidka.</t>
  </si>
  <si>
    <t>Daryeelka Qalabka Gaadiidka, Mishiinadda I.W.M</t>
  </si>
  <si>
    <t>Qalabka Nalka Iyo Biyaha.</t>
  </si>
  <si>
    <t>Kharashka yar yar ee Xafiisyada</t>
  </si>
  <si>
    <t>Barnaamijyadda Hawlaha Shaqo.</t>
  </si>
  <si>
    <t>Daawaynta &amp; Caafimaadka.</t>
  </si>
  <si>
    <t>Ciidanka Illaaladda Madaxtooyadda.</t>
  </si>
  <si>
    <t>Guddiga Xaquuqal Insaanka Qaranka.</t>
  </si>
  <si>
    <t>Guddiga Dib u habaynta Shuruucda.</t>
  </si>
  <si>
    <t>Ciidanka Booliska.</t>
  </si>
  <si>
    <t>W.Gaashandhiga.</t>
  </si>
  <si>
    <t>Maxkamada Hoose.</t>
  </si>
  <si>
    <t>Ciidanka Asluubta.</t>
  </si>
  <si>
    <t>Maxkamada Sare.</t>
  </si>
  <si>
    <t>Liiltirka</t>
  </si>
  <si>
    <t>Kharashka Shaqaalaha.</t>
  </si>
  <si>
    <t>Kharashka Adeega Shaqaalaha.</t>
  </si>
  <si>
    <t>Hawl-gab</t>
  </si>
  <si>
    <t>Caymiska shaqaalaha.</t>
  </si>
  <si>
    <t>Isticmaalka Alaabta iyo Adeega Hawsha.</t>
  </si>
  <si>
    <t>Kharashka Isticmaalka Adeega Hawsha.</t>
  </si>
  <si>
    <t>Kharashka Isticmaalka Alaabta Hawsha.</t>
  </si>
  <si>
    <t>Daryeelka Xafiisyadda &amp; Guryaha.</t>
  </si>
  <si>
    <t>Daryeelka Hantidda kale ee Dawladda.</t>
  </si>
  <si>
    <t>Iibsiga Alaabta.</t>
  </si>
  <si>
    <t>Iibsiga Hantidda Raagta.</t>
  </si>
  <si>
    <t>Miis. 2011.</t>
  </si>
  <si>
    <t>Miis. 2011</t>
  </si>
  <si>
    <t>Mis. 2011</t>
  </si>
  <si>
    <t>Dhismayaasha Cusub</t>
  </si>
  <si>
    <t>Kharashka Markhaatiyaasha &amp; Dambi-baadhista</t>
  </si>
  <si>
    <t>Kharashka Qareenka Saboolka</t>
  </si>
  <si>
    <t>Qalabka Xafiisyada &amp; Guryaha</t>
  </si>
  <si>
    <t>Gaadiidka &amp; Mishiinada</t>
  </si>
  <si>
    <t>Mis. 2010</t>
  </si>
  <si>
    <t>Kharashka Lama filaanka ah &amp; Gurmadka</t>
  </si>
  <si>
    <t>Raashinka &amp; Wixii Raaca</t>
  </si>
  <si>
    <t>Daawada</t>
  </si>
  <si>
    <t>Gogosha &amp; Maacuunka</t>
  </si>
  <si>
    <t>Kh. Faaf reebka iyo Fidinta Diinta.</t>
  </si>
  <si>
    <t>Kharashka dhiiri-gelinta &amp; Abaalmarinta.</t>
  </si>
  <si>
    <t>Daryeelka Wadooyinka &amp; Biriijyadda.</t>
  </si>
  <si>
    <t>Miis.2011.</t>
  </si>
  <si>
    <t>Daryeelka Garoomadda Dayuuraadaha.</t>
  </si>
  <si>
    <t>Kh. Daryeelka Ugaadha &amp; Duurjoonta.</t>
  </si>
  <si>
    <t>miis. 2011.</t>
  </si>
  <si>
    <t>kharashka garsoorka</t>
  </si>
  <si>
    <t>kharshka qareenka saboolka</t>
  </si>
  <si>
    <t>Raashinka &amp; wixii raaca.</t>
  </si>
  <si>
    <t>Kharashka Gaarka aha.</t>
  </si>
  <si>
    <t xml:space="preserve">kharashka abaalmarinta iyo dhiirigalinta </t>
  </si>
  <si>
    <t>Kh. Lama filaanka iyo Gurmadka.</t>
  </si>
  <si>
    <t>Iibsiga Gogosha iyo Maacuunka.</t>
  </si>
  <si>
    <t>Qalabka Xafiisyada &amp; Guryaha.</t>
  </si>
  <si>
    <t>Gaadiidka &amp; Mishiinada.</t>
  </si>
  <si>
    <t>Kh. Bilicda Xafiisyadda.</t>
  </si>
  <si>
    <t>Daawaynta &amp; Caafimaaka.</t>
  </si>
  <si>
    <t>Kabka Miisaaniyadda (Q. Raashinka).</t>
  </si>
  <si>
    <t>Miis.2010</t>
  </si>
  <si>
    <t>Kharashka Safaaradaha &amp; Qunsuliyadaha</t>
  </si>
  <si>
    <t>Dhiiri-galinta &amp; Abaalmarinta</t>
  </si>
  <si>
    <t>Miis.2011</t>
  </si>
  <si>
    <t>Noolka &amp;Sahaysiinta Maxaabiista</t>
  </si>
  <si>
    <t>Kabka Miisaaniyadda (Qiimaha Raashinka )</t>
  </si>
  <si>
    <t>Miis 2010</t>
  </si>
  <si>
    <t>Miis 2011</t>
  </si>
  <si>
    <t xml:space="preserve">Kh.Qareenka Saboolka </t>
  </si>
  <si>
    <t>Kh.Garsoorayaasha Ciidan/Dadweyne</t>
  </si>
  <si>
    <t>Kh.Fidinta Maamulka</t>
  </si>
  <si>
    <t>Kabka Miisaniyadda(Qiimaha Raashin )</t>
  </si>
  <si>
    <t xml:space="preserve">Kh.Noolka iyo Sahaysiinta Maxaabiista </t>
  </si>
  <si>
    <t>Mushaharka Shaqaalaha  joogtada ah</t>
  </si>
  <si>
    <t>Lacag celinta Sannadihii hore.</t>
  </si>
  <si>
    <t>Daabacaadda Documents-ka Lacagta.</t>
  </si>
  <si>
    <t>Lambaradda Gaadiidka ee dib u sii iibinta.</t>
  </si>
  <si>
    <t>Khasnadaha Lacagta.</t>
  </si>
  <si>
    <t xml:space="preserve">Soo saarista Daarasadka &amp; Tij. Tamarka Warsh. </t>
  </si>
  <si>
    <t>Daryeelka Ceelasha.</t>
  </si>
  <si>
    <t>Kaalmooyinka Guud.</t>
  </si>
  <si>
    <t>Kharashka Dakhli Ururinta.</t>
  </si>
  <si>
    <t>Kh. Bilicda Xafiisyada &amp; Guryaha.</t>
  </si>
  <si>
    <t>Mushahar.</t>
  </si>
  <si>
    <t>ICT. Commission.</t>
  </si>
  <si>
    <t>Grand Total.</t>
  </si>
  <si>
    <t>W. Shaqadda &amp; Arrimaha Bulshadda.</t>
  </si>
  <si>
    <t>W.Qorshaynta Qaranka &amp; Horumarinta.</t>
  </si>
  <si>
    <t>W.Waxbarashada &amp; Tacliinta Sare.</t>
  </si>
  <si>
    <t xml:space="preserve">Wasaaradda Caafimaadka. </t>
  </si>
  <si>
    <t>Wasaaradda Cadaaladda &amp; Garsoorka.</t>
  </si>
  <si>
    <t xml:space="preserve"> Commission-ka Qurba Jooga.</t>
  </si>
  <si>
    <t xml:space="preserve">Wasaaradda Duulista &amp; Hawadda. </t>
  </si>
  <si>
    <t>Iibsiga Qalabka Nalka &amp; Biyaha.</t>
  </si>
  <si>
    <t>Iibsiga Qalabka Boosaha &amp; Isgaadhsiinta.</t>
  </si>
  <si>
    <t>Iibsiga Qasnaddaha Lacagta.</t>
  </si>
  <si>
    <t>Iibsiga gogosha &amp; Maacuunka.</t>
  </si>
  <si>
    <t>Noolka Safarada Gudaha</t>
  </si>
  <si>
    <t xml:space="preserve">               </t>
  </si>
  <si>
    <t>Iibsiga Gaadiidka &amp; Mishiinada</t>
  </si>
  <si>
    <t>Raashinka Cisbitaalada</t>
  </si>
  <si>
    <t>Daryeelka Cisbitaalada Lababka $ MCHyada</t>
  </si>
  <si>
    <t>Ijaarka Gaadiidka Xafiisyada &amp; Guryaha</t>
  </si>
  <si>
    <t>Martiqaadyada &amp; Munaasabadaha</t>
  </si>
  <si>
    <t xml:space="preserve">Dharka &amp; Dirayska </t>
  </si>
  <si>
    <t>Laababka</t>
  </si>
  <si>
    <t>Ijaarka Xafiisyadda &amp; Gaadiidka.</t>
  </si>
  <si>
    <t>Daryeelka Gaadiidka &amp; Miishanada</t>
  </si>
  <si>
    <t>Gunnada Guri &amp; Xil.</t>
  </si>
  <si>
    <t>Noolka Safarad Debadda</t>
  </si>
  <si>
    <t>Iibsiga Daawadda.</t>
  </si>
  <si>
    <t>Noolka Safaradda Gudaha.</t>
  </si>
  <si>
    <t>Ijaarka B/buurta &amp; Xafiisyadda &amp; Guryaha.</t>
  </si>
  <si>
    <t>Kh. Sahaysiinta Maxaabiista.</t>
  </si>
  <si>
    <t>Dharka iyo Dirayska.</t>
  </si>
  <si>
    <t>Noolka Safaradda Gudaha</t>
  </si>
  <si>
    <t>Kharashka Nabadgalyada</t>
  </si>
  <si>
    <t>Kharashka Baadhista Khayraatka Dalka.</t>
  </si>
  <si>
    <t>Raashinka &amp; Wixii Raaca.</t>
  </si>
  <si>
    <t xml:space="preserve">Daryeelka Dugsiyadda </t>
  </si>
  <si>
    <t>Kharashka Bilicda Xafiisyadda.</t>
  </si>
  <si>
    <t xml:space="preserve">daawwnta iyo caafimaadka </t>
  </si>
  <si>
    <t>Kh.joogtaynta maamulka</t>
  </si>
  <si>
    <t>Kh.isticmaalka adeega hawsha</t>
  </si>
  <si>
    <t>Kh. Daawaynta &amp; Caafimaadka.</t>
  </si>
  <si>
    <t>iibsiga Hantidda Raagta.</t>
  </si>
  <si>
    <t>Iibsiga Alaabta Raagta</t>
  </si>
  <si>
    <t>Hawl-gab.</t>
  </si>
  <si>
    <t>Mushaharka Shaqaalaha aan J/ahayn.</t>
  </si>
  <si>
    <t>Mushaharka Shaqaalaha joogtada ah.</t>
  </si>
  <si>
    <t>martiqaadka &amp; Munaasibadaha,</t>
  </si>
  <si>
    <t>Dhiiri-gelinta &amp; Abaalmarinta.</t>
  </si>
  <si>
    <t>Dirayska.</t>
  </si>
  <si>
    <t xml:space="preserve">Kharashka Maamulka. </t>
  </si>
  <si>
    <t>Barnaamijyadda H/Shaqo.</t>
  </si>
  <si>
    <t>Hawsha Miino Saarka (SMAC).</t>
  </si>
  <si>
    <t>Iibsiga Gaadiidka &amp; Mishiinadda.</t>
  </si>
  <si>
    <t>Xafiisyadda &amp; Guryaha kale ee Dawladda.</t>
  </si>
  <si>
    <t>Noolka Safarada Gudaha iyo bedelka</t>
  </si>
  <si>
    <t xml:space="preserve">Dayactirka Masaajidada iyo Dug/diiniga </t>
  </si>
  <si>
    <t xml:space="preserve">Iibsiga gaadiidka </t>
  </si>
  <si>
    <t xml:space="preserve">Dhismayaasha Cusub </t>
  </si>
  <si>
    <t>Isticmaalka Alaabta &amp; Adeega Hawsha</t>
  </si>
  <si>
    <t>Kharashka Isticmaalka Adeega hawsh</t>
  </si>
  <si>
    <t>Kh. Dawada &amp; Caafimaadka</t>
  </si>
  <si>
    <t xml:space="preserve">            -</t>
  </si>
  <si>
    <t xml:space="preserve">         -</t>
  </si>
  <si>
    <t>Iibsiga Hantida Raagta</t>
  </si>
  <si>
    <t xml:space="preserve">Iibsiga Alaabta </t>
  </si>
  <si>
    <t>Tababarka &amp; Imtixaanaadka</t>
  </si>
  <si>
    <t>Kharashka Gaarka ah</t>
  </si>
  <si>
    <t>Kh. Markhaatiyaasha &amp; Dambibaadhista.</t>
  </si>
  <si>
    <t>Gunno Gaareed (Gunnadda Jiidda Hore).</t>
  </si>
  <si>
    <t>Mushaharka Golaha Wakiiladda.</t>
  </si>
  <si>
    <t>Kh. Bilicda Xafiisyadda &amp; guryaha.</t>
  </si>
  <si>
    <t>Iibsiga Qalabka Xaf. &amp; Guryaha.</t>
  </si>
  <si>
    <t>Mushaharka Golaha Guurtidda.</t>
  </si>
  <si>
    <t>Mushaharka Ciimaddda.</t>
  </si>
  <si>
    <t>Mushaharka Ciimadda.</t>
  </si>
  <si>
    <t>Ijaarka Bakhaaradda Sooy. Ee Komishanka.</t>
  </si>
  <si>
    <t>Liiltirka (Filfil).</t>
  </si>
  <si>
    <t>Liiltir (Khadra Xasan Ducaale).</t>
  </si>
  <si>
    <t>Liiltirka (Marxuum Faarax Cawad ).</t>
  </si>
  <si>
    <t>Daryeelka Kale ee Hantidda Dawladda.</t>
  </si>
  <si>
    <t>Kharashka Gaarka ah (Cusbitaalka Hargeysa).</t>
  </si>
  <si>
    <t>Xeer Illaalinta Guud Qaranka.</t>
  </si>
  <si>
    <t>iibsiga Gaadiidka &amp; Mishiinadda.</t>
  </si>
  <si>
    <t>Mush. shaqaalaha (H/Gab+Googays+Ag. Pool).</t>
  </si>
  <si>
    <t>Kaalmooyinka Qeybaha kale ee dawladda</t>
  </si>
  <si>
    <t>Kh. Isticmaalka Alaabta Hawsha.</t>
  </si>
  <si>
    <t xml:space="preserve">Daryeelka Xaf. Guryaha. </t>
  </si>
  <si>
    <t>Kaalmooyinka Guud (Dawan).</t>
  </si>
  <si>
    <t xml:space="preserve"> Iibsiga gaadiidka iyo mashiinada </t>
  </si>
  <si>
    <t>Biilasha Taagan.</t>
  </si>
  <si>
    <t>Grand-Total</t>
  </si>
  <si>
    <t>Iibsiga Daawadda Xoolaha.</t>
  </si>
  <si>
    <t>Raashinka &amp; Wixii Raaca (Agoomaha).</t>
  </si>
  <si>
    <t xml:space="preserve">Kabka Miisaaniyadda. </t>
  </si>
  <si>
    <t>Kaalmadda (Machadka Tababarka Shaqaalaha CSI).</t>
  </si>
  <si>
    <t>Raashinka Ciidanka iyo wixii Raaca.</t>
  </si>
  <si>
    <t>Miis.2012</t>
  </si>
  <si>
    <t>miis. 2012</t>
  </si>
  <si>
    <t>Miis. 2012</t>
  </si>
  <si>
    <t>Miis 2012</t>
  </si>
  <si>
    <t>miis 2012</t>
  </si>
  <si>
    <t>Raashinka</t>
  </si>
  <si>
    <t xml:space="preserve">Raashinka </t>
  </si>
  <si>
    <t xml:space="preserve">W/dib u dajinta </t>
  </si>
  <si>
    <t>Miis. 2012.</t>
  </si>
  <si>
    <t>Kharashka Garsoorayaasha</t>
  </si>
  <si>
    <t>miis. 2011</t>
  </si>
  <si>
    <t>Wasaarada Xanaanada Xoolaha</t>
  </si>
  <si>
    <t>Gunno Xagaayeed</t>
  </si>
  <si>
    <t>Gunno Maaliyadeed</t>
  </si>
  <si>
    <t>Ijaarka Guryaha (Guryaha Masaarida)</t>
  </si>
  <si>
    <t>Gunno Lataliye</t>
  </si>
  <si>
    <t>Gunno kaaliyayaasha maxk. Hoose</t>
  </si>
  <si>
    <t xml:space="preserve">Mag dhowga </t>
  </si>
  <si>
    <t>Xafiisyadda Wasaarada maaliyada</t>
  </si>
  <si>
    <t>fee jaamacada</t>
  </si>
  <si>
    <t>Gunno lataliyayaal</t>
  </si>
  <si>
    <t>Gunno lataliye</t>
  </si>
  <si>
    <t>Gunno Xil &amp; Guri</t>
  </si>
  <si>
    <t xml:space="preserve">Kh. Kalaxadaynta Gobolada iyo Degmooyinka </t>
  </si>
  <si>
    <t xml:space="preserve">Dhismayaasha </t>
  </si>
  <si>
    <t>.</t>
  </si>
  <si>
    <t>Qalabka Xafiiska</t>
  </si>
  <si>
    <t>Kaal. Guud (Jaamacadaha).</t>
  </si>
  <si>
    <t>Agaasinka Tacliinta sare</t>
  </si>
  <si>
    <t>Gaadiidka iyo Mashiinada</t>
  </si>
  <si>
    <t>Gunno Gareed(lataliyayaal)</t>
  </si>
  <si>
    <t>Amount</t>
  </si>
  <si>
    <t>Daaweynta &amp; Caafimaadka Shaqaalaha Dowlada</t>
  </si>
  <si>
    <t xml:space="preserve">Liiltirka </t>
  </si>
  <si>
    <t xml:space="preserve">Iibsiga Hantida Raagta &amp; Alaabta </t>
  </si>
  <si>
    <t xml:space="preserve">Qalabka Xafiisyada </t>
  </si>
  <si>
    <t xml:space="preserve">   </t>
  </si>
  <si>
    <t>````````````````````````````````````````````````````````````````````````````````````````````````````````````````````````````````````````````````````````````````````````````````````````````````````````````````````````````````````````````````````</t>
  </si>
  <si>
    <t>Ijaarka Xafiisyada</t>
  </si>
  <si>
    <t>Mushaharka Ciidamadda  joogtada ah</t>
  </si>
  <si>
    <t>Raashinka ilaalada Warshada sibidhka</t>
  </si>
  <si>
    <t>Raashinka Dugsiga Agoomaha</t>
  </si>
  <si>
    <t>Kh. Mushaharka &amp; Tigidhada Dhakhatiirta Ajaanibka</t>
  </si>
  <si>
    <t>Garyaqaanka Guud</t>
  </si>
  <si>
    <t>Noolka Safaradda Dibadda( Wasaaradaha)</t>
  </si>
  <si>
    <t>Hard-Allowance Sool</t>
  </si>
  <si>
    <t>Ijaarka Xafiisyadda(Sool),</t>
  </si>
  <si>
    <t>Mushaharka Shaqaalaha aan J/ahayn( 2+3gudi).</t>
  </si>
  <si>
    <t>Mushaharka Shaqaalaha joogtada ah+30Dr</t>
  </si>
  <si>
    <t xml:space="preserve">Gunnada ilaalada madaxtooyadda </t>
  </si>
  <si>
    <t xml:space="preserve">Iibsiga Barnaamijyadda Idaacada </t>
  </si>
  <si>
    <t>Ijaarka Gaadiidka,Xafiisyada.</t>
  </si>
  <si>
    <t xml:space="preserve">Gaadiidka &amp; Mishiinada </t>
  </si>
  <si>
    <t>Mashruuca Daawaynta Xoolaha</t>
  </si>
  <si>
    <t>Dhismayaasha</t>
  </si>
  <si>
    <t>Dhismaha Xafiisyada wasaarada</t>
  </si>
  <si>
    <t xml:space="preserve">Dhismaha xafiisyada wasaarada </t>
  </si>
  <si>
    <t xml:space="preserve">Mashruuca Waxsoosaarka iyo tarminta dhirta </t>
  </si>
  <si>
    <t>Daabacaadda Tigidhada</t>
  </si>
  <si>
    <t xml:space="preserve">Daabacaada Fiisooyinka </t>
  </si>
  <si>
    <t>Cilmi Baadhista (Macro Economic Research)</t>
  </si>
  <si>
    <t xml:space="preserve">Kh. Rarista dadka ku jira guryah w/duulista </t>
  </si>
  <si>
    <t>Iibsiga Alaabta  (Stationery).+ computers</t>
  </si>
  <si>
    <t>Biilasha Taagan</t>
  </si>
  <si>
    <t xml:space="preserve">Sanduuqa Aqoonsi Raadinta </t>
  </si>
  <si>
    <t>miis.2011</t>
  </si>
  <si>
    <t>Mushaharka Shaqaalaha aan J/ahayn.(Gudida)</t>
  </si>
  <si>
    <t>Noolka Safarada Gudaha &amp; Badalka shaqalaha</t>
  </si>
  <si>
    <t xml:space="preserve">Ijaarka Baabuurta Xafiisyada </t>
  </si>
  <si>
    <t>Kharashka Nabedgelyada</t>
  </si>
  <si>
    <t>Kharashka Bilicda Xafiisyada</t>
  </si>
  <si>
    <t>Raashinka Ciidanka</t>
  </si>
  <si>
    <t>Iibsiga Gogosha &amp; Maacuunta</t>
  </si>
  <si>
    <t>D. Qalabka Boosaha &amp; Isgaadhsiinta</t>
  </si>
  <si>
    <t>Iibsiga Qalabka Boosaha &amp; Isgaadhsiinta</t>
  </si>
  <si>
    <t xml:space="preserve">Gudiga Diwaangalinta Ururad </t>
  </si>
  <si>
    <t>Shidaalka iyo Stationeryga Qaybaha C/booliiska</t>
  </si>
  <si>
    <t xml:space="preserve">Biilasha taagan </t>
  </si>
  <si>
    <t>Gunno (kaaliyayaal)</t>
  </si>
  <si>
    <t>Gunno kaaliyayaal</t>
  </si>
  <si>
    <t>Gunno hawleed</t>
  </si>
  <si>
    <t>Gunno Hawleed</t>
  </si>
  <si>
    <t>Kh. Habeynta Darajoojinka Shaqalaha(Data Base)</t>
  </si>
  <si>
    <t>Dhisme</t>
  </si>
  <si>
    <t>Gudiga Tacliinta Sare</t>
  </si>
  <si>
    <t xml:space="preserve">Kaalmooyinka Guud </t>
  </si>
  <si>
    <t>Batroolka, Naafatadda &amp; Saliidaha.+ (lash)</t>
  </si>
  <si>
    <t>Batroolka, Naafatadda &amp; Saliidaha</t>
  </si>
  <si>
    <t>Kharashka Isticmaalka Adeega Hawsha</t>
  </si>
  <si>
    <t>Kharashka Isticmaalka Alaabta Hawsha</t>
  </si>
  <si>
    <t>Daryeelka iyo Dib-u Dhiska Dhismayaasha</t>
  </si>
  <si>
    <t>Kalmooyinka Qaybaha Kale ee Dawladda</t>
  </si>
  <si>
    <t>FaahFaahin</t>
  </si>
  <si>
    <t>Total</t>
  </si>
  <si>
    <t>Percentage</t>
  </si>
  <si>
    <t>Dhiirigelinta Shaqaalaha</t>
  </si>
  <si>
    <t>Kharashka Nabadgelyada</t>
  </si>
  <si>
    <t>Daynta Qaranka</t>
  </si>
  <si>
    <t>Mushaharka Shaqaalaha aan J/ahayn(wasiro</t>
  </si>
  <si>
    <t>Mushaharka Shaqaalaha aan J/ahayn(wasiro)</t>
  </si>
  <si>
    <t>Mushaharka Shaqaalaha aan J/ahayn(wasiiro)</t>
  </si>
  <si>
    <t>Mushaharka Shaqaalaha aan J/ahayn(wasiiro</t>
  </si>
  <si>
    <t>Mushaharka Sh/ aan J/ahayn (wasiiro)</t>
  </si>
  <si>
    <t>Mushaharka Sh/ aan J/ahayn(wasiiro)</t>
  </si>
  <si>
    <t>Kaalmadda Ururka Now</t>
  </si>
  <si>
    <t>Biilasha taagan</t>
  </si>
  <si>
    <t>Raashinka (Caruurta darbi jiifka ah)</t>
  </si>
  <si>
    <t>Gunno latalilye</t>
  </si>
  <si>
    <t>Mushaharka Shaq. aan J/ahayn (Wasiir&amp;Cuqaal).</t>
  </si>
  <si>
    <t>Kh. Gobolada (Badhasaabada)</t>
  </si>
  <si>
    <t>Dhismaha Madaarka Burco</t>
  </si>
  <si>
    <t xml:space="preserve">Gunnada Guri &amp; Xil </t>
  </si>
  <si>
    <t>Gunnada hanti-dhowrida + lataliye</t>
  </si>
  <si>
    <t>Tababarka</t>
  </si>
  <si>
    <t>kh. Tababarada &amp; Imtaxaanada</t>
  </si>
  <si>
    <t>Mushaharka Shaqaalaha aan J/ahayn(10+1+5sh)</t>
  </si>
  <si>
    <t xml:space="preserve">Tababarka ciidanka </t>
  </si>
  <si>
    <t xml:space="preserve">Daawada Caafimaadka </t>
  </si>
  <si>
    <t>Ijaarka xafiisyadda iyo Guryaha</t>
  </si>
  <si>
    <t>Betroolka Naaftada iyo saliida (Berbera)</t>
  </si>
  <si>
    <t>Kharashka warbaahinta &amp; Tababarada uruurada</t>
  </si>
  <si>
    <t>kh. Imtixaanadda.</t>
  </si>
  <si>
    <t>Geb secondary Boodhin school(Awdal)</t>
  </si>
  <si>
    <t>Iibsiga Qalabka Xafiisyada iyo Guryaha</t>
  </si>
  <si>
    <t>Dhismaha jaamacdda Ceerigaabo</t>
  </si>
  <si>
    <t>Ijaarka Guryaha</t>
  </si>
  <si>
    <t>Gunnada Guri &amp; Xil(Agaasinka Guud)</t>
  </si>
  <si>
    <t>Raashinka &amp; Wixii Raaca.( agoomaaha)</t>
  </si>
  <si>
    <t>Gaadiidka &amp; Mashiinada</t>
  </si>
  <si>
    <t>Mushaharka Shaqaalaha aan J/ahayn(Gudi7)</t>
  </si>
  <si>
    <t>Gunnada Imaamada</t>
  </si>
  <si>
    <t>Gaadiidka &amp; Mishiinada(3mashiin)</t>
  </si>
  <si>
    <t xml:space="preserve">Kh. Hawgalka ciyaaraha </t>
  </si>
  <si>
    <t>Batroolka Diwaangalinta ururada (one time)</t>
  </si>
  <si>
    <t>Mushaharka Sh/ aan J/ahayn +wasiiro)</t>
  </si>
  <si>
    <t>Dhiirigalinta shaqaalaha</t>
  </si>
  <si>
    <t xml:space="preserve">kh.wacyigalinta </t>
  </si>
  <si>
    <t>Kaalmooyinka Guud</t>
  </si>
  <si>
    <t>Gaadiidka &amp; Mishiinada(Minibus+Surf)</t>
  </si>
  <si>
    <t>Kaalmada Cisbitaalka Dhimirka Burco</t>
  </si>
  <si>
    <t>Kaalmada Cisbitaalka Dhimirka Berbera</t>
  </si>
  <si>
    <t xml:space="preserve">Raashinka Ciidanka iyo Maxaabiista </t>
  </si>
  <si>
    <t>Kaalmada Cisbitaalka Dhimirka (Hargaisa)</t>
  </si>
  <si>
    <t xml:space="preserve">Mushaharka Sh/joogtada aan ahayn </t>
  </si>
  <si>
    <t>A=11</t>
  </si>
  <si>
    <t>B=1</t>
  </si>
  <si>
    <t>C=1</t>
  </si>
  <si>
    <t>D=3</t>
  </si>
  <si>
    <t>Staff</t>
  </si>
  <si>
    <t>Kaalmooyinka Qaybaha kale</t>
  </si>
  <si>
    <t xml:space="preserve">Raashinka &amp; Wixii Raaca </t>
  </si>
  <si>
    <t xml:space="preserve">Isticmaalka Nalka iyo Biyaha </t>
  </si>
  <si>
    <t>Mushaharka Shaqaalaha aan J/ahayn+Gudomiye</t>
  </si>
  <si>
    <t>Mushaharka Shaqaalaha aan J/ahayn+Wasiiradda</t>
  </si>
  <si>
    <t>Mushaharka Shaqaalaha aan J/ahayn+wasiirka</t>
  </si>
  <si>
    <t>Mushaharka Shaqaalaha aan J/ahayn+gudomiye</t>
  </si>
  <si>
    <t>Mushaharka Sh/ aan J/ahayn Gudomiye kaliya</t>
  </si>
  <si>
    <t>Goobta</t>
  </si>
  <si>
    <t>G/Total</t>
  </si>
  <si>
    <t>Kastamka</t>
  </si>
  <si>
    <t>W/Ganacsiga</t>
  </si>
  <si>
    <t>W/Boostada</t>
  </si>
  <si>
    <t>W/Warfaafinta</t>
  </si>
  <si>
    <t>W/Kalumaysiga</t>
  </si>
  <si>
    <t>Haamaha berbera</t>
  </si>
  <si>
    <t>Cashuuraha.</t>
  </si>
  <si>
    <t>Cash/M/M shaqaalaha Rayidka ah</t>
  </si>
  <si>
    <t>Cash/M/M Shaqaalaha Dawladda</t>
  </si>
  <si>
    <t>Cash/M/M Ganacsiga</t>
  </si>
  <si>
    <t>Sub-Total</t>
  </si>
  <si>
    <t>Cashuuraha Hantida</t>
  </si>
  <si>
    <t>Cashuurta M/Macaashka Guryaha</t>
  </si>
  <si>
    <t>Cashuurta Alaabta &amp; Adeega</t>
  </si>
  <si>
    <t>Cashuurta Gadida</t>
  </si>
  <si>
    <t>Daakhliga Faafinta &amp; Iidhehda</t>
  </si>
  <si>
    <t>Dakhliga kale ee Boosaha &amp; Isgaadhsiinta</t>
  </si>
  <si>
    <t>Cashuurta Isticmaalka Alaabta &amp; Adeega</t>
  </si>
  <si>
    <t>Dakhliga Liisamada Ganac/&amp; Ruqsooyinka</t>
  </si>
  <si>
    <t>Dakh/Feega Kaluumaysiga Bada</t>
  </si>
  <si>
    <t>Dakh/Liisamada/Ruqsooyinka Macdanta</t>
  </si>
  <si>
    <t>Cashuurta Diiwaan gelinta</t>
  </si>
  <si>
    <t>Cashuurta Diiwaangelinta Maraakiibta &amp; Doonyaha</t>
  </si>
  <si>
    <t>Fiiga Xanaanada Xoolaha</t>
  </si>
  <si>
    <t>Import Tax (Cashuuta soo dejinta)</t>
  </si>
  <si>
    <t>Cashuurta Dekadaha (H.Tax)</t>
  </si>
  <si>
    <t>Cash/Dhoofinta Xoolaha (L/S/Levy)</t>
  </si>
  <si>
    <t>Cashuuraha Kale</t>
  </si>
  <si>
    <t>Cashuuraha Kala duwan</t>
  </si>
  <si>
    <t>Cashuurta Moorka</t>
  </si>
  <si>
    <t>Cash/Socodka Baabuurta</t>
  </si>
  <si>
    <t>Cashuurta Baaqatay ee kale</t>
  </si>
  <si>
    <t>Iibsiga Tigidhada Dakhliga</t>
  </si>
  <si>
    <t>Deynta Gudaha/Deeq</t>
  </si>
  <si>
    <t>Dakhliaga Dawlada ee Faa'iidada Wakaladaha</t>
  </si>
  <si>
    <t>Dakhliga Daabacaadda Lacagta</t>
  </si>
  <si>
    <t>Dakhliga Iibka Khayraadka Dalka</t>
  </si>
  <si>
    <t>Dakhliga gadida hantida Dawlada</t>
  </si>
  <si>
    <t>Dakhliga Kirada Guryaha &amp; Bakhaarada</t>
  </si>
  <si>
    <t>Dakh/Gegida Diyaaradaha &amp; Ajuurada</t>
  </si>
  <si>
    <t>Dakhliga Haamaha Shidaalka</t>
  </si>
  <si>
    <t>Cashuurta Maamulka</t>
  </si>
  <si>
    <t>Dakhliga Ajuurada Maxkamadaha</t>
  </si>
  <si>
    <t xml:space="preserve">Dakh/Nootaayooyinka </t>
  </si>
  <si>
    <t>Cashuurta Gudubka Badeecadda</t>
  </si>
  <si>
    <t>Dakhliga Numberka &amp; Tijaabada Gaadiidka</t>
  </si>
  <si>
    <t>Fiisada Baasabooradda Ajanabiga</t>
  </si>
  <si>
    <t>Dakhliga Ganaaxyada</t>
  </si>
  <si>
    <t xml:space="preserve"> Iibsiga xadhiga xabsiga </t>
  </si>
  <si>
    <t>Wadarta Dakhliga Guud</t>
  </si>
  <si>
    <t>W/Deegaanka &amp; Horumarinta Reermiyiga</t>
  </si>
  <si>
    <t>Mushaharka Shaqaalaha aan J/ahayn( Gudoomiye &amp; Kuxigeen)</t>
  </si>
  <si>
    <t>Miis. 2013</t>
  </si>
  <si>
    <t>Miis.2013</t>
  </si>
  <si>
    <t>Gunnada xil</t>
  </si>
  <si>
    <t>Gunnada Xil</t>
  </si>
  <si>
    <t>Gunnada Xil.</t>
  </si>
  <si>
    <t>Mii.2013</t>
  </si>
  <si>
    <t>Mii.2012</t>
  </si>
  <si>
    <t xml:space="preserve">Gunnada Xil </t>
  </si>
  <si>
    <t>Miis. 2013.</t>
  </si>
  <si>
    <t>Miis 2013</t>
  </si>
  <si>
    <t>kharashka nabadgalyada( 2Askari)</t>
  </si>
  <si>
    <t>Baahinta qandaraasyada</t>
  </si>
  <si>
    <t>Kharashka Wacyi-gelinta</t>
  </si>
  <si>
    <t>Iibsiga Qalabka Xafiisyada &amp; Guryaha</t>
  </si>
  <si>
    <t>Hard Allowance</t>
  </si>
  <si>
    <t>Kharashka Dhiirigelinta &amp; Abaalmarinta</t>
  </si>
  <si>
    <t>Kh. Qalinjebinta Ardayda Jam.Eithopia</t>
  </si>
  <si>
    <t>Kharashka Faafinta Shuruucda</t>
  </si>
  <si>
    <t>Kh.Mashruuca Wajaale &amp; Aburiin</t>
  </si>
  <si>
    <t>Dhismaha Wasarada</t>
  </si>
  <si>
    <t>Kharashka Dhirigelinta Sh. Dakhli-ururinta</t>
  </si>
  <si>
    <t>Kh. Baadhida Alaabta &amp; Cuntada</t>
  </si>
  <si>
    <t>Wasaarada Wershadaha</t>
  </si>
  <si>
    <t>Kh.Garsoorayaasha Dadweyne( Public Defenders)</t>
  </si>
  <si>
    <t xml:space="preserve">Mushaharka Shaqaalaha joogtada ah </t>
  </si>
  <si>
    <t xml:space="preserve">Magaha Guud ee Qaranka </t>
  </si>
  <si>
    <t>Kaalmooyinka Guud (Asxaabta Qaranka)</t>
  </si>
  <si>
    <t xml:space="preserve">kharashka Safaradda Dibadda </t>
  </si>
  <si>
    <t>Kharashka Hawlgaladda Ciidanka.</t>
  </si>
  <si>
    <t>Kharashka Diyaarinta Shuruucda Wadooyinka</t>
  </si>
  <si>
    <t>Kharashka Horumarinta IT ga</t>
  </si>
  <si>
    <t>Kharashka Lama Filaanka ah ( W. Maaliyadda)</t>
  </si>
  <si>
    <t>Mushaharka Shaq. aan J/ahayn (Wasiir+Samafal)</t>
  </si>
  <si>
    <t>kh. Diwaagalinta H.Maguurtada ah &amp; guurtada</t>
  </si>
  <si>
    <t>Daaweynta &amp; Caafimaadka Shaq. Dowlada</t>
  </si>
  <si>
    <t>Kharashka Nabad-gelyadda(sadex askari).</t>
  </si>
  <si>
    <t>Mushaharka Sh.aan J/ahayn(4g &amp; 1G)</t>
  </si>
  <si>
    <t>Guno la taliye</t>
  </si>
  <si>
    <t>Gunnada Xil&amp; Guri</t>
  </si>
  <si>
    <t>Noolka Safarada Gudaha &amp; Badalka Shaq.</t>
  </si>
  <si>
    <t>Noolka Safarada Dibadda</t>
  </si>
  <si>
    <t>Daryeelka Qalabka Isgaadhsiinta</t>
  </si>
  <si>
    <t>Kharashka Markhaatiyada &amp; Dambi-baadhista</t>
  </si>
  <si>
    <t>Kharashka Noolka &amp; Sahaysiinta Maxaabiista</t>
  </si>
  <si>
    <t xml:space="preserve">Hayadda Sirdoonka Qaranka </t>
  </si>
  <si>
    <t>Jimciyadda Muj.Sooyaal</t>
  </si>
  <si>
    <t>Daabacaada Baasaaboorada</t>
  </si>
  <si>
    <t>Kharashka Daabacaada Lacagta &amp; Rarista</t>
  </si>
  <si>
    <t>Gunno Dhakhaatiireed + lataliye</t>
  </si>
  <si>
    <t>Kharashka Diiwangelinta Dadwaynaha</t>
  </si>
  <si>
    <t>Kharashka Darajada Ciidamada</t>
  </si>
  <si>
    <t>Gunno Hawleed +lataliye</t>
  </si>
  <si>
    <t>Dhis. Jamac.Harg.(Darasatul Islam)</t>
  </si>
  <si>
    <t>Ijaarka Xafiisyadda &amp; Guryaha.(xaf.wasarada)</t>
  </si>
  <si>
    <t>Kh. Hawsha Iskaashiga Caalamiga ah</t>
  </si>
  <si>
    <t>Martiqaadyada &amp; Munaasibadaha</t>
  </si>
  <si>
    <t>Kh.Agaasinka Waxb. Gaarka loo leeyahay</t>
  </si>
  <si>
    <t>Kaalmada Cisbitaalka Dhimirka Sahan(Hargeysa)</t>
  </si>
  <si>
    <t>Kh. Waxka qabashada Xaalufka</t>
  </si>
  <si>
    <t>Kharashka La dagaalanka  Budhcad badeedka</t>
  </si>
  <si>
    <t>2% Gobolada Bariga</t>
  </si>
  <si>
    <t>Fuel Levy Wadooyinka</t>
  </si>
  <si>
    <t>Kh.Sameynta Miisaaniyadda, Xis. Xidhadda &amp;Maamulka</t>
  </si>
  <si>
    <t>Kh. La dagaalanka Kotarabanka,Kormeerka &amp; Badhista</t>
  </si>
  <si>
    <t xml:space="preserve">Isticmaalka Biyaha Masaajidada Hargaysa  </t>
  </si>
  <si>
    <t>Gurmadka Ciidanka</t>
  </si>
  <si>
    <t>Mushaharka iyo Gunnada Madaxweynaha</t>
  </si>
  <si>
    <t xml:space="preserve">                                  Mushaharka iyo Gunnada Madax-weyne ku xigeenka </t>
  </si>
  <si>
    <t>W/Ciyaaraha, Dhalinyaradda &amp; Dalxiiska .</t>
  </si>
  <si>
    <t>W.Warfaafinta &amp; Wacyigelinta &amp; Dhaqanka .</t>
  </si>
  <si>
    <t>Deynta Qaranka+Fuel levy+2% Gob.Barri</t>
  </si>
  <si>
    <t>Qasnada Guud ee Qaranka</t>
  </si>
  <si>
    <t>Wasaarada Biyaha</t>
  </si>
  <si>
    <t>W.Macdanta &amp; Tamarta.</t>
  </si>
  <si>
    <t>Wasarada Xidh Golayaasha  Cilm. Badhis iyo Tech.</t>
  </si>
  <si>
    <t>Miis. 2014</t>
  </si>
  <si>
    <t>Miis.2014</t>
  </si>
  <si>
    <t>Mii.2014</t>
  </si>
  <si>
    <t>Miis 2014</t>
  </si>
  <si>
    <t>BiilashaTaagan</t>
  </si>
  <si>
    <t>Iibsiga Gaadiidka</t>
  </si>
  <si>
    <t>Guno hawleed</t>
  </si>
  <si>
    <t>Dhismaha hoolka shirarka iyo 3 qol (xafiisyo)</t>
  </si>
  <si>
    <t>Saamiga Dawladda ee Mashruuca JPLG</t>
  </si>
  <si>
    <t>Maamuuska Madaxweynayaash iyo Kuxigeenada</t>
  </si>
  <si>
    <t>Iibsiga Gaadiidka iyo Miishiinadda.</t>
  </si>
  <si>
    <t>Dhismaha Derka.</t>
  </si>
  <si>
    <t>Dhiismayaasha Cusub</t>
  </si>
  <si>
    <t>Dhismaha Xaafiska Hanti dhawraha.</t>
  </si>
  <si>
    <t>Dhismaha Derka</t>
  </si>
  <si>
    <t>Mashruuca Xoolaha</t>
  </si>
  <si>
    <t>Ijaarka,</t>
  </si>
  <si>
    <t>Dhismaha Xarunta Maamulka Wasaaradda.</t>
  </si>
  <si>
    <t>Kh. Nabadgelyada</t>
  </si>
  <si>
    <t>KH. Kormeerka iyo Sahaminta Shidaalka</t>
  </si>
  <si>
    <t>Iibsiga Qalabaka Boosaha &amp; Isgaadhsiinta.</t>
  </si>
  <si>
    <t>Dhismaha Academic And Art</t>
  </si>
  <si>
    <t>Iibsiga Qalabka Hoolka Jaamacad Hargeisa</t>
  </si>
  <si>
    <t>Dhismaha Isbitaalka Wajaale.</t>
  </si>
  <si>
    <t>Dhismaha Dugsiga Farsamada Buuhoodle.</t>
  </si>
  <si>
    <t xml:space="preserve">Kaalmada Guud </t>
  </si>
  <si>
    <t>Kaalmada Bisha Cas</t>
  </si>
  <si>
    <t xml:space="preserve">Kaalmada dugsiga Hargeisa Nursing </t>
  </si>
  <si>
    <t xml:space="preserve">Dhismaha Derka Wasaaradda Caafiimaadka </t>
  </si>
  <si>
    <t>Bar Tartanka Qu'anka Karimka iyo wacy gelinta</t>
  </si>
  <si>
    <t xml:space="preserve">Gunno hawleed </t>
  </si>
  <si>
    <t>Dhismaha Madaarka Borama.</t>
  </si>
  <si>
    <t xml:space="preserve">Kh. Cilmi Baadhista </t>
  </si>
  <si>
    <t>Mashruuca Shaqo Abuurka( Job Centers)</t>
  </si>
  <si>
    <t>Iibsiga Gaadiidka &amp; Mishiinadda(Min Bus).</t>
  </si>
  <si>
    <t xml:space="preserve">Iibsiga Qalabka Xafiisyadd, </t>
  </si>
  <si>
    <t xml:space="preserve">kh.xafiiska ururka mihnadleyda caafimaadka </t>
  </si>
  <si>
    <t>Tababarka imaamada iyo mu'adiniinta</t>
  </si>
  <si>
    <t>Gaadiidka &amp; Mishiinada (labo surf)</t>
  </si>
  <si>
    <t>Biilasha Taagan( Kirada Guriga)</t>
  </si>
  <si>
    <t>Kharashka Faafinta Shuruucda Biyaha.</t>
  </si>
  <si>
    <t>Kh. Cilmi Baadhista ( Macro economic Research)</t>
  </si>
  <si>
    <t>Raashinka iyo Wixii Raaca.</t>
  </si>
  <si>
    <t>Kharashka Nabadgelyadda.</t>
  </si>
  <si>
    <t>dhismayaasha</t>
  </si>
  <si>
    <t>dhismayaasha cusub</t>
  </si>
  <si>
    <t>hawsha miinosaarka (smac)</t>
  </si>
  <si>
    <t>kabka Miisaaniyada</t>
  </si>
  <si>
    <t>Kaalmada Ururka Xisaabaadka</t>
  </si>
  <si>
    <t>kh.Xisaab xidhka xisaabaadka Guud</t>
  </si>
  <si>
    <t>kh.rarista Ducomentiga xisaabaadka</t>
  </si>
  <si>
    <t>kh.sameynta Date base-ka xisaabaadka</t>
  </si>
  <si>
    <t>Gunnada Xi l(sharciyaqaano)</t>
  </si>
  <si>
    <t>kh.hawlaha Maalgashiga Caalamiga ah</t>
  </si>
  <si>
    <t>sacadadiin Boardig</t>
  </si>
  <si>
    <t>cali ciise Boarding school</t>
  </si>
  <si>
    <t>kh.gaarka</t>
  </si>
  <si>
    <t>Dhismaha schoolka Alayybada</t>
  </si>
  <si>
    <t>iibs iga qalabka xafiisyada iyo Guryaha</t>
  </si>
  <si>
    <t>kharashka sameyta Xisaab xidhka</t>
  </si>
  <si>
    <t>Dhismaha Hoolka fanka</t>
  </si>
  <si>
    <t>iibsiga idaacada FM</t>
  </si>
  <si>
    <t>Dhismaha Hoolka Gebilay+ deyrka</t>
  </si>
  <si>
    <t>Dhismaha jaamacada Camuud</t>
  </si>
  <si>
    <t>Dhismaha jaamacada Burco</t>
  </si>
  <si>
    <t>Dhis. Degmo Center for heritage and rural life</t>
  </si>
  <si>
    <t>kh.wacyigalinta</t>
  </si>
  <si>
    <t>Biilasha Taagan banka</t>
  </si>
  <si>
    <t>Gurmadka Abaaraha</t>
  </si>
  <si>
    <t>Gaadiidka &amp; Mishiinada (xafiska samafalka)</t>
  </si>
  <si>
    <t>Kh.baadhista iyo R/Raaca taariikhda duugaa</t>
  </si>
  <si>
    <t>kh.wacyigalinta siyaasada dhalinyarada</t>
  </si>
  <si>
    <t xml:space="preserve">Noolka Safaradda xajka </t>
  </si>
  <si>
    <t>kh.dhiirigalinta mufasiriinta</t>
  </si>
  <si>
    <t>Martiqaadyada</t>
  </si>
  <si>
    <t>Gunno ( Lataliyaayaal)</t>
  </si>
  <si>
    <t>Kaalmada Hospitalka ceerigaabo</t>
  </si>
  <si>
    <t>kh.ilaalinta Macdanta</t>
  </si>
  <si>
    <t>Gaadiidka &amp; Mishiinada (safaarada london)</t>
  </si>
  <si>
    <t xml:space="preserve">Dhismaha Xafiska Sool </t>
  </si>
  <si>
    <t>Dhismaha jaamicada Badhan</t>
  </si>
  <si>
    <t>Dhismaha jaamicada Berbera</t>
  </si>
  <si>
    <t>Dhismaha waadhka Hospitalka TB</t>
  </si>
  <si>
    <t>Raashinka Dugsiga Agoomaha Har.Geb.Burco</t>
  </si>
  <si>
    <t xml:space="preserve">dhismaha AgoomahBurca </t>
  </si>
  <si>
    <t>Kaalmada waxbarashada ardayda Jaam.</t>
  </si>
  <si>
    <t xml:space="preserve">Kaalmada Dugsiyada </t>
  </si>
  <si>
    <t>Hay'adda Dhawrista tayada</t>
  </si>
  <si>
    <t>Hay'adda Xidhiidhka Raashinka qaranka</t>
  </si>
  <si>
    <t>Hay'ada Maamulwanaaga iyo La-dagaalanka Mus</t>
  </si>
  <si>
    <t>Guddiga Baadhista Xasuuqa.</t>
  </si>
  <si>
    <t>Kaalmooyinka qaybaha kale ee Ciimada</t>
  </si>
  <si>
    <t>Iibsiga Qalabka xafiisyada</t>
  </si>
  <si>
    <t>Dhismaha masaajidadda. (saalixiya Burco)</t>
  </si>
  <si>
    <t>Kaalmada Kuliyada saraakiisha ciidanka dararweyne</t>
  </si>
  <si>
    <t>guno hawleed</t>
  </si>
  <si>
    <t>kharashka codbixiyayaasha dadweynaha</t>
  </si>
  <si>
    <t>kh.qiimeynta &amp;.dabagaka mash hay'ddaha calam/dowla</t>
  </si>
  <si>
    <t>dhismaha deyrka dhulka warshadaha.buro</t>
  </si>
  <si>
    <t>Wasaaradda  Madaxtooyadda.</t>
  </si>
  <si>
    <t xml:space="preserve">W/Kalluumaysiga iyo  Khayraadka Badda </t>
  </si>
  <si>
    <t>Comishanka Qaranka ee la dagaalanka HIV/AIDKA</t>
  </si>
  <si>
    <t>W/Ganacsiga Maalgashiga Caalamiga</t>
  </si>
  <si>
    <t>Hay'adda Abaabul kasaarka Qaranka</t>
  </si>
  <si>
    <t>Hay'adda Deg.Cilmi.iyo diyargarowga dhibaatooyinka</t>
  </si>
  <si>
    <t>Cashuuraha Dakhliga</t>
  </si>
  <si>
    <t>Dakhliga ruqsadaha Biyaha iyo kuwa kale</t>
  </si>
  <si>
    <t>Dakhliga Ruqsadaha Beeraha iyo kuwa Kale</t>
  </si>
  <si>
    <t>Dakh/Feega  Royalityga Dekeda</t>
  </si>
  <si>
    <t>Export Tax (Cashuurta soo Dejinta)</t>
  </si>
  <si>
    <t>Dakhliga Hantida</t>
  </si>
  <si>
    <t>Fiiga Gelista iyo Bixista Madaarada</t>
  </si>
  <si>
    <t>Fiiga Iibka Baasaaboorada</t>
  </si>
  <si>
    <t>W/beeraha</t>
  </si>
  <si>
    <t>fuel levy</t>
  </si>
  <si>
    <t>Kabka D/Hoose</t>
  </si>
  <si>
    <t>Wasaaradda Biyaha</t>
  </si>
  <si>
    <t>Miis.2015</t>
  </si>
  <si>
    <t>Miis. 2015</t>
  </si>
  <si>
    <t>Miis.2105</t>
  </si>
  <si>
    <t>Miis 2015</t>
  </si>
  <si>
    <t>Miis .2015</t>
  </si>
  <si>
    <t>21101a</t>
  </si>
  <si>
    <t>22202a</t>
  </si>
  <si>
    <t>22208a</t>
  </si>
  <si>
    <t xml:space="preserve">Iibsiga Hantida Raagta </t>
  </si>
  <si>
    <t>22112a</t>
  </si>
  <si>
    <t>21102a</t>
  </si>
  <si>
    <t>21102b</t>
  </si>
  <si>
    <t>Dhimayaasha</t>
  </si>
  <si>
    <t>Iibsiga Hantidda Kale ee dowlada</t>
  </si>
  <si>
    <t>Iibsiga Hantidda kale ee dowladda</t>
  </si>
  <si>
    <t>Barnaamijyadda Hawlaha Shaqo ee Xafiiska M/Xigeenka</t>
  </si>
  <si>
    <t>Barnaamujyada Hawlaha shaqo ee Xafiiska W/G/Bari</t>
  </si>
  <si>
    <t>Iibsiga Hantidda kale ee Dowladda</t>
  </si>
  <si>
    <t>Iibsiga Hantida kale ee dowlada( Qalabka Cidanka)</t>
  </si>
  <si>
    <t>Raadraac iyo Baadhista Taariikhada( SNM)</t>
  </si>
  <si>
    <t>kharashka nabadgalyada( 2 Askari)</t>
  </si>
  <si>
    <t xml:space="preserve">Biilasha Taagan </t>
  </si>
  <si>
    <t>Iibsiga hantida kale (Qalabka ciidanka)</t>
  </si>
  <si>
    <r>
      <rPr>
        <sz val="20"/>
        <rFont val="Arial Narrow"/>
        <family val="2"/>
      </rPr>
      <t>Mushaharka Shaqaalaha Askarta Turbataariyadda</t>
    </r>
    <r>
      <rPr>
        <b/>
        <sz val="20"/>
        <rFont val="Arial Narrow"/>
        <family val="2"/>
      </rPr>
      <t>.</t>
    </r>
  </si>
  <si>
    <t>Iibsiga hantida kale (Qalabka ciidanka Qaranka )</t>
  </si>
  <si>
    <t>Iibsiga hantida kale (Qalabka ciidanka Booliska )</t>
  </si>
  <si>
    <t>Iibsiga hantida kale (doonyaha wasaarada maaliyada)</t>
  </si>
  <si>
    <t>Iibsiga hantida kale (Madbacada dawan)</t>
  </si>
  <si>
    <t>Iibsiga Hantida kale ee dowlada</t>
  </si>
  <si>
    <t>`23101</t>
  </si>
  <si>
    <t>Daryeelka Hantida kale ee dowladda</t>
  </si>
  <si>
    <t xml:space="preserve">Iibsiga Gaadiidka </t>
  </si>
  <si>
    <t>Daryeelka Hantidda kale ee Dawladda.(dugsiyo)</t>
  </si>
  <si>
    <t>Kharashka Gaarkaa  Cisbitaalka Sheekh</t>
  </si>
  <si>
    <t>Iibsiga Hantida kale (Roog)</t>
  </si>
  <si>
    <t>Dhiirigalinta</t>
  </si>
  <si>
    <t>Bar.Hawlaha shaqo ee Xafiiska Samafalka Madax</t>
  </si>
  <si>
    <t xml:space="preserve">Biilasha Taaagan </t>
  </si>
  <si>
    <t>Dar.Hantida kale (Wershadaha)</t>
  </si>
  <si>
    <t>021 GOLAHA GUURTIDA</t>
  </si>
  <si>
    <t xml:space="preserve">031 GOLAHA WAKIILADA </t>
  </si>
  <si>
    <t>041 MAXKAMADA SARE</t>
  </si>
  <si>
    <t>051 XEER-ILAALINTA QARANKA</t>
  </si>
  <si>
    <t>061 HAYADA SHAQAALAHA DAWLADA</t>
  </si>
  <si>
    <t>071 HANTI-DHAWRKA GUUD EE QARANKA</t>
  </si>
  <si>
    <t>081 W.MADAXTOOYADA</t>
  </si>
  <si>
    <t>082 CIIDANKA ILAALADA MADAXTOOYADA</t>
  </si>
  <si>
    <t xml:space="preserve">083 GARYAQAANKA GUUD </t>
  </si>
  <si>
    <t>084 HAY'ADDA SIRDOONKA QARANKA</t>
  </si>
  <si>
    <t>085 JIMCIYADA SOOYAAL</t>
  </si>
  <si>
    <t xml:space="preserve">091 W.ARIMAHA DIBADDA </t>
  </si>
  <si>
    <t>101 W. CADAALADA IYO GARSOORKA</t>
  </si>
  <si>
    <t xml:space="preserve">102 CIIDANKA ASLUUBTA </t>
  </si>
  <si>
    <t>103. MAXKAMADA HOOSE</t>
  </si>
  <si>
    <t>104 GUDIGA XUQUUQAL-INSAANKA QARANKA</t>
  </si>
  <si>
    <t>105 GUDIGA DIB-U HABAYNTA SHURUUCDA</t>
  </si>
  <si>
    <t>111 W/arimaha gudaha</t>
  </si>
  <si>
    <t xml:space="preserve">112. CIIDANKA BOOLIISKA </t>
  </si>
  <si>
    <t>113. CIIDANKA ILAALADA XEEBAHA</t>
  </si>
  <si>
    <t>115 LAANTA SOCDAALKA</t>
  </si>
  <si>
    <t>121 WASAARADA W.FAAFINTA DH. IYO WACYIGALINTA</t>
  </si>
  <si>
    <t>131. W.GAASHANDHIGA</t>
  </si>
  <si>
    <t>132. CIIDANKA QARANKA</t>
  </si>
  <si>
    <t xml:space="preserve">141 W. QORSHAYNTA QARANKA </t>
  </si>
  <si>
    <t>151 W. MAALIYADA</t>
  </si>
  <si>
    <t>152 KHASNADA GUUD EE QARANKA</t>
  </si>
  <si>
    <t>161 W. GANACSIGA IYO MAALGASHIGA CAALAMIGA AH</t>
  </si>
  <si>
    <t>171 W.MACDANTA IYO TAMARTA</t>
  </si>
  <si>
    <t>181 W.KALUUMAYSIGA IYO KHAYRAADKA BADDA</t>
  </si>
  <si>
    <t>191 W.BEERAHA</t>
  </si>
  <si>
    <t>201 W. XANAANADA XOOLAHA</t>
  </si>
  <si>
    <t>211 W. BOOSAHA IYO ISGAADHSIINTA</t>
  </si>
  <si>
    <t>221 W. WAXBARASHADA</t>
  </si>
  <si>
    <t>222 AGAASIMKA TACLIINTA SARE</t>
  </si>
  <si>
    <t>223 GUDIDA TACLIINTA SARE</t>
  </si>
  <si>
    <t>231 W.CAAFIMAADKA</t>
  </si>
  <si>
    <t>241 W.DIINTA IYO AWQAAFTA</t>
  </si>
  <si>
    <t>251 W.HAWLAHA GUUD ,GAADIIKA IYO GURIYAYNTA</t>
  </si>
  <si>
    <t>261 W.DUULISTA IYO HAWADA</t>
  </si>
  <si>
    <t>271-HAY'ADDA ABAABULKASAARKA QARANKA (N.D.R.C)</t>
  </si>
  <si>
    <t>291 WASARADA XIDH. GOLAYAASHA CILM. B. IYO TECH</t>
  </si>
  <si>
    <t>301 WASAARADA SHAQADA IYO ARIMAHA BULSHADA</t>
  </si>
  <si>
    <t xml:space="preserve">311 W.CIYAARAHA DHALINYARADA IYO DALXIISKA </t>
  </si>
  <si>
    <t>321 GUDIDA DOORASHOOYINKA QARANKA</t>
  </si>
  <si>
    <t>331 GUDIDA QANDARAASYADA QARANKA</t>
  </si>
  <si>
    <t>341- HAY'ADA DEEGANKA, CILMIBADHISTA IYO U DIYARGAWGA DHIB. (NERAD)</t>
  </si>
  <si>
    <t>381-HAY'ADDA DHAWRISTA TAYADA (Q. C)</t>
  </si>
  <si>
    <t>391-KOMISHANKA MAAULWANAAGA &amp; LA DAGAANKAKA M/MAASUQA.</t>
  </si>
  <si>
    <t>401 W. DIB-U-DAJINTA</t>
  </si>
  <si>
    <t>411 W.DEEGAANKA IYO REERMIYIGA</t>
  </si>
  <si>
    <t>421 XAFIISKA GUDIGA FURASHADA URURADA</t>
  </si>
  <si>
    <t>431. WASAARADA WARSHADAHA</t>
  </si>
  <si>
    <t>441 WASAARADA BIYAHA</t>
  </si>
  <si>
    <t xml:space="preserve">Dhis.Xafiisyadda &amp; Guryaha </t>
  </si>
  <si>
    <t>Iibsiga hantida kale ( qalabka jeelasha)</t>
  </si>
  <si>
    <t>Kh.faafinta  Dib u Habeeynta  Shuruucada</t>
  </si>
  <si>
    <t xml:space="preserve">Mushaharka Shaqaalaha Ciidamadda  joogtada </t>
  </si>
  <si>
    <t>Mushaharka (Naafada Qaranka</t>
  </si>
  <si>
    <t>011</t>
  </si>
  <si>
    <t>012</t>
  </si>
  <si>
    <t>114-HAY'ADA MIINOSAARKA QARANKA</t>
  </si>
  <si>
    <t>031</t>
  </si>
  <si>
    <t>013</t>
  </si>
  <si>
    <t>021</t>
  </si>
  <si>
    <t>041</t>
  </si>
  <si>
    <t>051</t>
  </si>
  <si>
    <t>061</t>
  </si>
  <si>
    <t>071</t>
  </si>
  <si>
    <t>081</t>
  </si>
  <si>
    <t>082</t>
  </si>
  <si>
    <t>083</t>
  </si>
  <si>
    <t>084</t>
  </si>
  <si>
    <t>085</t>
  </si>
  <si>
    <t>091</t>
  </si>
  <si>
    <t>P.NO</t>
  </si>
  <si>
    <t>Dhismaha xarunta hayadda shaqaalaha</t>
  </si>
  <si>
    <t xml:space="preserve">Dhisme </t>
  </si>
  <si>
    <t>iibsiga Qalabka xafiisyadda</t>
  </si>
  <si>
    <t>Dhismaha Maxkamada</t>
  </si>
  <si>
    <t>Kh. Yaryar ee xafiiska</t>
  </si>
  <si>
    <t xml:space="preserve">Dhiirigalinta </t>
  </si>
  <si>
    <t xml:space="preserve">Dhismaha Garsoorka Bari </t>
  </si>
  <si>
    <t>Munaasibadaha Qaran ee 18May iyo 26June</t>
  </si>
  <si>
    <t>Kh. Diwaangalinta codbixiyayaasha</t>
  </si>
  <si>
    <t xml:space="preserve">Mashruuca Timirta </t>
  </si>
  <si>
    <t xml:space="preserve">Dhismaha Xarunta Dabdamiska </t>
  </si>
  <si>
    <t>Kaalmada Dhimirka Mujahidiintii SNM</t>
  </si>
  <si>
    <t xml:space="preserve">Capital Banka </t>
  </si>
  <si>
    <t xml:space="preserve">Kaalmooyinka Guud(Vet Board and Association </t>
  </si>
  <si>
    <t>Kaalmada Dugsiga Agoomaha Gabilay</t>
  </si>
  <si>
    <t>Kaamada Dugsiga Agoomaha Burco</t>
  </si>
  <si>
    <t xml:space="preserve">Gunno Lataliye + Hawleed </t>
  </si>
  <si>
    <t xml:space="preserve">Kharashka Nabadgalyadda </t>
  </si>
  <si>
    <t xml:space="preserve">Kaalmooyin </t>
  </si>
  <si>
    <t>Kaalmooyinka dadka Nugul</t>
  </si>
  <si>
    <t>dhisamaha Xarunta SONYO</t>
  </si>
  <si>
    <t>Tobabarka Imtixaanada (Feega Jaamacadaha)</t>
  </si>
  <si>
    <t>Cilmi baadhista iyo xog ururinta</t>
  </si>
  <si>
    <t>Kh. Barakacayaasha (IDPS)</t>
  </si>
  <si>
    <t xml:space="preserve">kh. Nabadgalyadda </t>
  </si>
  <si>
    <t>Iibsiga Hantida Kale (industrial soone)</t>
  </si>
  <si>
    <t xml:space="preserve">Dhismaha wasaaradda </t>
  </si>
  <si>
    <t>Kaalmada Degmo Center for heritage and rural life</t>
  </si>
  <si>
    <t>Qalabka Caafimaadka(Q. Mashiinka Kalyaha iyo iibsiga dawadiisa)</t>
  </si>
  <si>
    <t>Dhismaha Hospitalka Hargaysa (ICU)</t>
  </si>
  <si>
    <t>Gaadiidka &amp; Mishiinada (wiishka baabuurta qada)</t>
  </si>
  <si>
    <t>Kh. Nabadgalyada</t>
  </si>
  <si>
    <t>Raashinka iyo timirta Naafada Qaranka 3,052</t>
  </si>
  <si>
    <t xml:space="preserve">Kabka Raashinka </t>
  </si>
  <si>
    <t xml:space="preserve">Kh. Nabadgalyadda </t>
  </si>
  <si>
    <t xml:space="preserve">Dhismaha Library barbara </t>
  </si>
  <si>
    <t>Barnaamijyadda Hawlaha Shaqo ee xidhiidhada</t>
  </si>
  <si>
    <t>dhismaha xarumaha Borama iyo laascaanood</t>
  </si>
  <si>
    <t>Ijaarka Xafiiska Badhan</t>
  </si>
  <si>
    <t>Dhismeyaasha</t>
  </si>
  <si>
    <t xml:space="preserve">Dhismaha Jeelka Burco (first face) </t>
  </si>
  <si>
    <t>P.N0</t>
  </si>
  <si>
    <t xml:space="preserve">Gunno Lataliye </t>
  </si>
  <si>
    <t>Dhismayaasha (MCH)</t>
  </si>
  <si>
    <t xml:space="preserve">Gunno Lataliyayaal </t>
  </si>
  <si>
    <t>232 KOMISHANKA QARANKA MIHNADlEYDA CAAFIMAADKA</t>
  </si>
  <si>
    <t>Komishanka qaranka Mihnadleyda caafimaadka</t>
  </si>
  <si>
    <t>Guno lataliyayaal</t>
  </si>
  <si>
    <t>21105a</t>
  </si>
  <si>
    <t xml:space="preserve"> Kharashka  xafiiska (ICT)</t>
  </si>
  <si>
    <t>22132a</t>
  </si>
  <si>
    <t>Bar.Hawlaha shaqo ee Xafiiska Rashinka Qaranka</t>
  </si>
  <si>
    <t xml:space="preserve">Kh. Hawlaha TV-ga Qaranka </t>
  </si>
  <si>
    <t>Kh. Xafiisyadda dibada ee TV-ga Qaranka</t>
  </si>
  <si>
    <t xml:space="preserve">Kh. Satalite ka thaico iyo Hordird </t>
  </si>
  <si>
    <t xml:space="preserve">Iibsiga Barnaamijyadda TV-ga </t>
  </si>
  <si>
    <t>Iibsiga Hantidda kale (Qalabka idaacada iyo TV-ga)</t>
  </si>
  <si>
    <t>Biilasha taagan (Kirada guriga sanadkii hore)</t>
  </si>
  <si>
    <t xml:space="preserve">Dhismaha State houseka iyo maxkamada Baligubadle </t>
  </si>
  <si>
    <t>Kaalmada Academic And Art</t>
  </si>
  <si>
    <t>dhismaha derka Hargeysa Nursimg School</t>
  </si>
  <si>
    <t xml:space="preserve">Kh. Horumarinta Madaaradda </t>
  </si>
  <si>
    <t>Gaadiidka &amp; Mishiinada (Mishiinka Laydhka)</t>
  </si>
  <si>
    <t>Gaadiidka &amp; Mishiinada (Mareeye Kuxigeenka TV-ga)</t>
  </si>
  <si>
    <t>Kh. Dorashoyinka Barlamanka  iyo Madaxtooyada</t>
  </si>
  <si>
    <t>Kaalmada PFM-KA</t>
  </si>
  <si>
    <t>W.Diinta &amp; Awqaafta.</t>
  </si>
  <si>
    <t>W.Hawlaha Guud,Gaadiidka&amp; Guriyaynta</t>
  </si>
  <si>
    <t>Mushaharka (Naafada Booliiska+21 Naafo cusub)</t>
  </si>
  <si>
    <t>Raashinka iyo timirta ramadnta Naafada Booliiska 745</t>
  </si>
  <si>
    <t>Dhismaha Dhimirka Gabilay (Dhamaystir)</t>
  </si>
  <si>
    <t>Dhismayaal</t>
  </si>
  <si>
    <t>Dhismaha Dayrka iyo hoolka shirarka</t>
  </si>
  <si>
    <t>Kh. Xafiiska Baadhista xasuuqa</t>
  </si>
  <si>
    <t>Gaadiidka &amp; Mishiinada ( Xafiiska B.Xasuuqa)</t>
  </si>
  <si>
    <t>Dhismaha Mashruuca Wadooyinka ee ( export livestock levy)</t>
  </si>
  <si>
    <t>Iibsiga Hantida kale  (Cafcagaf)</t>
  </si>
  <si>
    <t>Gunno Hawleeda Xildhibaanada 82</t>
  </si>
  <si>
    <t>Gunno Hawleedka Xildhibaanada 82</t>
  </si>
  <si>
    <t>Qasriga Madaxtooyada JSL.</t>
  </si>
  <si>
    <t>Comishanka Qaranka ee la dagaalanka HIV/AIDS-KA</t>
  </si>
  <si>
    <t>Golaha Wakiilada JSL.</t>
  </si>
  <si>
    <t>Maxkamadda Sare.</t>
  </si>
  <si>
    <t>Xeer Ilaalinta Guud ee Qaranka.</t>
  </si>
  <si>
    <t>Hanti-dhawrka Guud ee Qaranka.</t>
  </si>
  <si>
    <t>Ciidanka Ilaaladda Madaxtooyada.</t>
  </si>
  <si>
    <t>W.Arrimaha Dibadda.</t>
  </si>
  <si>
    <t>Max-kamadda Hoose.</t>
  </si>
  <si>
    <t>Ciidanka Ilaalada Xeebaha.</t>
  </si>
  <si>
    <t>W.Warfaafinta, Wacyigelinta &amp; Dhaqanka .</t>
  </si>
  <si>
    <t>TV-ga Qaranka</t>
  </si>
  <si>
    <t>Wasaaradda Gaashandhigga.</t>
  </si>
  <si>
    <t>khasnada Guud ee Qaranka</t>
  </si>
  <si>
    <t>Wasaaradda Ganacsiga &amp; Maalgashiga Caalamiga</t>
  </si>
  <si>
    <t>Wasaaradda Macdanta &amp; Tamarta.</t>
  </si>
  <si>
    <t xml:space="preserve">Wasaaradda Kalluumaysiga iyo  Khayraadka Badda </t>
  </si>
  <si>
    <t>Wasaaradda Xanaannada Xoolaha</t>
  </si>
  <si>
    <t>Wasaaradda Boostada &amp; Isgaadhsiinta.</t>
  </si>
  <si>
    <t>Wasaaradda Waxbarashada &amp; Tacliinta Sare.</t>
  </si>
  <si>
    <t>Komishanka qaranka ee Mihnadlayaasha caafimadka</t>
  </si>
  <si>
    <t>Wasaaradda Diinta &amp; Awqaafta.</t>
  </si>
  <si>
    <t>Wasaaradda Hawlaha Guud,Gaadiidka&amp; Guriyaynta</t>
  </si>
  <si>
    <t xml:space="preserve">Wasaaradda Duulista &amp; Hawada. </t>
  </si>
  <si>
    <t>Wasaradda Xidh Golayaasha  Cilm. Badhis iyo Tech.</t>
  </si>
  <si>
    <t>Wasaaradda Shaqadda &amp; Arrimaha Bulshada.</t>
  </si>
  <si>
    <t>Hay'adda Deg.Cilmi.iyo u diyargarowga dhibaatooyinka</t>
  </si>
  <si>
    <t>Wasaaradda Ciyaaraha, Dhalinyarada &amp; Dalxiiska .</t>
  </si>
  <si>
    <t>Hay'adda Maamulwanaaga iyo La-dagaalanka Mus</t>
  </si>
  <si>
    <t xml:space="preserve">Wasaaraadda  dib u dajinta </t>
  </si>
  <si>
    <t>Wasaaradda Degaanka &amp; Horumarinta Reermiyiga</t>
  </si>
  <si>
    <t xml:space="preserve">Guddida Diwaangalinta Ururada </t>
  </si>
  <si>
    <t>Wasaaradda Wershadaha</t>
  </si>
  <si>
    <t>Hadhaaga Khasnadda Dawladda,31-Dec,2012,2013</t>
  </si>
  <si>
    <t xml:space="preserve">Khidmada adeega madaarada </t>
  </si>
  <si>
    <t>Cashuurta Diiwaangelinta Hantida</t>
  </si>
  <si>
    <t>Cashuurta Ganacsiga alaabta debeda</t>
  </si>
  <si>
    <t>Cashuurta.H.W Dhoofka Xoolaha</t>
  </si>
  <si>
    <t>Cashuurta Horumarinta wadada</t>
  </si>
  <si>
    <t>Dakhliga Iibsiga Alaabta iyo Adeega</t>
  </si>
  <si>
    <t>Dakh/ Darawalnimada</t>
  </si>
  <si>
    <t>Dakhliga Buuga Lahaanshaha Gaadiidka</t>
  </si>
  <si>
    <t>Khidmada Galista iyo bixiista Baasabooradda Wadaniga</t>
  </si>
  <si>
    <t>Ganaaxyada/lawaregista</t>
  </si>
  <si>
    <t>2% Qaadhaanka horumarintaGobolada Bariga</t>
  </si>
  <si>
    <t xml:space="preserve">Kaalmada Kabka Shidaalka Warshada laydhka barbara </t>
  </si>
  <si>
    <t>Mushaharka Shaqaalaha  joogtada ah TV-ga</t>
  </si>
  <si>
    <t>Guno hawleed TV-ga</t>
  </si>
  <si>
    <t>Kharashka Guud ee Miisaaniyadda Sannadka 2015.</t>
  </si>
  <si>
    <t>Sannadka 2015</t>
  </si>
  <si>
    <t>013 KOMISHANKA QARANKA EE LADAGAALNKA AIDS-ka</t>
  </si>
  <si>
    <t>Dulsaarka shidaalka(Fuel Levy)</t>
  </si>
  <si>
    <t>Dulsaarka wadada(Road Levy)</t>
  </si>
  <si>
    <t>Deeqda Hay'adaha dawladda</t>
  </si>
  <si>
    <t>Saamiga 50% ka Dakhliga Kabka D/Hoose</t>
  </si>
  <si>
    <t>Dulsaarka liisamada Gaadiidka(License Levy)</t>
  </si>
  <si>
    <t>Embarcation Fees for Foreings</t>
  </si>
  <si>
    <t>Qaadhaanka Guud</t>
  </si>
  <si>
    <t>S/N</t>
  </si>
  <si>
    <t>Percentage %</t>
  </si>
  <si>
    <t>Hadhaaga Khasnadda ee  Dec,31,2013</t>
  </si>
  <si>
    <t>Cashuuraha Berriga</t>
  </si>
  <si>
    <t>Hawlaha Guud (kiro)</t>
  </si>
  <si>
    <t>W/Macdanta</t>
  </si>
  <si>
    <t>W/R/Miyiga</t>
  </si>
  <si>
    <t>iIbka Baasaaboorada</t>
  </si>
  <si>
    <t>Iibka Hantida  Dawladda</t>
  </si>
  <si>
    <t>Daabacaada Lacagta</t>
  </si>
  <si>
    <t>2% G/ Bariga</t>
  </si>
  <si>
    <t>Kh. BanayntaMadarka Cigaal International Airport</t>
  </si>
  <si>
    <r>
      <t xml:space="preserve">Ka qayb qaadashada Dhismaha Madaarka </t>
    </r>
    <r>
      <rPr>
        <i/>
        <sz val="20"/>
        <rFont val="Arial Narrow"/>
        <family val="2"/>
      </rPr>
      <t>Burco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</si>
</sst>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8">
    <font>
      <sz val="10"/>
      <name val="Times New Roman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4"/>
      <name val="Rockwell"/>
      <family val="1"/>
    </font>
    <font>
      <b/>
      <sz val="12"/>
      <name val="CG Omega"/>
      <family val="2"/>
    </font>
    <font>
      <sz val="12"/>
      <name val="CG Omega"/>
      <family val="2"/>
    </font>
    <font>
      <sz val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name val="CG Omega"/>
      <family val="2"/>
    </font>
    <font>
      <b/>
      <sz val="8"/>
      <name val="CG Omega"/>
      <family val="2"/>
    </font>
    <font>
      <b/>
      <sz val="10"/>
      <name val="CG Omega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name val="CG Omega"/>
      <family val="2"/>
    </font>
    <font>
      <sz val="10"/>
      <name val="CG Omega"/>
      <family val="2"/>
    </font>
    <font>
      <b/>
      <sz val="9"/>
      <name val="Times New Roman"/>
      <family val="1"/>
    </font>
    <font>
      <sz val="18"/>
      <name val="Arial Narrow"/>
      <family val="2"/>
    </font>
    <font>
      <sz val="14"/>
      <name val="CG Omega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b/>
      <sz val="18"/>
      <name val="Arial"/>
      <family val="2"/>
    </font>
    <font>
      <sz val="14"/>
      <name val="Arial Narrow"/>
      <family val="2"/>
    </font>
    <font>
      <sz val="12"/>
      <name val="Times New Roman"/>
      <family val="1"/>
    </font>
    <font>
      <sz val="22"/>
      <name val="Arial Narrow"/>
      <family val="2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8"/>
      <name val="Times New Roman"/>
      <family val="1"/>
    </font>
    <font>
      <sz val="18"/>
      <name val="CG Omega"/>
      <family val="2"/>
    </font>
    <font>
      <b/>
      <sz val="20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0"/>
      <name val="CG Omega"/>
      <family val="2"/>
    </font>
    <font>
      <sz val="20"/>
      <name val="Arial Narrow"/>
      <family val="2"/>
    </font>
    <font>
      <sz val="14"/>
      <color theme="1"/>
      <name val="Times New Roman"/>
      <family val="1"/>
    </font>
    <font>
      <sz val="18"/>
      <name val="Times New Roman"/>
      <family val="1"/>
    </font>
    <font>
      <sz val="9"/>
      <name val="Arial Narrow"/>
      <family val="2"/>
    </font>
    <font>
      <b/>
      <sz val="18"/>
      <color theme="1"/>
      <name val="Arial Narrow"/>
      <family val="2"/>
    </font>
    <font>
      <b/>
      <sz val="16"/>
      <color indexed="12"/>
      <name val="CG Omega"/>
      <family val="2"/>
    </font>
    <font>
      <sz val="16"/>
      <color indexed="12"/>
      <name val="Times New Roman"/>
      <family val="1"/>
    </font>
    <font>
      <sz val="20"/>
      <name val="Times New Roman"/>
      <family val="1"/>
    </font>
    <font>
      <sz val="18"/>
      <color indexed="8"/>
      <name val="Arial Narrow"/>
      <family val="2"/>
    </font>
    <font>
      <sz val="16"/>
      <name val="Arial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20"/>
      <color theme="1"/>
      <name val="Arial Narrow"/>
      <family val="2"/>
    </font>
    <font>
      <b/>
      <i/>
      <sz val="20"/>
      <name val="Arial Narrow"/>
      <family val="2"/>
    </font>
    <font>
      <sz val="10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i/>
      <sz val="20"/>
      <name val="Arial Narrow"/>
      <family val="2"/>
    </font>
    <font>
      <sz val="11"/>
      <color rgb="FF9C6500"/>
      <name val="Calibri"/>
      <family val="2"/>
      <scheme val="minor"/>
    </font>
    <font>
      <b/>
      <sz val="17"/>
      <name val="Arial Narrow"/>
      <family val="2"/>
    </font>
    <font>
      <sz val="17"/>
      <name val="Arial Narrow"/>
      <family val="2"/>
    </font>
    <font>
      <b/>
      <sz val="17"/>
      <color theme="1"/>
      <name val="Arial Narrow"/>
      <family val="2"/>
    </font>
    <font>
      <b/>
      <sz val="14"/>
      <name val="Arial Narrow"/>
      <family val="2"/>
    </font>
    <font>
      <sz val="20"/>
      <color theme="1"/>
      <name val="Arial Narrow"/>
      <family val="2"/>
    </font>
    <font>
      <b/>
      <sz val="20"/>
      <name val="CG Omega"/>
      <family val="2"/>
    </font>
    <font>
      <b/>
      <u/>
      <sz val="18"/>
      <name val="Arial Narrow"/>
      <family val="2"/>
    </font>
    <font>
      <b/>
      <u/>
      <sz val="18"/>
      <color theme="1"/>
      <name val="Arial Narrow"/>
      <family val="2"/>
    </font>
    <font>
      <sz val="18"/>
      <color theme="1"/>
      <name val="Arial Narrow"/>
      <family val="2"/>
    </font>
    <font>
      <u/>
      <sz val="18"/>
      <name val="Arial Narrow"/>
      <family val="2"/>
    </font>
    <font>
      <u/>
      <sz val="18"/>
      <color theme="1"/>
      <name val="Arial Narrow"/>
      <family val="2"/>
    </font>
    <font>
      <b/>
      <u val="singleAccounting"/>
      <sz val="18"/>
      <color theme="1"/>
      <name val="Arial Narrow"/>
      <family val="2"/>
    </font>
    <font>
      <u val="singleAccounting"/>
      <sz val="18"/>
      <name val="Arial Narrow"/>
      <family val="2"/>
    </font>
    <font>
      <i/>
      <sz val="18"/>
      <color theme="1"/>
      <name val="Arial Narrow"/>
      <family val="2"/>
    </font>
    <font>
      <b/>
      <i/>
      <sz val="18"/>
      <color theme="1"/>
      <name val="Arial Narrow"/>
      <family val="2"/>
    </font>
    <font>
      <b/>
      <u val="singleAccounting"/>
      <sz val="18"/>
      <name val="Arial Narrow"/>
      <family val="2"/>
    </font>
    <font>
      <b/>
      <sz val="26"/>
      <color theme="1"/>
      <name val="Agency FB"/>
      <family val="2"/>
    </font>
    <font>
      <sz val="11"/>
      <color theme="1"/>
      <name val="Arial Narrow"/>
      <family val="2"/>
    </font>
    <font>
      <u val="singleAccounting"/>
      <sz val="18"/>
      <color theme="1"/>
      <name val="Arial Narrow"/>
      <family val="2"/>
    </font>
    <font>
      <sz val="1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55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6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2" fillId="0" borderId="0" xfId="1" applyNumberFormat="1" applyFont="1"/>
    <xf numFmtId="164" fontId="22" fillId="0" borderId="0" xfId="1" applyNumberFormat="1" applyFont="1"/>
    <xf numFmtId="3" fontId="12" fillId="0" borderId="0" xfId="0" applyNumberFormat="1" applyFont="1" applyAlignment="1">
      <alignment horizontal="right"/>
    </xf>
    <xf numFmtId="0" fontId="43" fillId="0" borderId="0" xfId="0" applyFont="1"/>
    <xf numFmtId="0" fontId="2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right"/>
    </xf>
    <xf numFmtId="164" fontId="27" fillId="0" borderId="0" xfId="1" applyNumberFormat="1" applyFont="1"/>
    <xf numFmtId="164" fontId="51" fillId="0" borderId="0" xfId="1" applyNumberFormat="1" applyFont="1"/>
    <xf numFmtId="164" fontId="52" fillId="0" borderId="0" xfId="1" applyNumberFormat="1" applyFont="1"/>
    <xf numFmtId="164" fontId="43" fillId="0" borderId="0" xfId="1" applyNumberFormat="1" applyFont="1"/>
    <xf numFmtId="164" fontId="27" fillId="0" borderId="0" xfId="1" applyNumberFormat="1" applyFont="1" applyAlignment="1">
      <alignment horizontal="center"/>
    </xf>
    <xf numFmtId="164" fontId="0" fillId="0" borderId="0" xfId="1" applyNumberFormat="1" applyFont="1"/>
    <xf numFmtId="0" fontId="23" fillId="0" borderId="1" xfId="0" applyFont="1" applyBorder="1" applyAlignment="1">
      <alignment vertical="center"/>
    </xf>
    <xf numFmtId="164" fontId="23" fillId="0" borderId="1" xfId="1" applyNumberFormat="1" applyFont="1" applyBorder="1" applyAlignment="1">
      <alignment vertical="center"/>
    </xf>
    <xf numFmtId="164" fontId="23" fillId="0" borderId="1" xfId="1" applyNumberFormat="1" applyFont="1" applyFill="1" applyBorder="1" applyAlignment="1">
      <alignment vertical="center"/>
    </xf>
    <xf numFmtId="0" fontId="29" fillId="0" borderId="1" xfId="1" applyNumberFormat="1" applyFont="1" applyBorder="1" applyAlignment="1">
      <alignment horizontal="center" vertical="center"/>
    </xf>
    <xf numFmtId="164" fontId="29" fillId="0" borderId="1" xfId="1" applyNumberFormat="1" applyFont="1" applyBorder="1" applyAlignment="1">
      <alignment horizontal="left" vertical="center"/>
    </xf>
    <xf numFmtId="164" fontId="29" fillId="0" borderId="1" xfId="1" applyNumberFormat="1" applyFont="1" applyBorder="1" applyAlignment="1">
      <alignment horizontal="center" vertical="center"/>
    </xf>
    <xf numFmtId="164" fontId="29" fillId="0" borderId="3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" xfId="1" applyNumberFormat="1" applyFont="1" applyBorder="1" applyAlignment="1">
      <alignment horizontal="left" vertical="center"/>
    </xf>
    <xf numFmtId="164" fontId="23" fillId="0" borderId="3" xfId="1" applyNumberFormat="1" applyFont="1" applyBorder="1" applyAlignment="1">
      <alignment vertical="center"/>
    </xf>
    <xf numFmtId="164" fontId="23" fillId="0" borderId="3" xfId="1" applyNumberFormat="1" applyFont="1" applyFill="1" applyBorder="1" applyAlignment="1">
      <alignment vertical="center"/>
    </xf>
    <xf numFmtId="164" fontId="23" fillId="0" borderId="1" xfId="1" applyNumberFormat="1" applyFont="1" applyBorder="1" applyAlignment="1">
      <alignment horizontal="right" vertical="center"/>
    </xf>
    <xf numFmtId="0" fontId="54" fillId="0" borderId="1" xfId="1" applyNumberFormat="1" applyFont="1" applyBorder="1" applyAlignment="1">
      <alignment horizontal="left" vertical="center"/>
    </xf>
    <xf numFmtId="164" fontId="30" fillId="0" borderId="1" xfId="1" applyNumberFormat="1" applyFont="1" applyBorder="1" applyAlignment="1">
      <alignment vertical="center"/>
    </xf>
    <xf numFmtId="164" fontId="54" fillId="0" borderId="1" xfId="1" applyNumberFormat="1" applyFont="1" applyBorder="1" applyAlignment="1">
      <alignment vertical="center"/>
    </xf>
    <xf numFmtId="0" fontId="23" fillId="0" borderId="5" xfId="1" applyNumberFormat="1" applyFont="1" applyBorder="1" applyAlignment="1">
      <alignment horizontal="left" vertical="center"/>
    </xf>
    <xf numFmtId="0" fontId="54" fillId="0" borderId="5" xfId="1" applyNumberFormat="1" applyFont="1" applyBorder="1" applyAlignment="1">
      <alignment horizontal="left" vertical="center"/>
    </xf>
    <xf numFmtId="164" fontId="54" fillId="0" borderId="5" xfId="1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164" fontId="23" fillId="0" borderId="1" xfId="1" quotePrefix="1" applyNumberFormat="1" applyFont="1" applyBorder="1" applyAlignment="1">
      <alignment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164" fontId="23" fillId="0" borderId="5" xfId="0" applyNumberFormat="1" applyFont="1" applyBorder="1" applyAlignment="1">
      <alignment vertical="center"/>
    </xf>
    <xf numFmtId="164" fontId="23" fillId="0" borderId="5" xfId="0" applyNumberFormat="1" applyFont="1" applyFill="1" applyBorder="1" applyAlignment="1">
      <alignment vertical="center"/>
    </xf>
    <xf numFmtId="164" fontId="23" fillId="0" borderId="5" xfId="1" applyNumberFormat="1" applyFont="1" applyBorder="1" applyAlignment="1">
      <alignment vertical="center"/>
    </xf>
    <xf numFmtId="0" fontId="48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164" fontId="29" fillId="0" borderId="6" xfId="0" applyNumberFormat="1" applyFont="1" applyBorder="1" applyAlignment="1">
      <alignment vertical="center"/>
    </xf>
    <xf numFmtId="0" fontId="13" fillId="0" borderId="0" xfId="0" applyFont="1" applyFill="1"/>
    <xf numFmtId="0" fontId="1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164" fontId="59" fillId="0" borderId="0" xfId="1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164" fontId="57" fillId="0" borderId="0" xfId="1" applyNumberFormat="1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59" fillId="0" borderId="8" xfId="0" applyFont="1" applyBorder="1" applyAlignment="1">
      <alignment horizontal="left"/>
    </xf>
    <xf numFmtId="164" fontId="59" fillId="0" borderId="12" xfId="1" applyNumberFormat="1" applyFont="1" applyBorder="1" applyAlignment="1">
      <alignment horizontal="left"/>
    </xf>
    <xf numFmtId="164" fontId="46" fillId="2" borderId="1" xfId="1" applyNumberFormat="1" applyFont="1" applyFill="1" applyBorder="1"/>
    <xf numFmtId="164" fontId="46" fillId="0" borderId="1" xfId="1" applyNumberFormat="1" applyFont="1" applyFill="1" applyBorder="1"/>
    <xf numFmtId="164" fontId="39" fillId="0" borderId="1" xfId="1" applyNumberFormat="1" applyFont="1" applyFill="1" applyBorder="1"/>
    <xf numFmtId="164" fontId="46" fillId="0" borderId="1" xfId="1" applyNumberFormat="1" applyFont="1" applyFill="1" applyBorder="1" applyAlignment="1">
      <alignment vertical="center"/>
    </xf>
    <xf numFmtId="164" fontId="46" fillId="2" borderId="1" xfId="1" applyNumberFormat="1" applyFont="1" applyFill="1" applyBorder="1" applyAlignment="1">
      <alignment horizontal="right"/>
    </xf>
    <xf numFmtId="0" fontId="46" fillId="0" borderId="1" xfId="0" applyFont="1" applyFill="1" applyBorder="1"/>
    <xf numFmtId="164" fontId="46" fillId="0" borderId="1" xfId="0" applyNumberFormat="1" applyFont="1" applyFill="1" applyBorder="1"/>
    <xf numFmtId="164" fontId="0" fillId="0" borderId="0" xfId="1" applyNumberFormat="1" applyFont="1" applyAlignment="1">
      <alignment vertical="center"/>
    </xf>
    <xf numFmtId="164" fontId="39" fillId="0" borderId="1" xfId="1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164" fontId="46" fillId="0" borderId="1" xfId="0" applyNumberFormat="1" applyFont="1" applyFill="1" applyBorder="1" applyAlignment="1">
      <alignment vertical="center"/>
    </xf>
    <xf numFmtId="164" fontId="39" fillId="0" borderId="1" xfId="0" applyNumberFormat="1" applyFont="1" applyFill="1" applyBorder="1"/>
    <xf numFmtId="164" fontId="29" fillId="0" borderId="1" xfId="1" applyNumberFormat="1" applyFont="1" applyBorder="1" applyAlignment="1">
      <alignment vertical="center"/>
    </xf>
    <xf numFmtId="164" fontId="27" fillId="0" borderId="0" xfId="1" applyNumberFormat="1" applyFont="1" applyAlignment="1"/>
    <xf numFmtId="164" fontId="29" fillId="0" borderId="6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9" fontId="57" fillId="0" borderId="8" xfId="5" applyFont="1" applyBorder="1" applyAlignment="1">
      <alignment horizontal="center"/>
    </xf>
    <xf numFmtId="9" fontId="59" fillId="0" borderId="13" xfId="5" applyFont="1" applyBorder="1" applyAlignment="1">
      <alignment horizontal="center"/>
    </xf>
    <xf numFmtId="0" fontId="39" fillId="0" borderId="1" xfId="0" applyFont="1" applyFill="1" applyBorder="1"/>
    <xf numFmtId="0" fontId="39" fillId="0" borderId="1" xfId="0" applyFont="1" applyFill="1" applyBorder="1" applyAlignment="1">
      <alignment horizontal="center"/>
    </xf>
    <xf numFmtId="0" fontId="0" fillId="0" borderId="0" xfId="0" applyFill="1"/>
    <xf numFmtId="0" fontId="14" fillId="0" borderId="0" xfId="0" applyFont="1" applyFill="1"/>
    <xf numFmtId="164" fontId="46" fillId="0" borderId="1" xfId="2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64" fontId="39" fillId="0" borderId="1" xfId="2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64" fontId="39" fillId="0" borderId="1" xfId="2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 vertical="center"/>
    </xf>
    <xf numFmtId="0" fontId="39" fillId="0" borderId="1" xfId="1" applyNumberFormat="1" applyFont="1" applyFill="1" applyBorder="1" applyAlignment="1">
      <alignment horizontal="left" vertical="center"/>
    </xf>
    <xf numFmtId="0" fontId="13" fillId="0" borderId="1" xfId="0" applyFont="1" applyFill="1" applyBorder="1"/>
    <xf numFmtId="164" fontId="23" fillId="0" borderId="1" xfId="0" applyNumberFormat="1" applyFont="1" applyBorder="1" applyAlignment="1">
      <alignment vertical="center"/>
    </xf>
    <xf numFmtId="164" fontId="46" fillId="2" borderId="1" xfId="1" applyNumberFormat="1" applyFont="1" applyFill="1" applyBorder="1" applyAlignment="1">
      <alignment vertical="center"/>
    </xf>
    <xf numFmtId="164" fontId="46" fillId="2" borderId="1" xfId="0" applyNumberFormat="1" applyFont="1" applyFill="1" applyBorder="1"/>
    <xf numFmtId="0" fontId="1" fillId="2" borderId="0" xfId="0" applyFont="1" applyFill="1" applyAlignment="1">
      <alignment vertical="center"/>
    </xf>
    <xf numFmtId="41" fontId="69" fillId="2" borderId="1" xfId="1" applyNumberFormat="1" applyFont="1" applyFill="1" applyBorder="1" applyAlignment="1">
      <alignment vertical="center"/>
    </xf>
    <xf numFmtId="164" fontId="69" fillId="2" borderId="1" xfId="1" applyNumberFormat="1" applyFont="1" applyFill="1" applyBorder="1" applyAlignment="1">
      <alignment vertical="center"/>
    </xf>
    <xf numFmtId="41" fontId="68" fillId="2" borderId="1" xfId="1" applyNumberFormat="1" applyFont="1" applyFill="1" applyBorder="1" applyAlignment="1">
      <alignment vertical="center"/>
    </xf>
    <xf numFmtId="164" fontId="39" fillId="2" borderId="1" xfId="0" applyNumberFormat="1" applyFont="1" applyFill="1" applyBorder="1"/>
    <xf numFmtId="164" fontId="39" fillId="2" borderId="1" xfId="1" applyNumberFormat="1" applyFont="1" applyFill="1" applyBorder="1"/>
    <xf numFmtId="41" fontId="46" fillId="2" borderId="1" xfId="0" applyNumberFormat="1" applyFont="1" applyFill="1" applyBorder="1"/>
    <xf numFmtId="41" fontId="46" fillId="2" borderId="1" xfId="1" applyNumberFormat="1" applyFont="1" applyFill="1" applyBorder="1"/>
    <xf numFmtId="41" fontId="39" fillId="2" borderId="1" xfId="1" applyNumberFormat="1" applyFont="1" applyFill="1" applyBorder="1"/>
    <xf numFmtId="41" fontId="39" fillId="2" borderId="1" xfId="0" applyNumberFormat="1" applyFont="1" applyFill="1" applyBorder="1"/>
    <xf numFmtId="164" fontId="39" fillId="2" borderId="1" xfId="1" applyNumberFormat="1" applyFont="1" applyFill="1" applyBorder="1" applyAlignment="1">
      <alignment horizontal="right"/>
    </xf>
    <xf numFmtId="164" fontId="39" fillId="2" borderId="1" xfId="1" applyNumberFormat="1" applyFont="1" applyFill="1" applyBorder="1" applyAlignment="1">
      <alignment horizontal="center"/>
    </xf>
    <xf numFmtId="164" fontId="53" fillId="2" borderId="1" xfId="1" applyNumberFormat="1" applyFont="1" applyFill="1" applyBorder="1" applyAlignment="1">
      <alignment vertical="center"/>
    </xf>
    <xf numFmtId="164" fontId="46" fillId="2" borderId="1" xfId="2" applyNumberFormat="1" applyFont="1" applyFill="1" applyBorder="1" applyAlignment="1">
      <alignment vertical="center"/>
    </xf>
    <xf numFmtId="164" fontId="39" fillId="2" borderId="1" xfId="2" applyNumberFormat="1" applyFont="1" applyFill="1" applyBorder="1" applyAlignment="1">
      <alignment vertical="center"/>
    </xf>
    <xf numFmtId="3" fontId="46" fillId="2" borderId="1" xfId="0" applyNumberFormat="1" applyFont="1" applyFill="1" applyBorder="1"/>
    <xf numFmtId="3" fontId="39" fillId="2" borderId="1" xfId="0" applyNumberFormat="1" applyFont="1" applyFill="1" applyBorder="1"/>
    <xf numFmtId="0" fontId="46" fillId="2" borderId="1" xfId="0" applyFont="1" applyFill="1" applyBorder="1"/>
    <xf numFmtId="43" fontId="46" fillId="2" borderId="1" xfId="1" applyFont="1" applyFill="1" applyBorder="1"/>
    <xf numFmtId="43" fontId="46" fillId="2" borderId="1" xfId="1" applyFont="1" applyFill="1" applyBorder="1" applyAlignment="1"/>
    <xf numFmtId="164" fontId="46" fillId="2" borderId="1" xfId="0" applyNumberFormat="1" applyFont="1" applyFill="1" applyBorder="1" applyAlignment="1"/>
    <xf numFmtId="3" fontId="46" fillId="2" borderId="1" xfId="1" applyNumberFormat="1" applyFont="1" applyFill="1" applyBorder="1" applyAlignment="1">
      <alignment horizontal="right"/>
    </xf>
    <xf numFmtId="164" fontId="34" fillId="2" borderId="1" xfId="1" applyNumberFormat="1" applyFont="1" applyFill="1" applyBorder="1"/>
    <xf numFmtId="164" fontId="35" fillId="2" borderId="1" xfId="1" applyNumberFormat="1" applyFont="1" applyFill="1" applyBorder="1"/>
    <xf numFmtId="164" fontId="39" fillId="2" borderId="1" xfId="1" applyNumberFormat="1" applyFont="1" applyFill="1" applyBorder="1" applyAlignment="1">
      <alignment vertical="center"/>
    </xf>
    <xf numFmtId="41" fontId="69" fillId="2" borderId="1" xfId="0" applyNumberFormat="1" applyFont="1" applyFill="1" applyBorder="1" applyAlignment="1">
      <alignment vertical="center"/>
    </xf>
    <xf numFmtId="41" fontId="68" fillId="2" borderId="1" xfId="0" applyNumberFormat="1" applyFont="1" applyFill="1" applyBorder="1" applyAlignment="1">
      <alignment vertical="center"/>
    </xf>
    <xf numFmtId="164" fontId="46" fillId="2" borderId="1" xfId="1" applyNumberFormat="1" applyFont="1" applyFill="1" applyBorder="1" applyAlignment="1">
      <alignment horizontal="center"/>
    </xf>
    <xf numFmtId="164" fontId="46" fillId="2" borderId="1" xfId="1" applyNumberFormat="1" applyFont="1" applyFill="1" applyBorder="1" applyAlignment="1">
      <alignment horizontal="left"/>
    </xf>
    <xf numFmtId="164" fontId="39" fillId="2" borderId="1" xfId="1" applyNumberFormat="1" applyFont="1" applyFill="1" applyBorder="1" applyAlignment="1">
      <alignment horizontal="left"/>
    </xf>
    <xf numFmtId="164" fontId="46" fillId="2" borderId="1" xfId="1" applyNumberFormat="1" applyFont="1" applyFill="1" applyBorder="1" applyAlignment="1"/>
    <xf numFmtId="0" fontId="45" fillId="0" borderId="1" xfId="0" applyFont="1" applyFill="1" applyBorder="1" applyAlignment="1">
      <alignment vertical="center"/>
    </xf>
    <xf numFmtId="3" fontId="46" fillId="2" borderId="1" xfId="1" applyNumberFormat="1" applyFont="1" applyFill="1" applyBorder="1"/>
    <xf numFmtId="164" fontId="29" fillId="0" borderId="1" xfId="1" applyNumberFormat="1" applyFont="1" applyFill="1" applyBorder="1" applyAlignment="1">
      <alignment vertical="center"/>
    </xf>
    <xf numFmtId="164" fontId="23" fillId="2" borderId="1" xfId="1" applyNumberFormat="1" applyFont="1" applyFill="1" applyBorder="1" applyAlignment="1">
      <alignment vertical="center"/>
    </xf>
    <xf numFmtId="164" fontId="29" fillId="2" borderId="1" xfId="1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64" fontId="68" fillId="2" borderId="1" xfId="1" applyNumberFormat="1" applyFont="1" applyFill="1" applyBorder="1" applyAlignment="1">
      <alignment vertical="center"/>
    </xf>
    <xf numFmtId="164" fontId="69" fillId="2" borderId="1" xfId="0" applyNumberFormat="1" applyFont="1" applyFill="1" applyBorder="1" applyAlignment="1">
      <alignment vertical="center"/>
    </xf>
    <xf numFmtId="164" fontId="68" fillId="2" borderId="1" xfId="0" applyNumberFormat="1" applyFont="1" applyFill="1" applyBorder="1" applyAlignment="1">
      <alignment vertical="center"/>
    </xf>
    <xf numFmtId="164" fontId="23" fillId="2" borderId="1" xfId="1" applyNumberFormat="1" applyFont="1" applyFill="1" applyBorder="1" applyAlignment="1">
      <alignment horizontal="center" vertical="center"/>
    </xf>
    <xf numFmtId="3" fontId="39" fillId="2" borderId="1" xfId="1" applyNumberFormat="1" applyFont="1" applyFill="1" applyBorder="1"/>
    <xf numFmtId="43" fontId="39" fillId="2" borderId="1" xfId="1" applyFont="1" applyFill="1" applyBorder="1"/>
    <xf numFmtId="164" fontId="35" fillId="0" borderId="1" xfId="1" applyNumberFormat="1" applyFont="1" applyBorder="1" applyAlignment="1">
      <alignment vertical="center"/>
    </xf>
    <xf numFmtId="164" fontId="35" fillId="0" borderId="1" xfId="1" applyNumberFormat="1" applyFont="1" applyFill="1" applyBorder="1" applyAlignment="1">
      <alignment vertical="center"/>
    </xf>
    <xf numFmtId="0" fontId="39" fillId="2" borderId="1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vertical="center"/>
    </xf>
    <xf numFmtId="0" fontId="39" fillId="0" borderId="1" xfId="1" applyNumberFormat="1" applyFont="1" applyFill="1" applyBorder="1" applyAlignment="1">
      <alignment horizontal="left"/>
    </xf>
    <xf numFmtId="0" fontId="46" fillId="0" borderId="1" xfId="1" applyNumberFormat="1" applyFont="1" applyFill="1" applyBorder="1"/>
    <xf numFmtId="0" fontId="46" fillId="0" borderId="1" xfId="1" applyNumberFormat="1" applyFont="1" applyFill="1" applyBorder="1" applyAlignment="1">
      <alignment horizontal="left"/>
    </xf>
    <xf numFmtId="0" fontId="46" fillId="0" borderId="1" xfId="2" applyNumberFormat="1" applyFont="1" applyFill="1" applyBorder="1" applyAlignment="1">
      <alignment vertical="center"/>
    </xf>
    <xf numFmtId="0" fontId="39" fillId="0" borderId="1" xfId="2" applyNumberFormat="1" applyFont="1" applyFill="1" applyBorder="1" applyAlignment="1">
      <alignment vertical="center"/>
    </xf>
    <xf numFmtId="0" fontId="39" fillId="0" borderId="1" xfId="0" applyNumberFormat="1" applyFont="1" applyFill="1" applyBorder="1"/>
    <xf numFmtId="0" fontId="13" fillId="0" borderId="0" xfId="0" applyNumberFormat="1" applyFont="1" applyFill="1"/>
    <xf numFmtId="0" fontId="0" fillId="0" borderId="0" xfId="0" applyNumberFormat="1" applyFill="1"/>
    <xf numFmtId="0" fontId="2" fillId="0" borderId="0" xfId="0" applyFont="1" applyAlignment="1">
      <alignment horizontal="right" vertical="top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/>
    <xf numFmtId="3" fontId="27" fillId="0" borderId="1" xfId="0" applyNumberFormat="1" applyFont="1" applyBorder="1" applyAlignment="1">
      <alignment horizontal="right"/>
    </xf>
    <xf numFmtId="164" fontId="27" fillId="0" borderId="1" xfId="1" applyNumberFormat="1" applyFont="1" applyBorder="1"/>
    <xf numFmtId="164" fontId="51" fillId="0" borderId="1" xfId="1" applyNumberFormat="1" applyFont="1" applyBorder="1"/>
    <xf numFmtId="164" fontId="51" fillId="0" borderId="1" xfId="1" applyNumberFormat="1" applyFont="1" applyBorder="1" applyAlignment="1">
      <alignment horizontal="right"/>
    </xf>
    <xf numFmtId="0" fontId="51" fillId="0" borderId="1" xfId="1" applyNumberFormat="1" applyFont="1" applyBorder="1" applyAlignment="1">
      <alignment horizontal="left"/>
    </xf>
    <xf numFmtId="164" fontId="2" fillId="0" borderId="0" xfId="1" applyNumberFormat="1" applyFont="1" applyAlignment="1">
      <alignment horizontal="left"/>
    </xf>
    <xf numFmtId="0" fontId="46" fillId="0" borderId="1" xfId="2" applyNumberFormat="1" applyFont="1" applyFill="1" applyBorder="1" applyAlignment="1">
      <alignment horizontal="left" vertical="center"/>
    </xf>
    <xf numFmtId="0" fontId="39" fillId="0" borderId="1" xfId="2" applyNumberFormat="1" applyFont="1" applyFill="1" applyBorder="1" applyAlignment="1">
      <alignment horizontal="left" vertical="center"/>
    </xf>
    <xf numFmtId="0" fontId="53" fillId="0" borderId="1" xfId="0" applyNumberFormat="1" applyFont="1" applyFill="1" applyBorder="1" applyAlignment="1">
      <alignment horizontal="left" vertical="center"/>
    </xf>
    <xf numFmtId="0" fontId="46" fillId="2" borderId="1" xfId="1" applyNumberFormat="1" applyFont="1" applyFill="1" applyBorder="1" applyAlignment="1">
      <alignment horizontal="left"/>
    </xf>
    <xf numFmtId="0" fontId="46" fillId="0" borderId="1" xfId="1" applyNumberFormat="1" applyFont="1" applyFill="1" applyBorder="1" applyAlignment="1">
      <alignment horizontal="left" vertical="center"/>
    </xf>
    <xf numFmtId="0" fontId="53" fillId="2" borderId="1" xfId="0" applyFont="1" applyFill="1" applyBorder="1" applyAlignment="1"/>
    <xf numFmtId="0" fontId="39" fillId="0" borderId="1" xfId="0" applyNumberFormat="1" applyFont="1" applyFill="1" applyBorder="1" applyAlignment="1">
      <alignment horizontal="left" vertical="center"/>
    </xf>
    <xf numFmtId="0" fontId="69" fillId="2" borderId="1" xfId="1" applyNumberFormat="1" applyFont="1" applyFill="1" applyBorder="1" applyAlignment="1">
      <alignment horizontal="left" vertical="center"/>
    </xf>
    <xf numFmtId="0" fontId="27" fillId="0" borderId="1" xfId="0" quotePrefix="1" applyFont="1" applyBorder="1" applyAlignment="1">
      <alignment horizontal="left"/>
    </xf>
    <xf numFmtId="0" fontId="27" fillId="0" borderId="0" xfId="1" quotePrefix="1" applyNumberFormat="1" applyFont="1" applyAlignment="1">
      <alignment horizontal="left"/>
    </xf>
    <xf numFmtId="0" fontId="23" fillId="0" borderId="1" xfId="1" quotePrefix="1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9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164" fontId="46" fillId="5" borderId="1" xfId="2" applyNumberFormat="1" applyFont="1" applyFill="1" applyBorder="1" applyAlignment="1">
      <alignment vertical="center"/>
    </xf>
    <xf numFmtId="0" fontId="0" fillId="2" borderId="0" xfId="0" applyFill="1"/>
    <xf numFmtId="0" fontId="71" fillId="0" borderId="1" xfId="0" applyFont="1" applyFill="1" applyBorder="1" applyAlignment="1">
      <alignment horizontal="left" vertical="center"/>
    </xf>
    <xf numFmtId="164" fontId="39" fillId="2" borderId="1" xfId="0" applyNumberFormat="1" applyFont="1" applyFill="1" applyBorder="1" applyAlignment="1">
      <alignment horizontal="left"/>
    </xf>
    <xf numFmtId="0" fontId="46" fillId="2" borderId="1" xfId="0" applyFont="1" applyFill="1" applyBorder="1" applyAlignment="1">
      <alignment horizontal="left"/>
    </xf>
    <xf numFmtId="164" fontId="46" fillId="2" borderId="1" xfId="0" applyNumberFormat="1" applyFont="1" applyFill="1" applyBorder="1" applyAlignment="1">
      <alignment horizontal="left"/>
    </xf>
    <xf numFmtId="0" fontId="35" fillId="2" borderId="1" xfId="1" applyNumberFormat="1" applyFont="1" applyFill="1" applyBorder="1" applyAlignment="1">
      <alignment horizontal="left" vertical="center"/>
    </xf>
    <xf numFmtId="0" fontId="35" fillId="0" borderId="1" xfId="1" applyNumberFormat="1" applyFont="1" applyFill="1" applyBorder="1" applyAlignment="1">
      <alignment horizontal="left" vertical="center"/>
    </xf>
    <xf numFmtId="164" fontId="35" fillId="0" borderId="1" xfId="1" applyNumberFormat="1" applyFont="1" applyFill="1" applyBorder="1" applyAlignment="1">
      <alignment horizontal="left" vertical="center"/>
    </xf>
    <xf numFmtId="164" fontId="35" fillId="0" borderId="1" xfId="1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5" fillId="2" borderId="1" xfId="0" applyFont="1" applyFill="1" applyBorder="1" applyAlignment="1">
      <alignment horizontal="left" vertical="center"/>
    </xf>
    <xf numFmtId="0" fontId="35" fillId="0" borderId="1" xfId="1" quotePrefix="1" applyNumberFormat="1" applyFont="1" applyBorder="1" applyAlignment="1">
      <alignment horizontal="left" vertical="center"/>
    </xf>
    <xf numFmtId="0" fontId="35" fillId="0" borderId="1" xfId="1" applyNumberFormat="1" applyFont="1" applyBorder="1" applyAlignment="1">
      <alignment horizontal="left" vertical="center"/>
    </xf>
    <xf numFmtId="3" fontId="35" fillId="0" borderId="1" xfId="0" applyNumberFormat="1" applyFont="1" applyFill="1" applyBorder="1" applyAlignment="1">
      <alignment vertical="center"/>
    </xf>
    <xf numFmtId="164" fontId="36" fillId="0" borderId="1" xfId="1" applyNumberFormat="1" applyFont="1" applyFill="1" applyBorder="1" applyAlignment="1">
      <alignment vertical="center"/>
    </xf>
    <xf numFmtId="0" fontId="36" fillId="0" borderId="1" xfId="1" applyNumberFormat="1" applyFont="1" applyBorder="1" applyAlignment="1">
      <alignment horizontal="left" vertical="center"/>
    </xf>
    <xf numFmtId="0" fontId="35" fillId="0" borderId="5" xfId="1" applyNumberFormat="1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59" fillId="2" borderId="0" xfId="0" applyFont="1" applyFill="1" applyAlignment="1">
      <alignment vertical="center"/>
    </xf>
    <xf numFmtId="0" fontId="74" fillId="0" borderId="1" xfId="4" applyFont="1" applyFill="1" applyBorder="1" applyAlignment="1">
      <alignment horizontal="center" vertical="center"/>
    </xf>
    <xf numFmtId="164" fontId="75" fillId="0" borderId="1" xfId="1" applyNumberFormat="1" applyFont="1" applyFill="1" applyBorder="1" applyAlignment="1">
      <alignment horizontal="center" vertical="center"/>
    </xf>
    <xf numFmtId="164" fontId="74" fillId="0" borderId="0" xfId="1" applyNumberFormat="1" applyFont="1" applyFill="1" applyBorder="1" applyAlignment="1">
      <alignment horizontal="center" vertical="center"/>
    </xf>
    <xf numFmtId="164" fontId="75" fillId="0" borderId="0" xfId="1" applyNumberFormat="1" applyFont="1" applyBorder="1" applyAlignment="1">
      <alignment horizontal="center" vertical="center"/>
    </xf>
    <xf numFmtId="164" fontId="50" fillId="0" borderId="1" xfId="1" applyNumberFormat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vertical="center"/>
    </xf>
    <xf numFmtId="164" fontId="75" fillId="0" borderId="0" xfId="1" applyNumberFormat="1" applyFont="1" applyFill="1" applyBorder="1" applyAlignment="1">
      <alignment horizontal="center" vertical="center"/>
    </xf>
    <xf numFmtId="0" fontId="50" fillId="0" borderId="1" xfId="4" applyFont="1" applyFill="1" applyBorder="1" applyAlignment="1">
      <alignment horizontal="left" vertical="center"/>
    </xf>
    <xf numFmtId="0" fontId="75" fillId="0" borderId="1" xfId="4" applyFont="1" applyFill="1" applyBorder="1" applyAlignment="1">
      <alignment horizontal="center" vertical="center"/>
    </xf>
    <xf numFmtId="0" fontId="50" fillId="0" borderId="1" xfId="4" applyFont="1" applyFill="1" applyBorder="1" applyAlignment="1">
      <alignment vertical="center"/>
    </xf>
    <xf numFmtId="0" fontId="23" fillId="0" borderId="1" xfId="4" applyFont="1" applyFill="1" applyBorder="1" applyAlignment="1">
      <alignment vertical="center"/>
    </xf>
    <xf numFmtId="164" fontId="23" fillId="0" borderId="0" xfId="1" applyNumberFormat="1" applyFont="1" applyFill="1" applyBorder="1" applyAlignment="1">
      <alignment vertical="center"/>
    </xf>
    <xf numFmtId="164" fontId="76" fillId="0" borderId="0" xfId="1" applyNumberFormat="1" applyFont="1" applyFill="1" applyBorder="1" applyAlignment="1">
      <alignment vertical="center"/>
    </xf>
    <xf numFmtId="0" fontId="76" fillId="0" borderId="0" xfId="4" applyFont="1" applyFill="1" applyBorder="1" applyAlignment="1">
      <alignment vertical="center"/>
    </xf>
    <xf numFmtId="0" fontId="76" fillId="0" borderId="1" xfId="4" applyFont="1" applyFill="1" applyBorder="1" applyAlignment="1">
      <alignment horizontal="left" vertical="center"/>
    </xf>
    <xf numFmtId="0" fontId="76" fillId="0" borderId="1" xfId="4" applyFont="1" applyFill="1" applyBorder="1" applyAlignment="1">
      <alignment vertical="center"/>
    </xf>
    <xf numFmtId="3" fontId="23" fillId="0" borderId="1" xfId="4" applyNumberFormat="1" applyFont="1" applyFill="1" applyBorder="1" applyAlignment="1">
      <alignment vertical="center"/>
    </xf>
    <xf numFmtId="3" fontId="77" fillId="0" borderId="1" xfId="4" applyNumberFormat="1" applyFont="1" applyFill="1" applyBorder="1" applyAlignment="1">
      <alignment vertical="center"/>
    </xf>
    <xf numFmtId="164" fontId="77" fillId="0" borderId="0" xfId="1" applyNumberFormat="1" applyFont="1" applyFill="1" applyBorder="1" applyAlignment="1">
      <alignment vertical="center"/>
    </xf>
    <xf numFmtId="3" fontId="74" fillId="0" borderId="1" xfId="4" applyNumberFormat="1" applyFont="1" applyFill="1" applyBorder="1" applyAlignment="1">
      <alignment vertical="center"/>
    </xf>
    <xf numFmtId="164" fontId="74" fillId="0" borderId="0" xfId="1" applyNumberFormat="1" applyFont="1" applyFill="1" applyBorder="1" applyAlignment="1">
      <alignment vertical="center"/>
    </xf>
    <xf numFmtId="164" fontId="50" fillId="0" borderId="0" xfId="1" applyNumberFormat="1" applyFont="1" applyFill="1" applyBorder="1" applyAlignment="1">
      <alignment vertical="center"/>
    </xf>
    <xf numFmtId="3" fontId="29" fillId="0" borderId="1" xfId="4" applyNumberFormat="1" applyFont="1" applyFill="1" applyBorder="1" applyAlignment="1">
      <alignment vertical="center"/>
    </xf>
    <xf numFmtId="0" fontId="76" fillId="0" borderId="1" xfId="4" applyFont="1" applyBorder="1" applyAlignment="1">
      <alignment vertical="center"/>
    </xf>
    <xf numFmtId="3" fontId="78" fillId="0" borderId="1" xfId="4" applyNumberFormat="1" applyFont="1" applyFill="1" applyBorder="1" applyAlignment="1">
      <alignment vertical="center"/>
    </xf>
    <xf numFmtId="164" fontId="78" fillId="0" borderId="0" xfId="1" applyNumberFormat="1" applyFont="1" applyFill="1" applyBorder="1" applyAlignment="1">
      <alignment vertical="center"/>
    </xf>
    <xf numFmtId="164" fontId="79" fillId="0" borderId="0" xfId="1" applyNumberFormat="1" applyFont="1" applyFill="1" applyBorder="1" applyAlignment="1">
      <alignment vertical="center"/>
    </xf>
    <xf numFmtId="164" fontId="80" fillId="0" borderId="0" xfId="1" applyNumberFormat="1" applyFont="1" applyFill="1" applyBorder="1" applyAlignment="1">
      <alignment vertical="center"/>
    </xf>
    <xf numFmtId="164" fontId="80" fillId="0" borderId="1" xfId="1" applyNumberFormat="1" applyFont="1" applyFill="1" applyBorder="1" applyAlignment="1">
      <alignment vertical="center"/>
    </xf>
    <xf numFmtId="43" fontId="23" fillId="0" borderId="1" xfId="1" applyFont="1" applyFill="1" applyBorder="1" applyAlignment="1">
      <alignment vertical="center"/>
    </xf>
    <xf numFmtId="164" fontId="76" fillId="0" borderId="0" xfId="1" applyNumberFormat="1" applyFont="1" applyBorder="1" applyAlignment="1">
      <alignment vertical="center"/>
    </xf>
    <xf numFmtId="164" fontId="79" fillId="0" borderId="0" xfId="1" applyNumberFormat="1" applyFont="1" applyBorder="1" applyAlignment="1">
      <alignment vertical="center"/>
    </xf>
    <xf numFmtId="164" fontId="23" fillId="3" borderId="0" xfId="1" applyNumberFormat="1" applyFont="1" applyFill="1" applyBorder="1" applyAlignment="1">
      <alignment vertical="center"/>
    </xf>
    <xf numFmtId="0" fontId="50" fillId="0" borderId="0" xfId="4" applyFont="1" applyFill="1" applyBorder="1" applyAlignment="1">
      <alignment vertical="center"/>
    </xf>
    <xf numFmtId="0" fontId="29" fillId="0" borderId="1" xfId="4" applyFont="1" applyFill="1" applyBorder="1" applyAlignment="1">
      <alignment vertical="center"/>
    </xf>
    <xf numFmtId="0" fontId="81" fillId="0" borderId="0" xfId="4" applyFont="1" applyFill="1" applyBorder="1" applyAlignment="1">
      <alignment vertical="center"/>
    </xf>
    <xf numFmtId="3" fontId="74" fillId="0" borderId="0" xfId="4" applyNumberFormat="1" applyFont="1" applyFill="1" applyBorder="1" applyAlignment="1">
      <alignment vertical="center"/>
    </xf>
    <xf numFmtId="3" fontId="29" fillId="0" borderId="0" xfId="4" applyNumberFormat="1" applyFont="1" applyFill="1" applyBorder="1" applyAlignment="1">
      <alignment vertical="center"/>
    </xf>
    <xf numFmtId="3" fontId="23" fillId="0" borderId="0" xfId="4" applyNumberFormat="1" applyFont="1" applyFill="1" applyBorder="1" applyAlignment="1">
      <alignment vertical="center"/>
    </xf>
    <xf numFmtId="3" fontId="23" fillId="3" borderId="0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vertical="center"/>
    </xf>
    <xf numFmtId="3" fontId="77" fillId="0" borderId="0" xfId="4" applyNumberFormat="1" applyFont="1" applyFill="1" applyBorder="1" applyAlignment="1">
      <alignment vertical="center"/>
    </xf>
    <xf numFmtId="0" fontId="82" fillId="0" borderId="1" xfId="4" applyFont="1" applyFill="1" applyBorder="1" applyAlignment="1">
      <alignment horizontal="left" vertical="center"/>
    </xf>
    <xf numFmtId="164" fontId="83" fillId="0" borderId="0" xfId="1" applyNumberFormat="1" applyFont="1" applyFill="1" applyBorder="1" applyAlignment="1">
      <alignment vertical="center"/>
    </xf>
    <xf numFmtId="164" fontId="83" fillId="0" borderId="1" xfId="1" applyNumberFormat="1" applyFont="1" applyFill="1" applyBorder="1" applyAlignment="1">
      <alignment vertical="center"/>
    </xf>
    <xf numFmtId="37" fontId="74" fillId="0" borderId="0" xfId="4" applyNumberFormat="1" applyFont="1" applyFill="1" applyBorder="1" applyAlignment="1">
      <alignment vertical="center"/>
    </xf>
    <xf numFmtId="37" fontId="74" fillId="0" borderId="1" xfId="4" applyNumberFormat="1" applyFont="1" applyFill="1" applyBorder="1" applyAlignment="1">
      <alignment vertical="center"/>
    </xf>
    <xf numFmtId="0" fontId="39" fillId="2" borderId="1" xfId="1" applyNumberFormat="1" applyFont="1" applyFill="1" applyBorder="1" applyAlignment="1">
      <alignment horizontal="left"/>
    </xf>
    <xf numFmtId="164" fontId="39" fillId="2" borderId="1" xfId="1" applyNumberFormat="1" applyFont="1" applyFill="1" applyBorder="1" applyAlignment="1"/>
    <xf numFmtId="0" fontId="39" fillId="2" borderId="1" xfId="0" applyFont="1" applyFill="1" applyBorder="1"/>
    <xf numFmtId="164" fontId="23" fillId="2" borderId="1" xfId="1" applyNumberFormat="1" applyFont="1" applyFill="1" applyBorder="1"/>
    <xf numFmtId="164" fontId="23" fillId="2" borderId="0" xfId="1" applyNumberFormat="1" applyFont="1" applyFill="1" applyBorder="1"/>
    <xf numFmtId="0" fontId="23" fillId="2" borderId="0" xfId="0" applyFont="1" applyFill="1" applyBorder="1"/>
    <xf numFmtId="0" fontId="23" fillId="2" borderId="1" xfId="0" applyFont="1" applyFill="1" applyBorder="1"/>
    <xf numFmtId="0" fontId="39" fillId="2" borderId="1" xfId="0" applyFont="1" applyFill="1" applyBorder="1" applyAlignment="1">
      <alignment horizontal="center"/>
    </xf>
    <xf numFmtId="164" fontId="39" fillId="2" borderId="0" xfId="1" applyNumberFormat="1" applyFont="1" applyFill="1" applyBorder="1"/>
    <xf numFmtId="0" fontId="23" fillId="2" borderId="0" xfId="0" applyFont="1" applyFill="1"/>
    <xf numFmtId="164" fontId="46" fillId="2" borderId="1" xfId="0" applyNumberFormat="1" applyFont="1" applyFill="1" applyBorder="1" applyAlignment="1">
      <alignment horizontal="right"/>
    </xf>
    <xf numFmtId="164" fontId="29" fillId="2" borderId="1" xfId="1" applyNumberFormat="1" applyFont="1" applyFill="1" applyBorder="1"/>
    <xf numFmtId="164" fontId="72" fillId="2" borderId="1" xfId="1" applyNumberFormat="1" applyFont="1" applyFill="1" applyBorder="1" applyAlignment="1">
      <alignment horizontal="right"/>
    </xf>
    <xf numFmtId="0" fontId="46" fillId="2" borderId="1" xfId="1" applyNumberFormat="1" applyFont="1" applyFill="1" applyBorder="1"/>
    <xf numFmtId="164" fontId="29" fillId="2" borderId="0" xfId="1" applyNumberFormat="1" applyFont="1" applyFill="1" applyBorder="1"/>
    <xf numFmtId="0" fontId="23" fillId="2" borderId="0" xfId="0" applyNumberFormat="1" applyFont="1" applyFill="1"/>
    <xf numFmtId="164" fontId="39" fillId="2" borderId="1" xfId="1" applyNumberFormat="1" applyFont="1" applyFill="1" applyBorder="1" applyAlignment="1">
      <alignment vertical="top"/>
    </xf>
    <xf numFmtId="0" fontId="0" fillId="2" borderId="1" xfId="0" applyFill="1" applyBorder="1"/>
    <xf numFmtId="164" fontId="14" fillId="2" borderId="0" xfId="1" applyNumberFormat="1" applyFont="1" applyFill="1"/>
    <xf numFmtId="0" fontId="5" fillId="2" borderId="0" xfId="0" applyFont="1" applyFill="1"/>
    <xf numFmtId="164" fontId="4" fillId="2" borderId="0" xfId="1" applyNumberFormat="1" applyFont="1" applyFill="1"/>
    <xf numFmtId="164" fontId="47" fillId="2" borderId="0" xfId="1" applyNumberFormat="1" applyFont="1" applyFill="1"/>
    <xf numFmtId="0" fontId="48" fillId="2" borderId="0" xfId="0" applyFont="1" applyFill="1"/>
    <xf numFmtId="164" fontId="13" fillId="2" borderId="1" xfId="1" applyNumberFormat="1" applyFont="1" applyFill="1" applyBorder="1"/>
    <xf numFmtId="164" fontId="13" fillId="2" borderId="0" xfId="1" applyNumberFormat="1" applyFont="1" applyFill="1"/>
    <xf numFmtId="164" fontId="45" fillId="2" borderId="1" xfId="1" applyNumberFormat="1" applyFont="1" applyFill="1" applyBorder="1"/>
    <xf numFmtId="0" fontId="21" fillId="2" borderId="0" xfId="1" applyNumberFormat="1" applyFont="1" applyFill="1"/>
    <xf numFmtId="164" fontId="21" fillId="2" borderId="0" xfId="1" applyNumberFormat="1" applyFont="1" applyFill="1"/>
    <xf numFmtId="164" fontId="21" fillId="2" borderId="0" xfId="1" applyNumberFormat="1" applyFont="1" applyFill="1" applyBorder="1"/>
    <xf numFmtId="164" fontId="38" fillId="2" borderId="0" xfId="1" applyNumberFormat="1" applyFont="1" applyFill="1"/>
    <xf numFmtId="0" fontId="13" fillId="2" borderId="0" xfId="1" applyNumberFormat="1" applyFont="1" applyFill="1"/>
    <xf numFmtId="164" fontId="10" fillId="2" borderId="0" xfId="1" applyNumberFormat="1" applyFont="1" applyFill="1" applyBorder="1"/>
    <xf numFmtId="164" fontId="16" fillId="2" borderId="0" xfId="1" applyNumberFormat="1" applyFont="1" applyFill="1" applyBorder="1"/>
    <xf numFmtId="164" fontId="12" fillId="2" borderId="0" xfId="1" applyNumberFormat="1" applyFont="1" applyFill="1"/>
    <xf numFmtId="0" fontId="28" fillId="2" borderId="0" xfId="1" applyNumberFormat="1" applyFont="1" applyFill="1" applyAlignment="1">
      <alignment horizontal="left"/>
    </xf>
    <xf numFmtId="164" fontId="28" fillId="2" borderId="0" xfId="1" applyNumberFormat="1" applyFont="1" applyFill="1"/>
    <xf numFmtId="164" fontId="28" fillId="2" borderId="0" xfId="1" applyNumberFormat="1" applyFont="1" applyFill="1" applyBorder="1"/>
    <xf numFmtId="164" fontId="38" fillId="2" borderId="0" xfId="1" applyNumberFormat="1" applyFont="1" applyFill="1" applyBorder="1"/>
    <xf numFmtId="0" fontId="10" fillId="2" borderId="0" xfId="1" applyNumberFormat="1" applyFont="1" applyFill="1" applyBorder="1"/>
    <xf numFmtId="164" fontId="45" fillId="2" borderId="0" xfId="1" applyNumberFormat="1" applyFont="1" applyFill="1"/>
    <xf numFmtId="164" fontId="45" fillId="2" borderId="0" xfId="1" applyNumberFormat="1" applyFont="1" applyFill="1" applyAlignment="1">
      <alignment horizontal="center"/>
    </xf>
    <xf numFmtId="164" fontId="73" fillId="2" borderId="0" xfId="1" applyNumberFormat="1" applyFont="1" applyFill="1"/>
    <xf numFmtId="0" fontId="53" fillId="2" borderId="0" xfId="0" applyFont="1" applyFill="1"/>
    <xf numFmtId="0" fontId="45" fillId="2" borderId="0" xfId="1" applyNumberFormat="1" applyFont="1" applyFill="1"/>
    <xf numFmtId="164" fontId="45" fillId="2" borderId="0" xfId="1" applyNumberFormat="1" applyFont="1" applyFill="1" applyBorder="1"/>
    <xf numFmtId="164" fontId="10" fillId="2" borderId="1" xfId="1" applyNumberFormat="1" applyFont="1" applyFill="1" applyBorder="1"/>
    <xf numFmtId="164" fontId="10" fillId="2" borderId="0" xfId="1" applyNumberFormat="1" applyFont="1" applyFill="1"/>
    <xf numFmtId="0" fontId="61" fillId="2" borderId="1" xfId="0" applyNumberFormat="1" applyFont="1" applyFill="1" applyBorder="1" applyAlignment="1">
      <alignment horizontal="left" wrapText="1"/>
    </xf>
    <xf numFmtId="0" fontId="61" fillId="2" borderId="1" xfId="0" applyFont="1" applyFill="1" applyBorder="1" applyAlignment="1">
      <alignment vertical="top" wrapText="1"/>
    </xf>
    <xf numFmtId="0" fontId="10" fillId="2" borderId="0" xfId="1" applyNumberFormat="1" applyFont="1" applyFill="1"/>
    <xf numFmtId="164" fontId="10" fillId="2" borderId="0" xfId="1" applyNumberFormat="1" applyFont="1" applyFill="1" applyAlignment="1">
      <alignment horizontal="center"/>
    </xf>
    <xf numFmtId="164" fontId="11" fillId="2" borderId="1" xfId="1" applyNumberFormat="1" applyFont="1" applyFill="1" applyBorder="1"/>
    <xf numFmtId="164" fontId="11" fillId="2" borderId="0" xfId="1" applyNumberFormat="1" applyFont="1" applyFill="1"/>
    <xf numFmtId="0" fontId="39" fillId="2" borderId="1" xfId="1" applyNumberFormat="1" applyFont="1" applyFill="1" applyBorder="1" applyAlignment="1"/>
    <xf numFmtId="0" fontId="13" fillId="2" borderId="1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1" fillId="2" borderId="0" xfId="0" applyNumberFormat="1" applyFont="1" applyFill="1" applyAlignment="1"/>
    <xf numFmtId="0" fontId="11" fillId="2" borderId="0" xfId="0" applyFont="1" applyFill="1"/>
    <xf numFmtId="0" fontId="84" fillId="2" borderId="1" xfId="0" applyFont="1" applyFill="1" applyBorder="1"/>
    <xf numFmtId="0" fontId="84" fillId="2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left"/>
    </xf>
    <xf numFmtId="0" fontId="72" fillId="2" borderId="1" xfId="0" applyFont="1" applyFill="1" applyBorder="1" applyAlignment="1">
      <alignment horizontal="center"/>
    </xf>
    <xf numFmtId="164" fontId="72" fillId="2" borderId="1" xfId="0" applyNumberFormat="1" applyFont="1" applyFill="1" applyBorder="1"/>
    <xf numFmtId="0" fontId="72" fillId="2" borderId="1" xfId="0" applyFont="1" applyFill="1" applyBorder="1"/>
    <xf numFmtId="0" fontId="61" fillId="2" borderId="1" xfId="0" applyFont="1" applyFill="1" applyBorder="1"/>
    <xf numFmtId="164" fontId="61" fillId="2" borderId="1" xfId="0" applyNumberFormat="1" applyFont="1" applyFill="1" applyBorder="1"/>
    <xf numFmtId="0" fontId="85" fillId="2" borderId="0" xfId="0" applyFont="1" applyFill="1"/>
    <xf numFmtId="164" fontId="86" fillId="0" borderId="0" xfId="1" applyNumberFormat="1" applyFont="1" applyBorder="1" applyAlignment="1">
      <alignment vertical="center"/>
    </xf>
    <xf numFmtId="164" fontId="75" fillId="0" borderId="0" xfId="1" applyNumberFormat="1" applyFont="1" applyBorder="1" applyAlignment="1">
      <alignment vertical="center"/>
    </xf>
    <xf numFmtId="164" fontId="50" fillId="0" borderId="0" xfId="1" applyNumberFormat="1" applyFont="1" applyBorder="1" applyAlignment="1">
      <alignment vertical="center"/>
    </xf>
    <xf numFmtId="3" fontId="75" fillId="0" borderId="0" xfId="4" applyNumberFormat="1" applyFont="1" applyBorder="1" applyAlignment="1">
      <alignment vertical="center"/>
    </xf>
    <xf numFmtId="3" fontId="50" fillId="0" borderId="0" xfId="4" applyNumberFormat="1" applyFont="1" applyBorder="1" applyAlignment="1">
      <alignment vertical="center"/>
    </xf>
    <xf numFmtId="3" fontId="76" fillId="0" borderId="0" xfId="4" applyNumberFormat="1" applyFont="1" applyBorder="1" applyAlignment="1">
      <alignment vertical="center"/>
    </xf>
    <xf numFmtId="43" fontId="76" fillId="0" borderId="0" xfId="1" applyFont="1" applyBorder="1" applyAlignment="1">
      <alignment vertical="center"/>
    </xf>
    <xf numFmtId="3" fontId="78" fillId="0" borderId="0" xfId="4" applyNumberFormat="1" applyFont="1" applyBorder="1" applyAlignment="1">
      <alignment vertical="center"/>
    </xf>
    <xf numFmtId="0" fontId="76" fillId="0" borderId="0" xfId="4" applyFont="1" applyBorder="1" applyAlignment="1">
      <alignment vertical="center"/>
    </xf>
    <xf numFmtId="37" fontId="75" fillId="0" borderId="0" xfId="4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164" fontId="76" fillId="0" borderId="0" xfId="1" applyNumberFormat="1" applyFont="1" applyAlignment="1">
      <alignment vertical="center"/>
    </xf>
    <xf numFmtId="0" fontId="76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76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vertical="center"/>
    </xf>
    <xf numFmtId="164" fontId="50" fillId="0" borderId="1" xfId="1" applyNumberFormat="1" applyFont="1" applyFill="1" applyBorder="1" applyAlignment="1">
      <alignment vertical="center"/>
    </xf>
    <xf numFmtId="3" fontId="87" fillId="0" borderId="16" xfId="0" applyNumberFormat="1" applyFont="1" applyBorder="1" applyAlignment="1">
      <alignment horizontal="right" vertical="center"/>
    </xf>
    <xf numFmtId="164" fontId="23" fillId="0" borderId="15" xfId="1" applyNumberFormat="1" applyFont="1" applyFill="1" applyBorder="1" applyAlignment="1">
      <alignment vertical="center"/>
    </xf>
    <xf numFmtId="0" fontId="23" fillId="0" borderId="1" xfId="4" applyFont="1" applyFill="1" applyBorder="1" applyAlignment="1">
      <alignment horizontal="left"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37" fontId="23" fillId="0" borderId="0" xfId="0" applyNumberFormat="1" applyFont="1" applyFill="1" applyBorder="1" applyAlignment="1">
      <alignment vertical="center"/>
    </xf>
    <xf numFmtId="37" fontId="23" fillId="0" borderId="0" xfId="0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10" fontId="72" fillId="2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9" fillId="2" borderId="1" xfId="0" applyNumberFormat="1" applyFont="1" applyFill="1" applyBorder="1"/>
    <xf numFmtId="0" fontId="39" fillId="2" borderId="1" xfId="0" applyFont="1" applyFill="1" applyBorder="1" applyAlignment="1">
      <alignment horizontal="left"/>
    </xf>
    <xf numFmtId="0" fontId="53" fillId="2" borderId="0" xfId="0" applyNumberFormat="1" applyFont="1" applyFill="1"/>
    <xf numFmtId="0" fontId="46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 vertical="center"/>
    </xf>
    <xf numFmtId="164" fontId="14" fillId="2" borderId="0" xfId="1" applyNumberFormat="1" applyFont="1" applyFill="1" applyBorder="1"/>
    <xf numFmtId="0" fontId="24" fillId="2" borderId="0" xfId="0" applyNumberFormat="1" applyFont="1" applyFill="1"/>
    <xf numFmtId="0" fontId="24" fillId="2" borderId="0" xfId="0" applyFont="1" applyFill="1"/>
    <xf numFmtId="164" fontId="13" fillId="2" borderId="0" xfId="0" applyNumberFormat="1" applyFont="1" applyFill="1"/>
    <xf numFmtId="164" fontId="24" fillId="2" borderId="0" xfId="0" applyNumberFormat="1" applyFont="1" applyFill="1"/>
    <xf numFmtId="0" fontId="46" fillId="2" borderId="0" xfId="0" applyFont="1" applyFill="1"/>
    <xf numFmtId="0" fontId="46" fillId="2" borderId="0" xfId="0" applyNumberFormat="1" applyFont="1" applyFill="1"/>
    <xf numFmtId="164" fontId="39" fillId="2" borderId="0" xfId="1" applyNumberFormat="1" applyFont="1" applyFill="1"/>
    <xf numFmtId="164" fontId="46" fillId="2" borderId="0" xfId="1" applyNumberFormat="1" applyFont="1" applyFill="1"/>
    <xf numFmtId="0" fontId="19" fillId="2" borderId="1" xfId="0" applyFont="1" applyFill="1" applyBorder="1"/>
    <xf numFmtId="0" fontId="61" fillId="2" borderId="1" xfId="0" applyNumberFormat="1" applyFont="1" applyFill="1" applyBorder="1" applyAlignment="1">
      <alignment horizontal="left" vertical="top" wrapText="1"/>
    </xf>
    <xf numFmtId="164" fontId="48" fillId="2" borderId="0" xfId="1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0" fontId="53" fillId="2" borderId="1" xfId="0" applyFont="1" applyFill="1" applyBorder="1"/>
    <xf numFmtId="164" fontId="39" fillId="2" borderId="1" xfId="0" applyNumberFormat="1" applyFont="1" applyFill="1" applyBorder="1" applyAlignment="1">
      <alignment horizontal="center"/>
    </xf>
    <xf numFmtId="0" fontId="46" fillId="2" borderId="1" xfId="0" applyNumberFormat="1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vertical="top" wrapText="1"/>
    </xf>
    <xf numFmtId="0" fontId="0" fillId="2" borderId="0" xfId="0" applyNumberFormat="1" applyFill="1"/>
    <xf numFmtId="0" fontId="41" fillId="2" borderId="0" xfId="0" applyFont="1" applyFill="1" applyAlignment="1">
      <alignment horizontal="right"/>
    </xf>
    <xf numFmtId="0" fontId="33" fillId="2" borderId="0" xfId="0" applyFont="1" applyFill="1"/>
    <xf numFmtId="0" fontId="28" fillId="2" borderId="0" xfId="0" applyNumberFormat="1" applyFont="1" applyFill="1"/>
    <xf numFmtId="0" fontId="13" fillId="2" borderId="0" xfId="0" applyFont="1" applyFill="1" applyAlignment="1"/>
    <xf numFmtId="3" fontId="13" fillId="2" borderId="0" xfId="0" applyNumberFormat="1" applyFont="1" applyFill="1" applyAlignment="1"/>
    <xf numFmtId="0" fontId="39" fillId="2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39" fillId="2" borderId="1" xfId="1" applyNumberFormat="1" applyFont="1" applyFill="1" applyBorder="1" applyAlignment="1">
      <alignment horizontal="left" vertical="center"/>
    </xf>
    <xf numFmtId="0" fontId="46" fillId="2" borderId="1" xfId="1" applyNumberFormat="1" applyFont="1" applyFill="1" applyBorder="1" applyAlignment="1">
      <alignment horizontal="left" vertical="center"/>
    </xf>
    <xf numFmtId="164" fontId="46" fillId="2" borderId="1" xfId="0" applyNumberFormat="1" applyFont="1" applyFill="1" applyBorder="1" applyAlignment="1">
      <alignment vertical="center"/>
    </xf>
    <xf numFmtId="164" fontId="39" fillId="2" borderId="1" xfId="0" applyNumberFormat="1" applyFont="1" applyFill="1" applyBorder="1" applyAlignment="1">
      <alignment vertical="center"/>
    </xf>
    <xf numFmtId="0" fontId="61" fillId="2" borderId="1" xfId="0" applyNumberFormat="1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vertical="center" wrapText="1"/>
    </xf>
    <xf numFmtId="0" fontId="46" fillId="2" borderId="1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44" fillId="2" borderId="0" xfId="0" applyFont="1" applyFill="1"/>
    <xf numFmtId="0" fontId="39" fillId="2" borderId="1" xfId="0" applyNumberFormat="1" applyFont="1" applyFill="1" applyBorder="1" applyAlignment="1">
      <alignment horizontal="left" vertical="center"/>
    </xf>
    <xf numFmtId="164" fontId="39" fillId="2" borderId="1" xfId="0" applyNumberFormat="1" applyFont="1" applyFill="1" applyBorder="1" applyAlignment="1"/>
    <xf numFmtId="0" fontId="44" fillId="2" borderId="0" xfId="0" applyNumberFormat="1" applyFont="1" applyFill="1"/>
    <xf numFmtId="0" fontId="38" fillId="2" borderId="1" xfId="0" applyFont="1" applyFill="1" applyBorder="1"/>
    <xf numFmtId="3" fontId="46" fillId="2" borderId="1" xfId="0" applyNumberFormat="1" applyFont="1" applyFill="1" applyBorder="1" applyAlignment="1">
      <alignment horizontal="right"/>
    </xf>
    <xf numFmtId="0" fontId="10" fillId="2" borderId="0" xfId="0" applyFont="1" applyFill="1"/>
    <xf numFmtId="0" fontId="13" fillId="2" borderId="0" xfId="0" applyNumberFormat="1" applyFont="1" applyFill="1"/>
    <xf numFmtId="0" fontId="48" fillId="2" borderId="1" xfId="0" applyFont="1" applyFill="1" applyBorder="1" applyAlignment="1">
      <alignment vertical="center"/>
    </xf>
    <xf numFmtId="0" fontId="48" fillId="2" borderId="0" xfId="0" applyFont="1" applyFill="1" applyAlignment="1">
      <alignment vertical="center"/>
    </xf>
    <xf numFmtId="164" fontId="39" fillId="2" borderId="1" xfId="1" applyNumberFormat="1" applyFont="1" applyFill="1" applyBorder="1" applyAlignment="1">
      <alignment horizontal="center" vertical="center"/>
    </xf>
    <xf numFmtId="0" fontId="46" fillId="2" borderId="1" xfId="0" applyNumberFormat="1" applyFont="1" applyFill="1" applyBorder="1" applyAlignment="1">
      <alignment horizontal="left" wrapText="1"/>
    </xf>
    <xf numFmtId="0" fontId="46" fillId="2" borderId="1" xfId="0" applyFont="1" applyFill="1" applyBorder="1" applyAlignment="1">
      <alignment vertical="center" wrapText="1"/>
    </xf>
    <xf numFmtId="3" fontId="46" fillId="2" borderId="1" xfId="0" applyNumberFormat="1" applyFont="1" applyFill="1" applyBorder="1" applyAlignment="1">
      <alignment vertical="center"/>
    </xf>
    <xf numFmtId="3" fontId="39" fillId="2" borderId="1" xfId="0" applyNumberFormat="1" applyFont="1" applyFill="1" applyBorder="1" applyAlignment="1">
      <alignment vertical="center"/>
    </xf>
    <xf numFmtId="0" fontId="48" fillId="2" borderId="0" xfId="0" applyNumberFormat="1" applyFont="1" applyFill="1" applyAlignment="1">
      <alignment vertical="center"/>
    </xf>
    <xf numFmtId="164" fontId="48" fillId="2" borderId="0" xfId="1" applyNumberFormat="1" applyFont="1" applyFill="1" applyAlignment="1">
      <alignment vertical="center"/>
    </xf>
    <xf numFmtId="0" fontId="62" fillId="2" borderId="1" xfId="0" applyFont="1" applyFill="1" applyBorder="1"/>
    <xf numFmtId="0" fontId="62" fillId="2" borderId="1" xfId="0" applyFont="1" applyFill="1" applyBorder="1" applyAlignment="1">
      <alignment horizontal="center"/>
    </xf>
    <xf numFmtId="0" fontId="17" fillId="2" borderId="0" xfId="0" applyFont="1" applyFill="1"/>
    <xf numFmtId="41" fontId="13" fillId="2" borderId="0" xfId="0" applyNumberFormat="1" applyFont="1" applyFill="1"/>
    <xf numFmtId="0" fontId="46" fillId="2" borderId="1" xfId="0" applyFont="1" applyFill="1" applyBorder="1" applyAlignment="1">
      <alignment horizontal="center"/>
    </xf>
    <xf numFmtId="0" fontId="68" fillId="2" borderId="1" xfId="0" applyNumberFormat="1" applyFont="1" applyFill="1" applyBorder="1" applyAlignment="1">
      <alignment horizontal="left" vertical="center"/>
    </xf>
    <xf numFmtId="0" fontId="68" fillId="2" borderId="1" xfId="0" applyFont="1" applyFill="1" applyBorder="1" applyAlignment="1">
      <alignment horizontal="left" vertical="center"/>
    </xf>
    <xf numFmtId="0" fontId="68" fillId="2" borderId="1" xfId="0" applyFont="1" applyFill="1" applyBorder="1" applyAlignment="1">
      <alignment vertical="center"/>
    </xf>
    <xf numFmtId="0" fontId="6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left" vertical="center"/>
    </xf>
    <xf numFmtId="0" fontId="69" fillId="2" borderId="1" xfId="0" applyFont="1" applyFill="1" applyBorder="1" applyAlignment="1">
      <alignment vertical="center"/>
    </xf>
    <xf numFmtId="3" fontId="69" fillId="2" borderId="1" xfId="0" applyNumberFormat="1" applyFont="1" applyFill="1" applyBorder="1" applyAlignment="1">
      <alignment vertical="center"/>
    </xf>
    <xf numFmtId="0" fontId="70" fillId="2" borderId="1" xfId="0" applyNumberFormat="1" applyFont="1" applyFill="1" applyBorder="1" applyAlignment="1">
      <alignment horizontal="left" vertical="center" wrapText="1"/>
    </xf>
    <xf numFmtId="0" fontId="70" fillId="2" borderId="1" xfId="0" applyFont="1" applyFill="1" applyBorder="1" applyAlignment="1">
      <alignment vertical="center" wrapText="1"/>
    </xf>
    <xf numFmtId="164" fontId="18" fillId="2" borderId="0" xfId="0" applyNumberFormat="1" applyFont="1" applyFill="1" applyBorder="1" applyAlignment="1">
      <alignment vertical="center"/>
    </xf>
    <xf numFmtId="41" fontId="25" fillId="2" borderId="1" xfId="1" applyNumberFormat="1" applyFont="1" applyFill="1" applyBorder="1"/>
    <xf numFmtId="0" fontId="0" fillId="2" borderId="0" xfId="0" applyNumberFormat="1" applyFill="1" applyAlignment="1">
      <alignment horizontal="center" vertical="center"/>
    </xf>
    <xf numFmtId="0" fontId="39" fillId="2" borderId="1" xfId="0" applyNumberFormat="1" applyFont="1" applyFill="1" applyBorder="1" applyAlignment="1">
      <alignment horizontal="left"/>
    </xf>
    <xf numFmtId="41" fontId="46" fillId="2" borderId="0" xfId="1" applyNumberFormat="1" applyFont="1" applyFill="1" applyBorder="1"/>
    <xf numFmtId="0" fontId="55" fillId="2" borderId="14" xfId="1" applyNumberFormat="1" applyFont="1" applyFill="1" applyBorder="1" applyAlignment="1">
      <alignment vertical="center"/>
    </xf>
    <xf numFmtId="164" fontId="55" fillId="2" borderId="10" xfId="1" applyNumberFormat="1" applyFont="1" applyFill="1" applyBorder="1" applyAlignment="1">
      <alignment vertical="center"/>
    </xf>
    <xf numFmtId="0" fontId="43" fillId="2" borderId="0" xfId="0" applyFont="1" applyFill="1"/>
    <xf numFmtId="0" fontId="68" fillId="2" borderId="1" xfId="0" applyNumberFormat="1" applyFont="1" applyFill="1" applyBorder="1" applyAlignment="1">
      <alignment vertical="center"/>
    </xf>
    <xf numFmtId="0" fontId="68" fillId="2" borderId="1" xfId="0" applyFont="1" applyFill="1" applyBorder="1" applyAlignment="1">
      <alignment horizontal="right" vertical="center"/>
    </xf>
    <xf numFmtId="164" fontId="14" fillId="2" borderId="0" xfId="0" applyNumberFormat="1" applyFont="1" applyFill="1"/>
    <xf numFmtId="0" fontId="18" fillId="2" borderId="2" xfId="1" applyNumberFormat="1" applyFont="1" applyFill="1" applyBorder="1"/>
    <xf numFmtId="0" fontId="13" fillId="2" borderId="0" xfId="0" applyFont="1" applyFill="1" applyAlignment="1">
      <alignment horizontal="right"/>
    </xf>
    <xf numFmtId="0" fontId="39" fillId="2" borderId="1" xfId="1" applyNumberFormat="1" applyFont="1" applyFill="1" applyBorder="1"/>
    <xf numFmtId="164" fontId="39" fillId="2" borderId="1" xfId="1" applyNumberFormat="1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right"/>
    </xf>
    <xf numFmtId="0" fontId="60" fillId="2" borderId="0" xfId="0" applyFont="1" applyFill="1"/>
    <xf numFmtId="0" fontId="60" fillId="2" borderId="0" xfId="0" applyNumberFormat="1" applyFont="1" applyFill="1"/>
    <xf numFmtId="164" fontId="60" fillId="2" borderId="0" xfId="1" applyNumberFormat="1" applyFont="1" applyFill="1"/>
    <xf numFmtId="0" fontId="29" fillId="2" borderId="1" xfId="0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1" xfId="1" applyNumberFormat="1" applyFont="1" applyFill="1" applyBorder="1" applyAlignment="1">
      <alignment horizontal="left" vertical="center"/>
    </xf>
    <xf numFmtId="164" fontId="29" fillId="2" borderId="1" xfId="1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0" fontId="23" fillId="2" borderId="1" xfId="1" applyNumberFormat="1" applyFont="1" applyFill="1" applyBorder="1" applyAlignment="1">
      <alignment horizontal="left" vertical="center"/>
    </xf>
    <xf numFmtId="164" fontId="23" fillId="2" borderId="1" xfId="0" applyNumberFormat="1" applyFont="1" applyFill="1" applyBorder="1" applyAlignment="1">
      <alignment vertical="center"/>
    </xf>
    <xf numFmtId="164" fontId="29" fillId="2" borderId="1" xfId="0" applyNumberFormat="1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3" fontId="29" fillId="2" borderId="1" xfId="0" applyNumberFormat="1" applyFont="1" applyFill="1" applyBorder="1" applyAlignment="1">
      <alignment vertical="center"/>
    </xf>
    <xf numFmtId="0" fontId="50" fillId="2" borderId="1" xfId="0" applyNumberFormat="1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vertical="center" wrapText="1"/>
    </xf>
    <xf numFmtId="164" fontId="39" fillId="2" borderId="1" xfId="1" applyNumberFormat="1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center"/>
    </xf>
    <xf numFmtId="164" fontId="9" fillId="2" borderId="0" xfId="1" applyNumberFormat="1" applyFont="1" applyFill="1" applyBorder="1"/>
    <xf numFmtId="164" fontId="8" fillId="2" borderId="0" xfId="1" applyNumberFormat="1" applyFont="1" applyFill="1" applyBorder="1"/>
    <xf numFmtId="0" fontId="1" fillId="2" borderId="0" xfId="0" applyNumberFormat="1" applyFont="1" applyFill="1"/>
    <xf numFmtId="0" fontId="9" fillId="2" borderId="1" xfId="0" applyFont="1" applyFill="1" applyBorder="1"/>
    <xf numFmtId="0" fontId="9" fillId="2" borderId="0" xfId="0" applyFont="1" applyFill="1"/>
    <xf numFmtId="0" fontId="8" fillId="2" borderId="1" xfId="0" applyFont="1" applyFill="1" applyBorder="1" applyAlignment="1">
      <alignment horizontal="center"/>
    </xf>
    <xf numFmtId="0" fontId="9" fillId="2" borderId="0" xfId="0" applyNumberFormat="1" applyFont="1" applyFill="1"/>
    <xf numFmtId="164" fontId="9" fillId="2" borderId="0" xfId="1" applyNumberFormat="1" applyFont="1" applyFill="1"/>
    <xf numFmtId="164" fontId="66" fillId="2" borderId="1" xfId="1" applyNumberFormat="1" applyFont="1" applyFill="1" applyBorder="1"/>
    <xf numFmtId="164" fontId="27" fillId="2" borderId="0" xfId="1" applyNumberFormat="1" applyFont="1" applyFill="1" applyAlignment="1">
      <alignment horizontal="center"/>
    </xf>
    <xf numFmtId="164" fontId="28" fillId="2" borderId="1" xfId="1" applyNumberFormat="1" applyFont="1" applyFill="1" applyBorder="1"/>
    <xf numFmtId="3" fontId="28" fillId="2" borderId="0" xfId="0" applyNumberFormat="1" applyFont="1" applyFill="1"/>
    <xf numFmtId="0" fontId="13" fillId="2" borderId="0" xfId="0" applyFont="1" applyFill="1" applyBorder="1"/>
    <xf numFmtId="0" fontId="19" fillId="2" borderId="0" xfId="0" applyNumberFormat="1" applyFont="1" applyFill="1"/>
    <xf numFmtId="0" fontId="49" fillId="2" borderId="0" xfId="0" applyFont="1" applyFill="1"/>
    <xf numFmtId="0" fontId="19" fillId="2" borderId="0" xfId="0" applyFont="1" applyFill="1"/>
    <xf numFmtId="0" fontId="26" fillId="2" borderId="0" xfId="0" applyFont="1" applyFill="1"/>
    <xf numFmtId="0" fontId="32" fillId="2" borderId="0" xfId="0" applyFont="1" applyFill="1"/>
    <xf numFmtId="0" fontId="20" fillId="2" borderId="0" xfId="0" applyFont="1" applyFill="1"/>
    <xf numFmtId="0" fontId="15" fillId="2" borderId="0" xfId="0" applyFont="1" applyFill="1"/>
    <xf numFmtId="3" fontId="46" fillId="2" borderId="1" xfId="1" applyNumberFormat="1" applyFont="1" applyFill="1" applyBorder="1" applyAlignment="1">
      <alignment horizontal="left"/>
    </xf>
    <xf numFmtId="0" fontId="46" fillId="2" borderId="1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right"/>
    </xf>
    <xf numFmtId="3" fontId="39" fillId="2" borderId="1" xfId="1" applyNumberFormat="1" applyFont="1" applyFill="1" applyBorder="1" applyAlignment="1">
      <alignment horizontal="right"/>
    </xf>
    <xf numFmtId="3" fontId="46" fillId="2" borderId="1" xfId="0" applyNumberFormat="1" applyFont="1" applyFill="1" applyBorder="1" applyAlignment="1">
      <alignment horizontal="left"/>
    </xf>
    <xf numFmtId="0" fontId="35" fillId="2" borderId="1" xfId="0" applyNumberFormat="1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0" fontId="35" fillId="2" borderId="1" xfId="0" applyFont="1" applyFill="1" applyBorder="1"/>
    <xf numFmtId="0" fontId="35" fillId="2" borderId="1" xfId="1" applyNumberFormat="1" applyFont="1" applyFill="1" applyBorder="1" applyAlignment="1">
      <alignment horizontal="left"/>
    </xf>
    <xf numFmtId="164" fontId="35" fillId="2" borderId="1" xfId="1" applyNumberFormat="1" applyFont="1" applyFill="1" applyBorder="1" applyAlignment="1">
      <alignment horizontal="left"/>
    </xf>
    <xf numFmtId="0" fontId="35" fillId="2" borderId="1" xfId="0" applyFont="1" applyFill="1" applyBorder="1" applyAlignment="1">
      <alignment horizontal="center"/>
    </xf>
    <xf numFmtId="164" fontId="35" fillId="2" borderId="1" xfId="1" applyNumberFormat="1" applyFont="1" applyFill="1" applyBorder="1" applyAlignment="1">
      <alignment horizontal="center"/>
    </xf>
    <xf numFmtId="164" fontId="34" fillId="2" borderId="1" xfId="0" applyNumberFormat="1" applyFont="1" applyFill="1" applyBorder="1"/>
    <xf numFmtId="0" fontId="34" fillId="2" borderId="1" xfId="1" applyNumberFormat="1" applyFont="1" applyFill="1" applyBorder="1" applyAlignment="1">
      <alignment horizontal="left"/>
    </xf>
    <xf numFmtId="3" fontId="34" fillId="2" borderId="1" xfId="1" applyNumberFormat="1" applyFont="1" applyFill="1" applyBorder="1"/>
    <xf numFmtId="0" fontId="34" fillId="2" borderId="1" xfId="0" applyFont="1" applyFill="1" applyBorder="1"/>
    <xf numFmtId="3" fontId="35" fillId="2" borderId="1" xfId="0" applyNumberFormat="1" applyFont="1" applyFill="1" applyBorder="1"/>
    <xf numFmtId="0" fontId="1" fillId="2" borderId="0" xfId="0" applyFont="1" applyFill="1"/>
    <xf numFmtId="3" fontId="46" fillId="2" borderId="1" xfId="0" applyNumberFormat="1" applyFont="1" applyFill="1" applyBorder="1" applyAlignment="1"/>
    <xf numFmtId="41" fontId="0" fillId="2" borderId="0" xfId="0" applyNumberFormat="1" applyFill="1"/>
    <xf numFmtId="41" fontId="53" fillId="2" borderId="0" xfId="0" applyNumberFormat="1" applyFont="1" applyFill="1"/>
    <xf numFmtId="41" fontId="48" fillId="2" borderId="0" xfId="0" applyNumberFormat="1" applyFont="1" applyFill="1"/>
    <xf numFmtId="41" fontId="1" fillId="2" borderId="0" xfId="0" applyNumberFormat="1" applyFont="1" applyFill="1"/>
    <xf numFmtId="164" fontId="48" fillId="2" borderId="0" xfId="0" applyNumberFormat="1" applyFont="1" applyFill="1"/>
    <xf numFmtId="0" fontId="39" fillId="2" borderId="1" xfId="1" applyNumberFormat="1" applyFont="1" applyFill="1" applyBorder="1" applyAlignment="1">
      <alignment horizontal="right"/>
    </xf>
    <xf numFmtId="0" fontId="67" fillId="2" borderId="0" xfId="6" applyFill="1"/>
    <xf numFmtId="43" fontId="46" fillId="2" borderId="1" xfId="1" applyFont="1" applyFill="1" applyBorder="1" applyAlignment="1">
      <alignment horizontal="right"/>
    </xf>
    <xf numFmtId="0" fontId="42" fillId="2" borderId="0" xfId="0" applyFont="1" applyFill="1"/>
    <xf numFmtId="0" fontId="43" fillId="2" borderId="0" xfId="0" applyNumberFormat="1" applyFont="1" applyFill="1"/>
    <xf numFmtId="164" fontId="43" fillId="2" borderId="0" xfId="1" applyNumberFormat="1" applyFont="1" applyFill="1"/>
    <xf numFmtId="164" fontId="31" fillId="2" borderId="0" xfId="0" applyNumberFormat="1" applyFont="1" applyFill="1" applyBorder="1"/>
    <xf numFmtId="164" fontId="31" fillId="2" borderId="0" xfId="1" applyNumberFormat="1" applyFont="1" applyFill="1" applyBorder="1"/>
    <xf numFmtId="0" fontId="40" fillId="2" borderId="0" xfId="0" applyFont="1" applyFill="1"/>
    <xf numFmtId="0" fontId="46" fillId="2" borderId="1" xfId="2" applyNumberFormat="1" applyFont="1" applyFill="1" applyBorder="1" applyAlignment="1">
      <alignment horizontal="left" vertical="center"/>
    </xf>
    <xf numFmtId="0" fontId="53" fillId="2" borderId="1" xfId="0" applyFont="1" applyFill="1" applyBorder="1" applyAlignment="1">
      <alignment vertical="center"/>
    </xf>
    <xf numFmtId="43" fontId="53" fillId="2" borderId="1" xfId="1" applyFont="1" applyFill="1" applyBorder="1" applyAlignment="1">
      <alignment vertical="center"/>
    </xf>
    <xf numFmtId="0" fontId="53" fillId="2" borderId="0" xfId="0" applyFont="1" applyFill="1" applyAlignment="1">
      <alignment vertical="center"/>
    </xf>
    <xf numFmtId="164" fontId="53" fillId="2" borderId="1" xfId="1" applyNumberFormat="1" applyFont="1" applyFill="1" applyBorder="1"/>
    <xf numFmtId="164" fontId="53" fillId="2" borderId="0" xfId="0" applyNumberFormat="1" applyFont="1" applyFill="1"/>
    <xf numFmtId="164" fontId="53" fillId="2" borderId="0" xfId="1" applyNumberFormat="1" applyFont="1" applyFill="1"/>
    <xf numFmtId="164" fontId="46" fillId="2" borderId="9" xfId="1" applyNumberFormat="1" applyFont="1" applyFill="1" applyBorder="1" applyAlignment="1">
      <alignment horizontal="right"/>
    </xf>
    <xf numFmtId="164" fontId="46" fillId="2" borderId="0" xfId="1" applyNumberFormat="1" applyFont="1" applyFill="1" applyBorder="1" applyAlignment="1">
      <alignment horizontal="right"/>
    </xf>
    <xf numFmtId="0" fontId="28" fillId="2" borderId="1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164" fontId="27" fillId="2" borderId="0" xfId="1" applyNumberFormat="1" applyFont="1" applyFill="1" applyAlignment="1">
      <alignment horizontal="left"/>
    </xf>
    <xf numFmtId="0" fontId="27" fillId="2" borderId="0" xfId="0" applyFont="1" applyFill="1" applyAlignment="1">
      <alignment horizontal="left"/>
    </xf>
    <xf numFmtId="164" fontId="28" fillId="2" borderId="0" xfId="0" applyNumberFormat="1" applyFont="1" applyFill="1" applyAlignment="1">
      <alignment horizontal="left"/>
    </xf>
    <xf numFmtId="3" fontId="13" fillId="2" borderId="0" xfId="0" applyNumberFormat="1" applyFont="1" applyFill="1"/>
    <xf numFmtId="0" fontId="39" fillId="2" borderId="1" xfId="0" applyNumberFormat="1" applyFont="1" applyFill="1" applyBorder="1" applyAlignment="1"/>
    <xf numFmtId="0" fontId="39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33" fillId="2" borderId="1" xfId="0" applyFont="1" applyFill="1" applyBorder="1"/>
    <xf numFmtId="0" fontId="33" fillId="2" borderId="0" xfId="0" applyNumberFormat="1" applyFont="1" applyFill="1"/>
    <xf numFmtId="165" fontId="46" fillId="2" borderId="1" xfId="1" applyNumberFormat="1" applyFont="1" applyFill="1" applyBorder="1"/>
    <xf numFmtId="0" fontId="38" fillId="2" borderId="0" xfId="0" applyFont="1" applyFill="1"/>
    <xf numFmtId="164" fontId="51" fillId="0" borderId="1" xfId="1" applyNumberFormat="1" applyFont="1" applyBorder="1" applyAlignment="1">
      <alignment horizontal="left"/>
    </xf>
    <xf numFmtId="0" fontId="27" fillId="0" borderId="0" xfId="1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51" fillId="0" borderId="0" xfId="1" applyNumberFormat="1" applyFont="1" applyAlignment="1">
      <alignment horizontal="left"/>
    </xf>
    <xf numFmtId="164" fontId="51" fillId="0" borderId="0" xfId="1" applyNumberFormat="1" applyFont="1" applyAlignment="1">
      <alignment horizontal="left"/>
    </xf>
    <xf numFmtId="0" fontId="58" fillId="0" borderId="4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164" fontId="27" fillId="0" borderId="0" xfId="1" applyNumberFormat="1" applyFont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164" fontId="43" fillId="0" borderId="0" xfId="1" applyNumberFormat="1" applyFont="1" applyAlignment="1">
      <alignment horizontal="left"/>
    </xf>
  </cellXfs>
  <cellStyles count="7">
    <cellStyle name="Comma" xfId="1" builtinId="3"/>
    <cellStyle name="Comma 9" xfId="2"/>
    <cellStyle name="Neutral" xfId="6" builtinId="28"/>
    <cellStyle name="Normal" xfId="0" builtinId="0"/>
    <cellStyle name="Normal 2" xfId="4"/>
    <cellStyle name="Normal 9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8</xdr:row>
      <xdr:rowOff>0</xdr:rowOff>
    </xdr:from>
    <xdr:to>
      <xdr:col>23</xdr:col>
      <xdr:colOff>323850</xdr:colOff>
      <xdr:row>8</xdr:row>
      <xdr:rowOff>76200</xdr:rowOff>
    </xdr:to>
    <xdr:sp macro="" textlink="">
      <xdr:nvSpPr>
        <xdr:cNvPr id="13322" name="Line 10"/>
        <xdr:cNvSpPr>
          <a:spLocks noChangeShapeType="1"/>
        </xdr:cNvSpPr>
      </xdr:nvSpPr>
      <xdr:spPr bwMode="auto">
        <a:xfrm flipH="1">
          <a:off x="9267825" y="2381250"/>
          <a:ext cx="1657350" cy="7620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triangle" w="lg" len="lg"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bdisalaan%20docments\My%20Documents\Budget%20of%20%202011xx66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C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8B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mush 1"/>
      <sheetName val="sum"/>
      <sheetName val="Sheet5"/>
      <sheetName val="Sheet4"/>
      <sheetName val="1.1.0"/>
      <sheetName val="Tahar"/>
      <sheetName val="shaq2"/>
      <sheetName val="shaq,3"/>
      <sheetName val="Shaq"/>
      <sheetName val="sookob2"/>
      <sheetName val="Sheet12"/>
      <sheetName val="Sheet7"/>
      <sheetName val="Sheet13"/>
      <sheetName val="Sheet6"/>
      <sheetName val="Sheet11"/>
      <sheetName val="Sheet10"/>
      <sheetName val="sookob"/>
      <sheetName val="korodh"/>
      <sheetName val="Sheet2"/>
      <sheetName val="Sheet9"/>
      <sheetName val="Sheet8"/>
      <sheetName val="Sheet1"/>
      <sheetName val="B.taga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1">
          <cell r="L51">
            <v>3203181540</v>
          </cell>
        </row>
      </sheetData>
      <sheetData sheetId="33" refreshError="1"/>
      <sheetData sheetId="34" refreshError="1">
        <row r="47">
          <cell r="K47">
            <v>14633732140</v>
          </cell>
        </row>
      </sheetData>
      <sheetData sheetId="35" refreshError="1"/>
      <sheetData sheetId="36" refreshError="1">
        <row r="53">
          <cell r="K53">
            <v>893742585</v>
          </cell>
        </row>
      </sheetData>
      <sheetData sheetId="37" refreshError="1">
        <row r="43">
          <cell r="L43">
            <v>2423412800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43">
          <cell r="L43">
            <v>1641919631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1A"/>
      <sheetName val="1B"/>
      <sheetName val="2"/>
      <sheetName val="3"/>
      <sheetName val="4"/>
      <sheetName val="5"/>
      <sheetName val="6"/>
      <sheetName val="7"/>
      <sheetName val="8"/>
      <sheetName val="8A"/>
      <sheetName val="9"/>
      <sheetName val="10"/>
      <sheetName val="10a"/>
      <sheetName val="10b"/>
      <sheetName val="10c"/>
      <sheetName val="10d"/>
      <sheetName val="11"/>
      <sheetName val="11a"/>
      <sheetName val="11b"/>
      <sheetName val="11c"/>
      <sheetName val="11d"/>
      <sheetName val="12"/>
      <sheetName val="12a"/>
      <sheetName val="13"/>
      <sheetName val="13A"/>
      <sheetName val="14"/>
      <sheetName val="15"/>
      <sheetName val="16"/>
      <sheetName val="17"/>
      <sheetName val="18"/>
      <sheetName val="19"/>
      <sheetName val="20"/>
      <sheetName val="20B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1.1.0"/>
      <sheetName val="Sum 1"/>
      <sheetName val="shaq,3"/>
      <sheetName val="sookob2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9">
          <cell r="H29">
            <v>3324578400</v>
          </cell>
        </row>
      </sheetData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triangle" w="lg" len="lg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67"/>
  <sheetViews>
    <sheetView view="pageBreakPreview" topLeftCell="A37" zoomScale="60" zoomScaleNormal="100" workbookViewId="0">
      <selection activeCell="V16" sqref="V16"/>
    </sheetView>
  </sheetViews>
  <sheetFormatPr defaultRowHeight="20.100000000000001" customHeight="1"/>
  <cols>
    <col min="1" max="1" width="9.33203125" style="30"/>
    <col min="2" max="2" width="11.83203125" style="30" bestFit="1" customWidth="1"/>
    <col min="3" max="3" width="72.33203125" style="30" customWidth="1"/>
    <col min="4" max="10" width="9.33203125" style="30" hidden="1" customWidth="1"/>
    <col min="11" max="11" width="23.6640625" style="30" hidden="1" customWidth="1"/>
    <col min="12" max="12" width="29.33203125" style="30" hidden="1" customWidth="1"/>
    <col min="13" max="13" width="27" style="73" hidden="1" customWidth="1"/>
    <col min="14" max="14" width="30.83203125" style="73" hidden="1" customWidth="1"/>
    <col min="15" max="15" width="34" style="73" bestFit="1" customWidth="1"/>
    <col min="16" max="16" width="34" style="73" customWidth="1"/>
    <col min="17" max="17" width="30" style="30" customWidth="1"/>
    <col min="18" max="16384" width="9.33203125" style="30"/>
  </cols>
  <sheetData>
    <row r="1" spans="1:17" ht="20.100000000000001" customHeight="1">
      <c r="A1" s="178" t="s">
        <v>835</v>
      </c>
      <c r="B1" s="26" t="s">
        <v>21</v>
      </c>
      <c r="C1" s="27" t="s">
        <v>27</v>
      </c>
      <c r="D1" s="28" t="s">
        <v>2</v>
      </c>
      <c r="E1" s="28" t="s">
        <v>24</v>
      </c>
      <c r="F1" s="28" t="s">
        <v>32</v>
      </c>
      <c r="G1" s="28" t="s">
        <v>43</v>
      </c>
      <c r="H1" s="29" t="s">
        <v>40</v>
      </c>
      <c r="I1" s="29" t="s">
        <v>79</v>
      </c>
      <c r="J1" s="29" t="s">
        <v>80</v>
      </c>
      <c r="K1" s="29" t="s">
        <v>110</v>
      </c>
      <c r="L1" s="29" t="s">
        <v>166</v>
      </c>
      <c r="M1" s="28" t="s">
        <v>320</v>
      </c>
      <c r="N1" s="28" t="s">
        <v>529</v>
      </c>
      <c r="O1" s="28" t="s">
        <v>604</v>
      </c>
      <c r="P1" s="28" t="s">
        <v>721</v>
      </c>
      <c r="Q1" s="28" t="s">
        <v>29</v>
      </c>
    </row>
    <row r="2" spans="1:17" ht="20.100000000000001" customHeight="1">
      <c r="A2" s="41">
        <v>1</v>
      </c>
      <c r="B2" s="176" t="s">
        <v>819</v>
      </c>
      <c r="C2" s="24" t="s">
        <v>915</v>
      </c>
      <c r="D2" s="24" t="e">
        <f>'011-012'!#REF!</f>
        <v>#REF!</v>
      </c>
      <c r="E2" s="24">
        <f>'011-012'!C7</f>
        <v>0</v>
      </c>
      <c r="F2" s="24">
        <f>'011-012'!C7</f>
        <v>0</v>
      </c>
      <c r="G2" s="24">
        <f>'011-012'!D7</f>
        <v>0</v>
      </c>
      <c r="H2" s="32">
        <f>'011-012'!E4</f>
        <v>2600419200</v>
      </c>
      <c r="I2" s="32">
        <f>'011-012'!F4</f>
        <v>2600419200</v>
      </c>
      <c r="J2" s="32">
        <v>2600419200</v>
      </c>
      <c r="K2" s="32">
        <v>2600419200</v>
      </c>
      <c r="L2" s="32">
        <f>'011-012'!I7</f>
        <v>819000000</v>
      </c>
      <c r="M2" s="24">
        <f>'011-012'!I7</f>
        <v>819000000</v>
      </c>
      <c r="N2" s="24">
        <f>'011-012'!J7</f>
        <v>819000000</v>
      </c>
      <c r="O2" s="24">
        <f>'011-012'!K7</f>
        <v>819000000</v>
      </c>
      <c r="P2" s="24">
        <f>'011-012'!L7</f>
        <v>819000000</v>
      </c>
      <c r="Q2" s="98">
        <f>P2-O2</f>
        <v>0</v>
      </c>
    </row>
    <row r="3" spans="1:17" ht="20.100000000000001" customHeight="1">
      <c r="A3" s="41">
        <v>1</v>
      </c>
      <c r="B3" s="176" t="s">
        <v>820</v>
      </c>
      <c r="C3" s="24" t="s">
        <v>57</v>
      </c>
      <c r="D3" s="24" t="e">
        <f>'011-012'!#REF!</f>
        <v>#REF!</v>
      </c>
      <c r="E3" s="24" t="e">
        <f>'011-012'!#REF!</f>
        <v>#REF!</v>
      </c>
      <c r="F3" s="24">
        <f>'011-012'!C21</f>
        <v>1189000000</v>
      </c>
      <c r="G3" s="24">
        <f>'011-012'!D21</f>
        <v>1151200000</v>
      </c>
      <c r="H3" s="32">
        <f>'011-012'!E21</f>
        <v>1151200000</v>
      </c>
      <c r="I3" s="32">
        <f>'011-012'!F18:F18</f>
        <v>1151200000</v>
      </c>
      <c r="J3" s="32">
        <v>1151200000</v>
      </c>
      <c r="K3" s="32">
        <v>1151200000</v>
      </c>
      <c r="L3" s="32">
        <f>'011-012'!I21</f>
        <v>585000000</v>
      </c>
      <c r="M3" s="24">
        <f>'011-012'!I21</f>
        <v>585000000</v>
      </c>
      <c r="N3" s="24">
        <f>'011-012'!J21</f>
        <v>585000000</v>
      </c>
      <c r="O3" s="24">
        <f>'011-012'!K21</f>
        <v>585000000</v>
      </c>
      <c r="P3" s="24">
        <f>'011-012'!L21</f>
        <v>585000000</v>
      </c>
      <c r="Q3" s="98">
        <f t="shared" ref="Q3:Q66" si="0">P3-O3</f>
        <v>0</v>
      </c>
    </row>
    <row r="4" spans="1:17" ht="20.100000000000001" customHeight="1">
      <c r="A4" s="41">
        <v>2</v>
      </c>
      <c r="B4" s="176" t="s">
        <v>823</v>
      </c>
      <c r="C4" s="24" t="s">
        <v>916</v>
      </c>
      <c r="D4" s="24"/>
      <c r="E4" s="24"/>
      <c r="F4" s="24"/>
      <c r="G4" s="24">
        <v>0</v>
      </c>
      <c r="H4" s="32" t="e">
        <f>'013'!D26</f>
        <v>#REF!</v>
      </c>
      <c r="I4" s="32">
        <v>283464717</v>
      </c>
      <c r="J4" s="32" t="e">
        <f>'013'!F26</f>
        <v>#REF!</v>
      </c>
      <c r="K4" s="32">
        <v>379488642</v>
      </c>
      <c r="L4" s="32" t="e">
        <f>'013'!H42</f>
        <v>#REF!</v>
      </c>
      <c r="M4" s="24">
        <f>'013'!I42</f>
        <v>520566204.19999999</v>
      </c>
      <c r="N4" s="24">
        <f>'013'!J42</f>
        <v>669508120.20000005</v>
      </c>
      <c r="O4" s="24">
        <f>'013'!L42</f>
        <v>1900776562.2</v>
      </c>
      <c r="P4" s="24">
        <f>'013'!M42</f>
        <v>1507148452.2</v>
      </c>
      <c r="Q4" s="98">
        <f t="shared" si="0"/>
        <v>-393628110</v>
      </c>
    </row>
    <row r="5" spans="1:17" ht="20.100000000000001" customHeight="1">
      <c r="A5" s="41">
        <v>3</v>
      </c>
      <c r="B5" s="176" t="s">
        <v>824</v>
      </c>
      <c r="C5" s="24" t="s">
        <v>55</v>
      </c>
      <c r="D5" s="24" t="e">
        <f>#REF!</f>
        <v>#REF!</v>
      </c>
      <c r="E5" s="24" t="e">
        <f>#REF!</f>
        <v>#REF!</v>
      </c>
      <c r="F5" s="24" t="e">
        <f>#REF!</f>
        <v>#REF!</v>
      </c>
      <c r="G5" s="24" t="e">
        <f>'021'!G51</f>
        <v>#REF!</v>
      </c>
      <c r="H5" s="32" t="e">
        <f>'021'!H51</f>
        <v>#REF!</v>
      </c>
      <c r="I5" s="32" t="e">
        <f>'021'!I51</f>
        <v>#REF!</v>
      </c>
      <c r="J5" s="32" t="e">
        <f>'021'!J51</f>
        <v>#REF!</v>
      </c>
      <c r="K5" s="32">
        <v>6088620400</v>
      </c>
      <c r="L5" s="33" t="e">
        <f>'021'!M51</f>
        <v>#REF!</v>
      </c>
      <c r="M5" s="24">
        <f>'021'!N51</f>
        <v>14413692800</v>
      </c>
      <c r="N5" s="24">
        <f>'021'!O51</f>
        <v>15364892800</v>
      </c>
      <c r="O5" s="24">
        <f>'021'!P51</f>
        <v>17234053120</v>
      </c>
      <c r="P5" s="24">
        <f>'021'!Q51</f>
        <v>20199178720</v>
      </c>
      <c r="Q5" s="98">
        <f t="shared" si="0"/>
        <v>2965125600</v>
      </c>
    </row>
    <row r="6" spans="1:17" ht="20.100000000000001" customHeight="1">
      <c r="A6" s="41">
        <v>4</v>
      </c>
      <c r="B6" s="176" t="s">
        <v>822</v>
      </c>
      <c r="C6" s="24" t="s">
        <v>917</v>
      </c>
      <c r="D6" s="24" t="e">
        <f>'031'!#REF!</f>
        <v>#REF!</v>
      </c>
      <c r="E6" s="24" t="e">
        <f>'031'!#REF!</f>
        <v>#REF!</v>
      </c>
      <c r="F6" s="24" t="e">
        <f>'031'!#REF!</f>
        <v>#REF!</v>
      </c>
      <c r="G6" s="24" t="e">
        <f>'031'!#REF!</f>
        <v>#REF!</v>
      </c>
      <c r="H6" s="32" t="e">
        <f>'031'!#REF!</f>
        <v>#REF!</v>
      </c>
      <c r="I6" s="32" t="e">
        <f>'031'!#REF!</f>
        <v>#REF!</v>
      </c>
      <c r="J6" s="32" t="e">
        <f>'031'!#REF!</f>
        <v>#REF!</v>
      </c>
      <c r="K6" s="32">
        <v>6555058600</v>
      </c>
      <c r="L6" s="33">
        <f>'031'!L54</f>
        <v>14449890400</v>
      </c>
      <c r="M6" s="24">
        <f>'031'!M54</f>
        <v>13336485600</v>
      </c>
      <c r="N6" s="24">
        <f>'031'!N54</f>
        <v>15639542400</v>
      </c>
      <c r="O6" s="24">
        <f>'031'!O54</f>
        <v>17877222240</v>
      </c>
      <c r="P6" s="24">
        <f>'031'!P54</f>
        <v>18727824320</v>
      </c>
      <c r="Q6" s="98">
        <f t="shared" si="0"/>
        <v>850602080</v>
      </c>
    </row>
    <row r="7" spans="1:17" ht="20.100000000000001" customHeight="1">
      <c r="A7" s="41">
        <v>5</v>
      </c>
      <c r="B7" s="176" t="s">
        <v>825</v>
      </c>
      <c r="C7" s="24" t="s">
        <v>918</v>
      </c>
      <c r="D7" s="24" t="e">
        <f>'041'!#REF!</f>
        <v>#REF!</v>
      </c>
      <c r="E7" s="24" t="e">
        <f>'041'!#REF!</f>
        <v>#REF!</v>
      </c>
      <c r="F7" s="24" t="e">
        <f>'041'!#REF!</f>
        <v>#REF!</v>
      </c>
      <c r="G7" s="24" t="e">
        <f>'041'!#REF!</f>
        <v>#REF!</v>
      </c>
      <c r="H7" s="32" t="e">
        <f>'041'!#REF!</f>
        <v>#REF!</v>
      </c>
      <c r="I7" s="32" t="e">
        <f>'041'!#REF!</f>
        <v>#REF!</v>
      </c>
      <c r="J7" s="32" t="e">
        <f>'041'!#REF!</f>
        <v>#REF!</v>
      </c>
      <c r="K7" s="32">
        <v>1114391200</v>
      </c>
      <c r="L7" s="33" t="e">
        <f>'041'!L49</f>
        <v>#REF!</v>
      </c>
      <c r="M7" s="24">
        <f>'041'!M49</f>
        <v>1662712120</v>
      </c>
      <c r="N7" s="24">
        <f>'041'!N49</f>
        <v>1962840120</v>
      </c>
      <c r="O7" s="24">
        <f>'041'!O49</f>
        <v>2265184120</v>
      </c>
      <c r="P7" s="24">
        <f>'041'!P49</f>
        <v>2506750160</v>
      </c>
      <c r="Q7" s="98">
        <f t="shared" si="0"/>
        <v>241566040</v>
      </c>
    </row>
    <row r="8" spans="1:17" ht="20.100000000000001" customHeight="1">
      <c r="A8" s="41">
        <v>6</v>
      </c>
      <c r="B8" s="176" t="s">
        <v>826</v>
      </c>
      <c r="C8" s="24" t="s">
        <v>919</v>
      </c>
      <c r="D8" s="24" t="e">
        <f>'051'!#REF!</f>
        <v>#REF!</v>
      </c>
      <c r="E8" s="24" t="e">
        <f>'051'!#REF!</f>
        <v>#REF!</v>
      </c>
      <c r="F8" s="24" t="e">
        <f>'051'!#REF!</f>
        <v>#REF!</v>
      </c>
      <c r="G8" s="24">
        <v>463194400</v>
      </c>
      <c r="H8" s="32" t="e">
        <f>'051'!#REF!</f>
        <v>#REF!</v>
      </c>
      <c r="I8" s="32" t="e">
        <f>'051'!#REF!</f>
        <v>#REF!</v>
      </c>
      <c r="J8" s="32" t="e">
        <f>'051'!#REF!</f>
        <v>#REF!</v>
      </c>
      <c r="K8" s="32">
        <v>854051200</v>
      </c>
      <c r="L8" s="33" t="e">
        <f>'051'!L48</f>
        <v>#REF!</v>
      </c>
      <c r="M8" s="24">
        <f>'051'!M48</f>
        <v>1818020400</v>
      </c>
      <c r="N8" s="24">
        <f>'051'!N48</f>
        <v>2220080400</v>
      </c>
      <c r="O8" s="24">
        <f>'051'!O48</f>
        <v>3346575440</v>
      </c>
      <c r="P8" s="24">
        <f>'051'!P48</f>
        <v>3589587600</v>
      </c>
      <c r="Q8" s="98">
        <f t="shared" si="0"/>
        <v>243012160</v>
      </c>
    </row>
    <row r="9" spans="1:17" ht="20.100000000000001" customHeight="1">
      <c r="A9" s="41">
        <v>7</v>
      </c>
      <c r="B9" s="176" t="s">
        <v>827</v>
      </c>
      <c r="C9" s="24" t="s">
        <v>53</v>
      </c>
      <c r="D9" s="24" t="e">
        <f>'061'!#REF!</f>
        <v>#REF!</v>
      </c>
      <c r="E9" s="24" t="e">
        <f>'061'!#REF!</f>
        <v>#REF!</v>
      </c>
      <c r="F9" s="24" t="e">
        <f>'061'!#REF!</f>
        <v>#REF!</v>
      </c>
      <c r="G9" s="24">
        <v>516977600</v>
      </c>
      <c r="H9" s="32" t="e">
        <f>'061'!#REF!</f>
        <v>#REF!</v>
      </c>
      <c r="I9" s="32" t="e">
        <f>'061'!#REF!</f>
        <v>#REF!</v>
      </c>
      <c r="J9" s="32" t="e">
        <f>'061'!#REF!</f>
        <v>#REF!</v>
      </c>
      <c r="K9" s="32">
        <v>907223322</v>
      </c>
      <c r="L9" s="32" t="e">
        <f>'061'!L53</f>
        <v>#REF!</v>
      </c>
      <c r="M9" s="24" t="e">
        <f>'061'!M53</f>
        <v>#REF!</v>
      </c>
      <c r="N9" s="24" t="e">
        <f>'061'!N53</f>
        <v>#REF!</v>
      </c>
      <c r="O9" s="24">
        <f>'061'!O53</f>
        <v>8332127845.3999996</v>
      </c>
      <c r="P9" s="24">
        <f>'061'!P53</f>
        <v>8490980645.3999996</v>
      </c>
      <c r="Q9" s="98">
        <f t="shared" si="0"/>
        <v>158852800</v>
      </c>
    </row>
    <row r="10" spans="1:17" ht="20.100000000000001" customHeight="1">
      <c r="A10" s="41">
        <v>8</v>
      </c>
      <c r="B10" s="176" t="s">
        <v>828</v>
      </c>
      <c r="C10" s="24" t="s">
        <v>920</v>
      </c>
      <c r="D10" s="24">
        <f>'071'!D32</f>
        <v>0</v>
      </c>
      <c r="E10" s="24">
        <f>'071'!E32</f>
        <v>0</v>
      </c>
      <c r="F10" s="24">
        <f>'071'!F32</f>
        <v>0</v>
      </c>
      <c r="G10" s="24">
        <v>496375200</v>
      </c>
      <c r="H10" s="32">
        <f>'071'!I32:I32</f>
        <v>0</v>
      </c>
      <c r="I10" s="32">
        <f>'071'!J32</f>
        <v>0</v>
      </c>
      <c r="J10" s="32">
        <f>'071'!K32</f>
        <v>14151200</v>
      </c>
      <c r="K10" s="32">
        <v>1758966400</v>
      </c>
      <c r="L10" s="32" t="e">
        <f>'071'!M52</f>
        <v>#REF!</v>
      </c>
      <c r="M10" s="24">
        <f>'071'!N52</f>
        <v>1831210024</v>
      </c>
      <c r="N10" s="24">
        <f>'071'!O52</f>
        <v>1899834024</v>
      </c>
      <c r="O10" s="24">
        <f>'071'!P52</f>
        <v>4332839784</v>
      </c>
      <c r="P10" s="24">
        <f>'071'!Q52</f>
        <v>3993942184</v>
      </c>
      <c r="Q10" s="98">
        <f t="shared" si="0"/>
        <v>-338897600</v>
      </c>
    </row>
    <row r="11" spans="1:17" ht="20.100000000000001" customHeight="1">
      <c r="A11" s="41">
        <v>9</v>
      </c>
      <c r="B11" s="176" t="s">
        <v>829</v>
      </c>
      <c r="C11" s="24" t="s">
        <v>703</v>
      </c>
      <c r="D11" s="24" t="e">
        <f>'081'!#REF!</f>
        <v>#REF!</v>
      </c>
      <c r="E11" s="24" t="e">
        <f>'081'!#REF!</f>
        <v>#REF!</v>
      </c>
      <c r="F11" s="24" t="e">
        <f>'081'!#REF!</f>
        <v>#REF!</v>
      </c>
      <c r="G11" s="24" t="e">
        <f>'081'!#REF!</f>
        <v>#REF!</v>
      </c>
      <c r="H11" s="32" t="e">
        <f>'081'!#REF!</f>
        <v>#REF!</v>
      </c>
      <c r="I11" s="32" t="e">
        <f>'081'!#REF!</f>
        <v>#REF!</v>
      </c>
      <c r="J11" s="32" t="e">
        <f>'081'!#REF!</f>
        <v>#REF!</v>
      </c>
      <c r="K11" s="32">
        <v>13195562882</v>
      </c>
      <c r="L11" s="32" t="e">
        <f>'081'!K54</f>
        <v>#REF!</v>
      </c>
      <c r="M11" s="24" t="e">
        <f>'081'!L54</f>
        <v>#REF!</v>
      </c>
      <c r="N11" s="24" t="e">
        <f>'081'!M54</f>
        <v>#REF!</v>
      </c>
      <c r="O11" s="24">
        <f>'081'!N54</f>
        <v>41666157890</v>
      </c>
      <c r="P11" s="24">
        <f>'081'!O54</f>
        <v>38516040570</v>
      </c>
      <c r="Q11" s="98">
        <f t="shared" si="0"/>
        <v>-3150117320</v>
      </c>
    </row>
    <row r="12" spans="1:17" ht="20.100000000000001" customHeight="1">
      <c r="A12" s="41">
        <v>10</v>
      </c>
      <c r="B12" s="176" t="s">
        <v>830</v>
      </c>
      <c r="C12" s="24" t="s">
        <v>921</v>
      </c>
      <c r="D12" s="24">
        <f>'331'!D36</f>
        <v>0</v>
      </c>
      <c r="E12" s="24">
        <f>'331'!E36</f>
        <v>0</v>
      </c>
      <c r="F12" s="24">
        <f>'331'!F36</f>
        <v>0</v>
      </c>
      <c r="G12" s="24">
        <v>116932000</v>
      </c>
      <c r="H12" s="32">
        <f>'331'!H36</f>
        <v>0</v>
      </c>
      <c r="I12" s="32">
        <f>'331'!I36</f>
        <v>0</v>
      </c>
      <c r="J12" s="32">
        <f>'331'!J36</f>
        <v>0</v>
      </c>
      <c r="K12" s="32">
        <v>4324324812</v>
      </c>
      <c r="L12" s="32">
        <f>'082'!M52</f>
        <v>7390013961.6714296</v>
      </c>
      <c r="M12" s="24">
        <f>'082'!N52</f>
        <v>6900394495.3000002</v>
      </c>
      <c r="N12" s="24">
        <f>'082'!O52</f>
        <v>9033577194</v>
      </c>
      <c r="O12" s="24">
        <f>'082'!P52</f>
        <v>17024220874</v>
      </c>
      <c r="P12" s="24">
        <f>'082'!Q52</f>
        <v>15352321802</v>
      </c>
      <c r="Q12" s="98">
        <f t="shared" si="0"/>
        <v>-1671899072</v>
      </c>
    </row>
    <row r="13" spans="1:17" ht="20.100000000000001" customHeight="1">
      <c r="A13" s="41">
        <v>11</v>
      </c>
      <c r="B13" s="176" t="s">
        <v>831</v>
      </c>
      <c r="C13" s="24" t="s">
        <v>361</v>
      </c>
      <c r="D13" s="24"/>
      <c r="E13" s="24"/>
      <c r="F13" s="24"/>
      <c r="G13" s="24"/>
      <c r="H13" s="32"/>
      <c r="I13" s="32"/>
      <c r="J13" s="32"/>
      <c r="K13" s="32"/>
      <c r="L13" s="32">
        <v>0</v>
      </c>
      <c r="M13" s="24">
        <f>'083'!D44</f>
        <v>375686800</v>
      </c>
      <c r="N13" s="24">
        <f>'083'!E44</f>
        <v>428231600</v>
      </c>
      <c r="O13" s="24">
        <f>'083'!F44</f>
        <v>597677840</v>
      </c>
      <c r="P13" s="24">
        <f>'083'!G44</f>
        <v>658229520</v>
      </c>
      <c r="Q13" s="98">
        <f t="shared" si="0"/>
        <v>60551680</v>
      </c>
    </row>
    <row r="14" spans="1:17" ht="20.100000000000001" customHeight="1">
      <c r="A14" s="41">
        <v>12</v>
      </c>
      <c r="B14" s="176" t="s">
        <v>832</v>
      </c>
      <c r="C14" s="24" t="s">
        <v>573</v>
      </c>
      <c r="D14" s="24"/>
      <c r="E14" s="24"/>
      <c r="F14" s="24"/>
      <c r="G14" s="24"/>
      <c r="H14" s="32"/>
      <c r="I14" s="32"/>
      <c r="J14" s="32"/>
      <c r="K14" s="32"/>
      <c r="L14" s="32"/>
      <c r="M14" s="24">
        <v>0</v>
      </c>
      <c r="N14" s="24">
        <f>'084'!O46</f>
        <v>6943665380</v>
      </c>
      <c r="O14" s="24">
        <f>'084'!P46</f>
        <v>8618624100</v>
      </c>
      <c r="P14" s="24">
        <f>'084'!Q46</f>
        <v>8688624100</v>
      </c>
      <c r="Q14" s="98">
        <f t="shared" si="0"/>
        <v>70000000</v>
      </c>
    </row>
    <row r="15" spans="1:17" ht="20.100000000000001" customHeight="1">
      <c r="A15" s="41">
        <v>13</v>
      </c>
      <c r="B15" s="176" t="s">
        <v>833</v>
      </c>
      <c r="C15" s="24" t="s">
        <v>574</v>
      </c>
      <c r="D15" s="24"/>
      <c r="E15" s="24"/>
      <c r="F15" s="24"/>
      <c r="G15" s="24"/>
      <c r="H15" s="32"/>
      <c r="I15" s="32"/>
      <c r="J15" s="32"/>
      <c r="K15" s="32"/>
      <c r="L15" s="32"/>
      <c r="M15" s="24">
        <v>0</v>
      </c>
      <c r="N15" s="24">
        <f>'085'!Q38</f>
        <v>800000000</v>
      </c>
      <c r="O15" s="24">
        <f>'085'!R38</f>
        <v>1190000000</v>
      </c>
      <c r="P15" s="24">
        <f>'085'!S38</f>
        <v>1595550000</v>
      </c>
      <c r="Q15" s="98">
        <f t="shared" si="0"/>
        <v>405550000</v>
      </c>
    </row>
    <row r="16" spans="1:17" ht="20.100000000000001" customHeight="1">
      <c r="A16" s="41">
        <v>14</v>
      </c>
      <c r="B16" s="176" t="s">
        <v>834</v>
      </c>
      <c r="C16" s="24" t="s">
        <v>922</v>
      </c>
      <c r="D16" s="24" t="e">
        <f>'091'!#REF!</f>
        <v>#REF!</v>
      </c>
      <c r="E16" s="24" t="e">
        <f>'091'!#REF!</f>
        <v>#REF!</v>
      </c>
      <c r="F16" s="24" t="e">
        <f>'091'!#REF!</f>
        <v>#REF!</v>
      </c>
      <c r="G16" s="24">
        <v>1870580000</v>
      </c>
      <c r="H16" s="32" t="e">
        <f>'091'!#REF!</f>
        <v>#REF!</v>
      </c>
      <c r="I16" s="32" t="e">
        <f>'091'!#REF!</f>
        <v>#REF!</v>
      </c>
      <c r="J16" s="32" t="e">
        <f>'091'!#REF!</f>
        <v>#REF!</v>
      </c>
      <c r="K16" s="32">
        <v>4597004640</v>
      </c>
      <c r="L16" s="32" t="e">
        <f>'091'!M53</f>
        <v>#REF!</v>
      </c>
      <c r="M16" s="24">
        <f>'091'!N53</f>
        <v>10308034508</v>
      </c>
      <c r="N16" s="24">
        <f>'091'!O53</f>
        <v>11346591288</v>
      </c>
      <c r="O16" s="24">
        <f>'091'!P53</f>
        <v>13977637688</v>
      </c>
      <c r="P16" s="24">
        <f>'091'!Q53</f>
        <v>16210847488</v>
      </c>
      <c r="Q16" s="98">
        <f t="shared" si="0"/>
        <v>2233209800</v>
      </c>
    </row>
    <row r="17" spans="1:17" ht="20.100000000000001" customHeight="1">
      <c r="A17" s="41">
        <v>15</v>
      </c>
      <c r="B17" s="31">
        <v>101</v>
      </c>
      <c r="C17" s="24" t="s">
        <v>228</v>
      </c>
      <c r="D17" s="24" t="e">
        <f>'101'!D30</f>
        <v>#REF!</v>
      </c>
      <c r="E17" s="24" t="e">
        <f>'101'!E30</f>
        <v>#REF!</v>
      </c>
      <c r="F17" s="24" t="e">
        <f>'101'!F30</f>
        <v>#REF!</v>
      </c>
      <c r="G17" s="24">
        <v>235824000</v>
      </c>
      <c r="H17" s="32" t="e">
        <f>'101'!H30</f>
        <v>#REF!</v>
      </c>
      <c r="I17" s="32" t="e">
        <f>'101'!I30</f>
        <v>#REF!</v>
      </c>
      <c r="J17" s="32" t="e">
        <f>'101'!J30</f>
        <v>#REF!</v>
      </c>
      <c r="K17" s="32">
        <v>679875200</v>
      </c>
      <c r="L17" s="32" t="e">
        <f>'101'!M48</f>
        <v>#REF!</v>
      </c>
      <c r="M17" s="24">
        <f>'101'!N48</f>
        <v>1631720320</v>
      </c>
      <c r="N17" s="24">
        <f>'101'!O48</f>
        <v>1784867200</v>
      </c>
      <c r="O17" s="24">
        <f>'101'!P48</f>
        <v>3034337760</v>
      </c>
      <c r="P17" s="24">
        <f>'101'!Q48</f>
        <v>4111733920</v>
      </c>
      <c r="Q17" s="98">
        <f t="shared" si="0"/>
        <v>1077396160</v>
      </c>
    </row>
    <row r="18" spans="1:17" ht="20.100000000000001" customHeight="1">
      <c r="A18" s="41">
        <v>16</v>
      </c>
      <c r="B18" s="31">
        <v>102</v>
      </c>
      <c r="C18" s="24" t="s">
        <v>152</v>
      </c>
      <c r="D18" s="24" t="e">
        <f>'102'!#REF!</f>
        <v>#REF!</v>
      </c>
      <c r="E18" s="24" t="e">
        <f>'102'!#REF!</f>
        <v>#REF!</v>
      </c>
      <c r="F18" s="24" t="e">
        <f>'102'!#REF!</f>
        <v>#REF!</v>
      </c>
      <c r="G18" s="24">
        <v>6290707200</v>
      </c>
      <c r="H18" s="24" t="e">
        <f>'102'!#REF!</f>
        <v>#REF!</v>
      </c>
      <c r="I18" s="24" t="e">
        <f>'102'!#REF!</f>
        <v>#REF!</v>
      </c>
      <c r="J18" s="24" t="e">
        <f>'102'!#REF!</f>
        <v>#REF!</v>
      </c>
      <c r="K18" s="32">
        <v>17366838836</v>
      </c>
      <c r="L18" s="24">
        <f>'102'!M50</f>
        <v>28876428370</v>
      </c>
      <c r="M18" s="24">
        <f>'102'!N50</f>
        <v>29729133176</v>
      </c>
      <c r="N18" s="24">
        <f>'102'!O50</f>
        <v>30494594452</v>
      </c>
      <c r="O18" s="24">
        <f>'102'!P50</f>
        <v>33465546540</v>
      </c>
      <c r="P18" s="24">
        <f>'102'!Q50</f>
        <v>37016918636</v>
      </c>
      <c r="Q18" s="98">
        <f t="shared" si="0"/>
        <v>3551372096</v>
      </c>
    </row>
    <row r="19" spans="1:17" ht="20.100000000000001" customHeight="1">
      <c r="A19" s="41">
        <v>17</v>
      </c>
      <c r="B19" s="31">
        <v>103</v>
      </c>
      <c r="C19" s="24" t="s">
        <v>923</v>
      </c>
      <c r="D19" s="24" t="e">
        <f>#REF!</f>
        <v>#REF!</v>
      </c>
      <c r="E19" s="24" t="e">
        <f>#REF!</f>
        <v>#REF!</v>
      </c>
      <c r="F19" s="24" t="e">
        <f>#REF!</f>
        <v>#REF!</v>
      </c>
      <c r="G19" s="24">
        <v>1956383200</v>
      </c>
      <c r="H19" s="24" t="e">
        <f>#REF!</f>
        <v>#REF!</v>
      </c>
      <c r="I19" s="24" t="e">
        <f>#REF!</f>
        <v>#REF!</v>
      </c>
      <c r="J19" s="24" t="e">
        <f>#REF!</f>
        <v>#REF!</v>
      </c>
      <c r="K19" s="32">
        <v>4243360800</v>
      </c>
      <c r="L19" s="24" t="e">
        <f>'103'!L50</f>
        <v>#REF!</v>
      </c>
      <c r="M19" s="24">
        <f>'103'!M50</f>
        <v>7431930880</v>
      </c>
      <c r="N19" s="24">
        <f>'103'!N50</f>
        <v>8490853800</v>
      </c>
      <c r="O19" s="24">
        <f>'103'!O50</f>
        <v>10486434440</v>
      </c>
      <c r="P19" s="24">
        <f>'103'!P50</f>
        <v>11291614600</v>
      </c>
      <c r="Q19" s="98">
        <f t="shared" si="0"/>
        <v>805180160</v>
      </c>
    </row>
    <row r="20" spans="1:17" ht="20.100000000000001" customHeight="1">
      <c r="A20" s="41">
        <v>18</v>
      </c>
      <c r="B20" s="31">
        <v>104</v>
      </c>
      <c r="C20" s="24" t="s">
        <v>147</v>
      </c>
      <c r="D20" s="24"/>
      <c r="E20" s="24"/>
      <c r="F20" s="24"/>
      <c r="G20" s="24"/>
      <c r="H20" s="32"/>
      <c r="I20" s="32"/>
      <c r="J20" s="32"/>
      <c r="K20" s="32">
        <v>235240000</v>
      </c>
      <c r="L20" s="32" t="e">
        <f>'104'!M43</f>
        <v>#REF!</v>
      </c>
      <c r="M20" s="24">
        <f>'104'!N43</f>
        <v>1217248800</v>
      </c>
      <c r="N20" s="24">
        <f>'104'!O43</f>
        <v>1540450400</v>
      </c>
      <c r="O20" s="24">
        <f>'104'!P43</f>
        <v>1976465920</v>
      </c>
      <c r="P20" s="24">
        <f>'104'!Q43</f>
        <v>2223936960</v>
      </c>
      <c r="Q20" s="98">
        <f t="shared" si="0"/>
        <v>247471040</v>
      </c>
    </row>
    <row r="21" spans="1:17" ht="20.100000000000001" customHeight="1">
      <c r="A21" s="41">
        <v>19</v>
      </c>
      <c r="B21" s="31">
        <v>105</v>
      </c>
      <c r="C21" s="24" t="s">
        <v>148</v>
      </c>
      <c r="D21" s="24"/>
      <c r="E21" s="24"/>
      <c r="F21" s="24"/>
      <c r="G21" s="24"/>
      <c r="H21" s="32"/>
      <c r="I21" s="32"/>
      <c r="J21" s="32"/>
      <c r="K21" s="32">
        <v>306784800</v>
      </c>
      <c r="L21" s="32" t="e">
        <f>'105'!N35</f>
        <v>#REF!</v>
      </c>
      <c r="M21" s="24">
        <f>'105'!O35</f>
        <v>360848800</v>
      </c>
      <c r="N21" s="24">
        <f>'105'!P35</f>
        <v>316181600</v>
      </c>
      <c r="O21" s="24">
        <f>'105'!Q35</f>
        <v>853137920</v>
      </c>
      <c r="P21" s="24">
        <f>'105'!R35</f>
        <v>890380800</v>
      </c>
      <c r="Q21" s="98">
        <f t="shared" si="0"/>
        <v>37242880</v>
      </c>
    </row>
    <row r="22" spans="1:17" ht="20.100000000000001" customHeight="1">
      <c r="A22" s="41">
        <v>20</v>
      </c>
      <c r="B22" s="31">
        <v>106</v>
      </c>
      <c r="C22" s="24" t="s">
        <v>694</v>
      </c>
      <c r="D22" s="24"/>
      <c r="E22" s="24"/>
      <c r="F22" s="24"/>
      <c r="G22" s="24"/>
      <c r="H22" s="32"/>
      <c r="I22" s="32"/>
      <c r="J22" s="32"/>
      <c r="K22" s="32">
        <v>289800000</v>
      </c>
      <c r="L22" s="32" t="e">
        <f>#REF!</f>
        <v>#REF!</v>
      </c>
      <c r="M22" s="24" t="e">
        <f>#REF!</f>
        <v>#REF!</v>
      </c>
      <c r="N22" s="24" t="e">
        <f>#REF!</f>
        <v>#REF!</v>
      </c>
      <c r="O22" s="24">
        <v>1256755520</v>
      </c>
      <c r="P22" s="24"/>
      <c r="Q22" s="98">
        <f t="shared" ref="Q22" si="1">P22-O22</f>
        <v>-1256755520</v>
      </c>
    </row>
    <row r="23" spans="1:17" ht="20.100000000000001" customHeight="1">
      <c r="A23" s="41">
        <v>21</v>
      </c>
      <c r="B23" s="31">
        <v>111</v>
      </c>
      <c r="C23" s="24" t="s">
        <v>73</v>
      </c>
      <c r="D23" s="24" t="e">
        <f>#REF!</f>
        <v>#REF!</v>
      </c>
      <c r="E23" s="24" t="e">
        <f>#REF!</f>
        <v>#REF!</v>
      </c>
      <c r="F23" s="24" t="e">
        <f>#REF!</f>
        <v>#REF!</v>
      </c>
      <c r="G23" s="24">
        <v>7253005000</v>
      </c>
      <c r="H23" s="32" t="e">
        <f>#REF!</f>
        <v>#REF!</v>
      </c>
      <c r="I23" s="32" t="e">
        <f>#REF!</f>
        <v>#REF!</v>
      </c>
      <c r="J23" s="32" t="e">
        <f>#REF!</f>
        <v>#REF!</v>
      </c>
      <c r="K23" s="32">
        <f>13678460159+911575954</f>
        <v>14590036113</v>
      </c>
      <c r="L23" s="33" t="e">
        <f>'111'!M49</f>
        <v>#REF!</v>
      </c>
      <c r="M23" s="24" t="e">
        <f>'111'!N49</f>
        <v>#REF!</v>
      </c>
      <c r="N23" s="24" t="e">
        <f>'111'!O49</f>
        <v>#REF!</v>
      </c>
      <c r="O23" s="24">
        <f>'111'!P49</f>
        <v>17420363164</v>
      </c>
      <c r="P23" s="24">
        <f>'111'!Q49</f>
        <v>19262797296</v>
      </c>
      <c r="Q23" s="98">
        <f t="shared" si="0"/>
        <v>1842434132</v>
      </c>
    </row>
    <row r="24" spans="1:17" ht="20.100000000000001" customHeight="1">
      <c r="A24" s="41">
        <v>22</v>
      </c>
      <c r="B24" s="31">
        <v>112</v>
      </c>
      <c r="C24" s="24" t="s">
        <v>149</v>
      </c>
      <c r="D24" s="24" t="e">
        <f>'112'!#REF!</f>
        <v>#REF!</v>
      </c>
      <c r="E24" s="24" t="e">
        <f>'112'!#REF!</f>
        <v>#REF!</v>
      </c>
      <c r="F24" s="24" t="e">
        <f>'112'!#REF!</f>
        <v>#REF!</v>
      </c>
      <c r="G24" s="24">
        <v>15499411200</v>
      </c>
      <c r="H24" s="32" t="e">
        <f>'112'!#REF!</f>
        <v>#REF!</v>
      </c>
      <c r="I24" s="32" t="e">
        <f>'112'!#REF!</f>
        <v>#REF!</v>
      </c>
      <c r="J24" s="32" t="e">
        <f>'112'!#REF!</f>
        <v>#REF!</v>
      </c>
      <c r="K24" s="32">
        <v>33622078053</v>
      </c>
      <c r="L24" s="32">
        <f>'112'!M47</f>
        <v>60646703163</v>
      </c>
      <c r="M24" s="24">
        <f ca="1">'112'!N47</f>
        <v>59808328123</v>
      </c>
      <c r="N24" s="24">
        <f>'112'!Q47</f>
        <v>60638328123</v>
      </c>
      <c r="O24" s="24">
        <f>'112'!R47</f>
        <v>68255495000</v>
      </c>
      <c r="P24" s="24">
        <f>'112'!S47</f>
        <v>76754310054</v>
      </c>
      <c r="Q24" s="98">
        <f t="shared" si="0"/>
        <v>8498815054</v>
      </c>
    </row>
    <row r="25" spans="1:17" ht="20.100000000000001" customHeight="1">
      <c r="A25" s="41">
        <v>23</v>
      </c>
      <c r="B25" s="31">
        <v>113</v>
      </c>
      <c r="C25" s="24" t="s">
        <v>924</v>
      </c>
      <c r="D25" s="24"/>
      <c r="E25" s="24"/>
      <c r="F25" s="24"/>
      <c r="G25" s="24">
        <v>0</v>
      </c>
      <c r="H25" s="32" t="e">
        <f>'113'!#REF!</f>
        <v>#REF!</v>
      </c>
      <c r="I25" s="32" t="e">
        <f>'113'!#REF!</f>
        <v>#REF!</v>
      </c>
      <c r="J25" s="32" t="e">
        <f>'113'!#REF!</f>
        <v>#REF!</v>
      </c>
      <c r="K25" s="32">
        <v>2161379387</v>
      </c>
      <c r="L25" s="32">
        <f>'113'!I42</f>
        <v>6163093217.3999996</v>
      </c>
      <c r="M25" s="24">
        <f>'113'!J42</f>
        <v>6146036753.3999996</v>
      </c>
      <c r="N25" s="24">
        <f>'113'!K42</f>
        <v>6175409153.3999996</v>
      </c>
      <c r="O25" s="24">
        <f>'113'!L42</f>
        <v>7178929253.3999996</v>
      </c>
      <c r="P25" s="24">
        <f>'113'!M42</f>
        <v>8242074173.3999996</v>
      </c>
      <c r="Q25" s="98">
        <f t="shared" si="0"/>
        <v>1063144920</v>
      </c>
    </row>
    <row r="26" spans="1:17" ht="20.100000000000001" customHeight="1">
      <c r="A26" s="41">
        <v>24</v>
      </c>
      <c r="B26" s="31">
        <v>114</v>
      </c>
      <c r="C26" s="24" t="s">
        <v>51</v>
      </c>
      <c r="D26" s="24" t="e">
        <f>'114'!#REF!</f>
        <v>#REF!</v>
      </c>
      <c r="E26" s="24" t="e">
        <f>'114'!#REF!</f>
        <v>#REF!</v>
      </c>
      <c r="F26" s="24" t="e">
        <f>'114'!#REF!</f>
        <v>#REF!</v>
      </c>
      <c r="G26" s="24">
        <v>208425600</v>
      </c>
      <c r="H26" s="24" t="e">
        <f>'114'!#REF!</f>
        <v>#REF!</v>
      </c>
      <c r="I26" s="24" t="e">
        <f>'114'!#REF!</f>
        <v>#REF!</v>
      </c>
      <c r="J26" s="24" t="e">
        <f>'114'!#REF!</f>
        <v>#REF!</v>
      </c>
      <c r="K26" s="32">
        <v>480119672</v>
      </c>
      <c r="L26" s="24">
        <f>'114'!M24</f>
        <v>118367480</v>
      </c>
      <c r="M26" s="24">
        <f>'114'!N24</f>
        <v>22000000</v>
      </c>
      <c r="N26" s="24">
        <f>'114'!N24</f>
        <v>22000000</v>
      </c>
      <c r="O26" s="24">
        <f>'114'!O43</f>
        <v>836522970</v>
      </c>
      <c r="P26" s="24">
        <f>'114'!P43</f>
        <v>901874010</v>
      </c>
      <c r="Q26" s="98">
        <f t="shared" ref="Q26" si="2">P26-O26</f>
        <v>65351040</v>
      </c>
    </row>
    <row r="27" spans="1:17" ht="20.100000000000001" customHeight="1">
      <c r="A27" s="41">
        <v>25</v>
      </c>
      <c r="B27" s="31">
        <v>115</v>
      </c>
      <c r="C27" s="24" t="s">
        <v>97</v>
      </c>
      <c r="D27" s="24"/>
      <c r="E27" s="24"/>
      <c r="F27" s="24"/>
      <c r="G27" s="24"/>
      <c r="H27" s="32"/>
      <c r="I27" s="32"/>
      <c r="J27" s="32"/>
      <c r="K27" s="32">
        <v>3053688406</v>
      </c>
      <c r="L27" s="32">
        <f>'115'!K45</f>
        <v>2598135846</v>
      </c>
      <c r="M27" s="24">
        <f>'115'!L45</f>
        <v>3214534526</v>
      </c>
      <c r="N27" s="24">
        <f>'115'!M45</f>
        <v>3048534526</v>
      </c>
      <c r="O27" s="24">
        <f>'115'!N45</f>
        <v>3289778046</v>
      </c>
      <c r="P27" s="24">
        <f>'115'!O45</f>
        <v>4545434652</v>
      </c>
      <c r="Q27" s="98">
        <f t="shared" si="0"/>
        <v>1255656606</v>
      </c>
    </row>
    <row r="28" spans="1:17" ht="20.100000000000001" customHeight="1">
      <c r="A28" s="41">
        <v>26</v>
      </c>
      <c r="B28" s="31">
        <v>121</v>
      </c>
      <c r="C28" s="24" t="s">
        <v>925</v>
      </c>
      <c r="D28" s="24" t="e">
        <f>#REF!</f>
        <v>#REF!</v>
      </c>
      <c r="E28" s="24" t="e">
        <f>#REF!</f>
        <v>#REF!</v>
      </c>
      <c r="F28" s="24" t="e">
        <f>#REF!</f>
        <v>#REF!</v>
      </c>
      <c r="G28" s="24">
        <v>1120164000</v>
      </c>
      <c r="H28" s="24" t="e">
        <f>#REF!</f>
        <v>#REF!</v>
      </c>
      <c r="I28" s="24">
        <v>2129624000</v>
      </c>
      <c r="J28" s="24">
        <v>2777308800</v>
      </c>
      <c r="K28" s="32">
        <v>2829318000</v>
      </c>
      <c r="L28" s="24">
        <f>'121'!M57</f>
        <v>4911675200</v>
      </c>
      <c r="M28" s="24">
        <f>'121'!N57</f>
        <v>4918002660</v>
      </c>
      <c r="N28" s="24">
        <f>'121'!O57</f>
        <v>8170279600</v>
      </c>
      <c r="O28" s="24">
        <f>'121'!P57</f>
        <v>10117931250</v>
      </c>
      <c r="P28" s="24">
        <f>'121'!Q57</f>
        <v>25067457952</v>
      </c>
      <c r="Q28" s="98">
        <f t="shared" si="0"/>
        <v>14949526702</v>
      </c>
    </row>
    <row r="29" spans="1:17" ht="20.100000000000001" customHeight="1">
      <c r="A29" s="41">
        <v>27</v>
      </c>
      <c r="B29" s="31">
        <v>122</v>
      </c>
      <c r="C29" s="24" t="s">
        <v>926</v>
      </c>
      <c r="D29" s="24"/>
      <c r="E29" s="24"/>
      <c r="F29" s="24"/>
      <c r="G29" s="24">
        <v>0</v>
      </c>
      <c r="H29" s="24" t="e">
        <f>#REF!</f>
        <v>#REF!</v>
      </c>
      <c r="I29" s="24" t="e">
        <f>#REF!</f>
        <v>#REF!</v>
      </c>
      <c r="J29" s="24" t="e">
        <f>#REF!</f>
        <v>#REF!</v>
      </c>
      <c r="K29" s="32">
        <v>2962071366</v>
      </c>
      <c r="L29" s="24" t="e">
        <f>#REF!</f>
        <v>#REF!</v>
      </c>
      <c r="M29" s="24" t="e">
        <f>#REF!</f>
        <v>#REF!</v>
      </c>
      <c r="N29" s="24" t="e">
        <f>#REF!</f>
        <v>#REF!</v>
      </c>
      <c r="O29" s="24">
        <v>15668744272</v>
      </c>
      <c r="P29" s="24">
        <v>0</v>
      </c>
      <c r="Q29" s="98">
        <f t="shared" si="0"/>
        <v>-15668744272</v>
      </c>
    </row>
    <row r="30" spans="1:17" ht="20.100000000000001" customHeight="1">
      <c r="A30" s="41">
        <v>28</v>
      </c>
      <c r="B30" s="31">
        <v>131</v>
      </c>
      <c r="C30" s="24" t="s">
        <v>927</v>
      </c>
      <c r="D30" s="24" t="e">
        <f>#REF!</f>
        <v>#REF!</v>
      </c>
      <c r="E30" s="24" t="e">
        <f>#REF!</f>
        <v>#REF!</v>
      </c>
      <c r="F30" s="24" t="e">
        <f>#REF!</f>
        <v>#REF!</v>
      </c>
      <c r="G30" s="24">
        <v>8198449200</v>
      </c>
      <c r="H30" s="24" t="e">
        <f>#REF!</f>
        <v>#REF!</v>
      </c>
      <c r="I30" s="24" t="e">
        <f>#REF!</f>
        <v>#REF!</v>
      </c>
      <c r="J30" s="24" t="e">
        <f>#REF!</f>
        <v>#REF!</v>
      </c>
      <c r="K30" s="32">
        <v>12346564127</v>
      </c>
      <c r="L30" s="24" t="e">
        <f>'131'!M45</f>
        <v>#REF!</v>
      </c>
      <c r="M30" s="24">
        <f>'131'!N45</f>
        <v>1498938965.7</v>
      </c>
      <c r="N30" s="24">
        <f>'131'!O45</f>
        <v>1692133109.7</v>
      </c>
      <c r="O30" s="24">
        <f>'131'!P45</f>
        <v>2292132770</v>
      </c>
      <c r="P30" s="24">
        <f>'131'!Q45</f>
        <v>2276373110</v>
      </c>
      <c r="Q30" s="98">
        <f t="shared" si="0"/>
        <v>-15759660</v>
      </c>
    </row>
    <row r="31" spans="1:17" ht="20.100000000000001" customHeight="1">
      <c r="A31" s="41">
        <v>29</v>
      </c>
      <c r="B31" s="31">
        <v>132</v>
      </c>
      <c r="C31" s="24" t="s">
        <v>38</v>
      </c>
      <c r="D31" s="24" t="e">
        <f>#REF!</f>
        <v>#REF!</v>
      </c>
      <c r="E31" s="24" t="e">
        <f>#REF!</f>
        <v>#REF!</v>
      </c>
      <c r="F31" s="24" t="e">
        <f>#REF!</f>
        <v>#REF!</v>
      </c>
      <c r="G31" s="34">
        <v>39464354920</v>
      </c>
      <c r="H31" s="34" t="e">
        <f>#REF!</f>
        <v>#REF!</v>
      </c>
      <c r="I31" s="34" t="e">
        <f>#REF!</f>
        <v>#REF!</v>
      </c>
      <c r="J31" s="34" t="e">
        <f>#REF!</f>
        <v>#REF!</v>
      </c>
      <c r="K31" s="32">
        <v>87580662108</v>
      </c>
      <c r="L31" s="34">
        <f>'132'!M47</f>
        <v>133672365037.14285</v>
      </c>
      <c r="M31" s="24">
        <f>'132'!N47</f>
        <v>133301821749.70999</v>
      </c>
      <c r="N31" s="24">
        <f>'132'!O47</f>
        <v>142071277333.70999</v>
      </c>
      <c r="O31" s="24">
        <f>'132'!P47</f>
        <v>160616708213.70999</v>
      </c>
      <c r="P31" s="24">
        <f>'132'!Q47</f>
        <v>180834385467.70999</v>
      </c>
      <c r="Q31" s="98">
        <f t="shared" si="0"/>
        <v>20217677254</v>
      </c>
    </row>
    <row r="32" spans="1:17" ht="20.100000000000001" customHeight="1">
      <c r="A32" s="41">
        <v>30</v>
      </c>
      <c r="B32" s="31">
        <v>141</v>
      </c>
      <c r="C32" s="24" t="s">
        <v>225</v>
      </c>
      <c r="D32" s="24" t="e">
        <f>'141'!#REF!</f>
        <v>#REF!</v>
      </c>
      <c r="E32" s="24" t="e">
        <f>'141'!#REF!</f>
        <v>#REF!</v>
      </c>
      <c r="F32" s="24" t="e">
        <f>'141'!#REF!</f>
        <v>#REF!</v>
      </c>
      <c r="G32" s="24">
        <v>296182400</v>
      </c>
      <c r="H32" s="24" t="e">
        <f>'141'!#REF!</f>
        <v>#REF!</v>
      </c>
      <c r="I32" s="24" t="e">
        <f>'141'!#REF!</f>
        <v>#REF!</v>
      </c>
      <c r="J32" s="24" t="e">
        <f>'141'!#REF!</f>
        <v>#REF!</v>
      </c>
      <c r="K32" s="32">
        <v>1778123200</v>
      </c>
      <c r="L32" s="24" t="e">
        <f>'141'!M45</f>
        <v>#REF!</v>
      </c>
      <c r="M32" s="24">
        <f>'141'!N45</f>
        <v>1694840320</v>
      </c>
      <c r="N32" s="24">
        <f>'141'!O45</f>
        <v>2253987520</v>
      </c>
      <c r="O32" s="24">
        <f>'141'!P45</f>
        <v>3142374240</v>
      </c>
      <c r="P32" s="24">
        <f>'141'!Q45</f>
        <v>3485444000</v>
      </c>
      <c r="Q32" s="98">
        <f t="shared" si="0"/>
        <v>343069760</v>
      </c>
    </row>
    <row r="33" spans="1:17" ht="20.100000000000001" customHeight="1">
      <c r="A33" s="41">
        <v>31</v>
      </c>
      <c r="B33" s="31">
        <v>151</v>
      </c>
      <c r="C33" s="24" t="s">
        <v>50</v>
      </c>
      <c r="D33" s="24" t="e">
        <f>#REF!</f>
        <v>#REF!</v>
      </c>
      <c r="E33" s="24" t="e">
        <f>#REF!</f>
        <v>#REF!</v>
      </c>
      <c r="F33" s="24" t="e">
        <f>#REF!</f>
        <v>#REF!</v>
      </c>
      <c r="G33" s="24">
        <v>14395601571</v>
      </c>
      <c r="H33" s="24" t="e">
        <f>#REF!</f>
        <v>#REF!</v>
      </c>
      <c r="I33" s="24" t="e">
        <f>#REF!</f>
        <v>#REF!</v>
      </c>
      <c r="J33" s="24" t="e">
        <f>#REF!</f>
        <v>#REF!</v>
      </c>
      <c r="K33" s="32">
        <v>18153248520</v>
      </c>
      <c r="L33" s="24">
        <f>'151'!M71</f>
        <v>42611931120</v>
      </c>
      <c r="M33" s="24">
        <f>'151'!N71</f>
        <v>85783951475</v>
      </c>
      <c r="N33" s="24">
        <f>'151'!O71</f>
        <v>41241486400</v>
      </c>
      <c r="O33" s="24">
        <f>'151'!P71</f>
        <v>49332785920</v>
      </c>
      <c r="P33" s="24">
        <f>'151'!Q71</f>
        <v>53639293120</v>
      </c>
      <c r="Q33" s="98">
        <f t="shared" si="0"/>
        <v>4306507200</v>
      </c>
    </row>
    <row r="34" spans="1:17" ht="20.100000000000001" customHeight="1">
      <c r="A34" s="41">
        <v>32</v>
      </c>
      <c r="B34" s="31">
        <v>152</v>
      </c>
      <c r="C34" s="24" t="s">
        <v>928</v>
      </c>
      <c r="D34" s="24"/>
      <c r="E34" s="24"/>
      <c r="F34" s="24"/>
      <c r="G34" s="24"/>
      <c r="H34" s="24"/>
      <c r="I34" s="24"/>
      <c r="J34" s="24"/>
      <c r="K34" s="32"/>
      <c r="L34" s="24"/>
      <c r="M34" s="24"/>
      <c r="N34" s="24" t="e">
        <f>'152'!Q64</f>
        <v>#REF!</v>
      </c>
      <c r="O34" s="24">
        <f>'152'!R64</f>
        <v>165327174774</v>
      </c>
      <c r="P34" s="24">
        <f>'152'!S64</f>
        <v>236252838246</v>
      </c>
      <c r="Q34" s="98">
        <f t="shared" si="0"/>
        <v>70925663472</v>
      </c>
    </row>
    <row r="35" spans="1:17" ht="20.100000000000001" customHeight="1">
      <c r="A35" s="41">
        <v>33</v>
      </c>
      <c r="B35" s="31">
        <v>161</v>
      </c>
      <c r="C35" s="24" t="s">
        <v>929</v>
      </c>
      <c r="D35" s="24" t="e">
        <f>'161'!D36</f>
        <v>#REF!</v>
      </c>
      <c r="E35" s="24" t="e">
        <f>'161'!E36</f>
        <v>#REF!</v>
      </c>
      <c r="F35" s="24" t="e">
        <f>'161'!F36</f>
        <v>#REF!</v>
      </c>
      <c r="G35" s="24">
        <v>869997600</v>
      </c>
      <c r="H35" s="24" t="e">
        <f>'161'!H36</f>
        <v>#REF!</v>
      </c>
      <c r="I35" s="24" t="e">
        <f>'161'!I36</f>
        <v>#REF!</v>
      </c>
      <c r="J35" s="24" t="e">
        <f>'161'!J36</f>
        <v>#REF!</v>
      </c>
      <c r="K35" s="32">
        <f>1688550948+791945160+660502400</f>
        <v>3140998508</v>
      </c>
      <c r="L35" s="24" t="e">
        <f>'161'!M43</f>
        <v>#REF!</v>
      </c>
      <c r="M35" s="24">
        <f>'161'!N43</f>
        <v>3806796061.0714283</v>
      </c>
      <c r="N35" s="24">
        <f>'161'!O43</f>
        <v>3157562160.5</v>
      </c>
      <c r="O35" s="24">
        <f>'161'!P43</f>
        <v>4853802580.5</v>
      </c>
      <c r="P35" s="24">
        <f>'161'!Q43</f>
        <v>5271892226</v>
      </c>
      <c r="Q35" s="98">
        <f t="shared" si="0"/>
        <v>418089645.5</v>
      </c>
    </row>
    <row r="36" spans="1:17" ht="20.100000000000001" customHeight="1">
      <c r="A36" s="41">
        <v>34</v>
      </c>
      <c r="B36" s="31">
        <v>171</v>
      </c>
      <c r="C36" s="24" t="s">
        <v>930</v>
      </c>
      <c r="D36" s="24" t="e">
        <f>'171'!#REF!</f>
        <v>#REF!</v>
      </c>
      <c r="E36" s="24" t="e">
        <f>'171'!#REF!</f>
        <v>#REF!</v>
      </c>
      <c r="F36" s="24" t="e">
        <f>'171'!#REF!</f>
        <v>#REF!</v>
      </c>
      <c r="G36" s="24">
        <v>522060400</v>
      </c>
      <c r="H36" s="24" t="e">
        <f>'171'!#REF!</f>
        <v>#REF!</v>
      </c>
      <c r="I36" s="24" t="e">
        <f>'171'!#REF!</f>
        <v>#REF!</v>
      </c>
      <c r="J36" s="24" t="e">
        <f>'171'!#REF!</f>
        <v>#REF!</v>
      </c>
      <c r="K36" s="32">
        <v>1512814108</v>
      </c>
      <c r="L36" s="24" t="e">
        <f>'171'!N47</f>
        <v>#REF!</v>
      </c>
      <c r="M36" s="24">
        <f>'171'!O47</f>
        <v>1624523015.5999999</v>
      </c>
      <c r="N36" s="24">
        <f>'171'!P47</f>
        <v>1925432615.5999999</v>
      </c>
      <c r="O36" s="24">
        <f>'171'!Q47</f>
        <v>2554152455.5999999</v>
      </c>
      <c r="P36" s="24">
        <f>'171'!R47</f>
        <v>2423076935.5999999</v>
      </c>
      <c r="Q36" s="98">
        <f t="shared" si="0"/>
        <v>-131075520</v>
      </c>
    </row>
    <row r="37" spans="1:17" ht="20.100000000000001" customHeight="1">
      <c r="A37" s="41">
        <v>35</v>
      </c>
      <c r="B37" s="31">
        <v>181</v>
      </c>
      <c r="C37" s="24" t="s">
        <v>931</v>
      </c>
      <c r="D37" s="24" t="e">
        <f>#REF!</f>
        <v>#REF!</v>
      </c>
      <c r="E37" s="24" t="e">
        <f>#REF!</f>
        <v>#REF!</v>
      </c>
      <c r="F37" s="24" t="e">
        <f>#REF!</f>
        <v>#REF!</v>
      </c>
      <c r="G37" s="24">
        <v>887002400</v>
      </c>
      <c r="H37" s="24" t="e">
        <f>#REF!</f>
        <v>#REF!</v>
      </c>
      <c r="I37" s="24" t="e">
        <f>#REF!</f>
        <v>#REF!</v>
      </c>
      <c r="J37" s="24" t="e">
        <f>#REF!</f>
        <v>#REF!</v>
      </c>
      <c r="K37" s="32">
        <v>1464065118</v>
      </c>
      <c r="L37" s="24" t="e">
        <f>'181'!M42</f>
        <v>#REF!</v>
      </c>
      <c r="M37" s="24" t="e">
        <f>'181'!N42</f>
        <v>#REF!</v>
      </c>
      <c r="N37" s="24" t="e">
        <f>'181'!O42</f>
        <v>#REF!</v>
      </c>
      <c r="O37" s="24">
        <f>'181'!P42</f>
        <v>3054953062</v>
      </c>
      <c r="P37" s="24">
        <f>'181'!Q42</f>
        <v>2817024262</v>
      </c>
      <c r="Q37" s="98">
        <f t="shared" si="0"/>
        <v>-237928800</v>
      </c>
    </row>
    <row r="38" spans="1:17" ht="20.100000000000001" customHeight="1">
      <c r="A38" s="41">
        <v>36</v>
      </c>
      <c r="B38" s="31">
        <v>191</v>
      </c>
      <c r="C38" s="24" t="s">
        <v>63</v>
      </c>
      <c r="D38" s="24" t="e">
        <f>'191'!D28</f>
        <v>#REF!</v>
      </c>
      <c r="E38" s="24" t="e">
        <f>'191'!E28</f>
        <v>#REF!</v>
      </c>
      <c r="F38" s="24" t="e">
        <f>'191'!F28</f>
        <v>#REF!</v>
      </c>
      <c r="G38" s="24">
        <v>563710400</v>
      </c>
      <c r="H38" s="24" t="e">
        <f>'191'!H28</f>
        <v>#REF!</v>
      </c>
      <c r="I38" s="24" t="e">
        <f>'191'!I28</f>
        <v>#REF!</v>
      </c>
      <c r="J38" s="24" t="e">
        <f>'191'!J28</f>
        <v>#REF!</v>
      </c>
      <c r="K38" s="32">
        <v>1637448296</v>
      </c>
      <c r="L38" s="24" t="e">
        <f>'191'!M46</f>
        <v>#REF!</v>
      </c>
      <c r="M38" s="24">
        <f>'191'!N46</f>
        <v>2067964813</v>
      </c>
      <c r="N38" s="24">
        <f>'191'!O46</f>
        <v>2612324013</v>
      </c>
      <c r="O38" s="24">
        <f>'191'!P46</f>
        <v>3950376813</v>
      </c>
      <c r="P38" s="24">
        <f>'191'!Q46</f>
        <v>4494932013</v>
      </c>
      <c r="Q38" s="98">
        <f t="shared" si="0"/>
        <v>544555200</v>
      </c>
    </row>
    <row r="39" spans="1:17" ht="20.100000000000001" customHeight="1">
      <c r="A39" s="41">
        <v>37</v>
      </c>
      <c r="B39" s="31">
        <v>201</v>
      </c>
      <c r="C39" s="24" t="s">
        <v>932</v>
      </c>
      <c r="D39" s="24">
        <f>'201'!D41</f>
        <v>0</v>
      </c>
      <c r="E39" s="24">
        <f>'201'!E41</f>
        <v>0</v>
      </c>
      <c r="F39" s="24">
        <f>'201'!F41</f>
        <v>0</v>
      </c>
      <c r="G39" s="24">
        <v>644624000</v>
      </c>
      <c r="H39" s="24">
        <f>'201'!H41</f>
        <v>0</v>
      </c>
      <c r="I39" s="24">
        <f>'201'!I41</f>
        <v>0</v>
      </c>
      <c r="J39" s="24">
        <f>'201'!J41</f>
        <v>0</v>
      </c>
      <c r="K39" s="32">
        <f>'[1]20'!L51</f>
        <v>3203181540</v>
      </c>
      <c r="L39" s="25">
        <f>'201'!M53</f>
        <v>2386681021</v>
      </c>
      <c r="M39" s="24">
        <f>'201'!N53</f>
        <v>4605232901</v>
      </c>
      <c r="N39" s="24">
        <f>'201'!O53</f>
        <v>5764496101</v>
      </c>
      <c r="O39" s="24">
        <f>'201'!P53</f>
        <v>6103620101</v>
      </c>
      <c r="P39" s="24">
        <f>'201'!Q53</f>
        <v>6888312261</v>
      </c>
      <c r="Q39" s="98">
        <f t="shared" si="0"/>
        <v>784692160</v>
      </c>
    </row>
    <row r="40" spans="1:17" ht="20.100000000000001" customHeight="1">
      <c r="A40" s="41">
        <v>38</v>
      </c>
      <c r="B40" s="31">
        <v>211</v>
      </c>
      <c r="C40" s="24" t="s">
        <v>933</v>
      </c>
      <c r="D40" s="24" t="e">
        <f>#REF!</f>
        <v>#REF!</v>
      </c>
      <c r="E40" s="24" t="e">
        <f>#REF!</f>
        <v>#REF!</v>
      </c>
      <c r="F40" s="24" t="e">
        <f>#REF!</f>
        <v>#REF!</v>
      </c>
      <c r="G40" s="24">
        <v>536919360</v>
      </c>
      <c r="H40" s="24" t="e">
        <f>#REF!</f>
        <v>#REF!</v>
      </c>
      <c r="I40" s="24" t="e">
        <f>#REF!</f>
        <v>#REF!</v>
      </c>
      <c r="J40" s="24" t="e">
        <f>#REF!</f>
        <v>#REF!</v>
      </c>
      <c r="K40" s="32">
        <v>3336099200</v>
      </c>
      <c r="L40" s="24" t="e">
        <f>'211'!M44</f>
        <v>#REF!</v>
      </c>
      <c r="M40" s="24">
        <f>'211'!N44</f>
        <v>4304777080</v>
      </c>
      <c r="N40" s="24">
        <f>'211'!O44</f>
        <v>4401810280</v>
      </c>
      <c r="O40" s="24">
        <f>'211'!P44</f>
        <v>5135292520</v>
      </c>
      <c r="P40" s="24">
        <f>'211'!Q44</f>
        <v>6942354120</v>
      </c>
      <c r="Q40" s="98">
        <f t="shared" si="0"/>
        <v>1807061600</v>
      </c>
    </row>
    <row r="41" spans="1:17" ht="20.100000000000001" customHeight="1">
      <c r="A41" s="41">
        <v>39</v>
      </c>
      <c r="B41" s="31">
        <v>221</v>
      </c>
      <c r="C41" s="24" t="s">
        <v>934</v>
      </c>
      <c r="D41" s="24" t="e">
        <f>#REF!</f>
        <v>#REF!</v>
      </c>
      <c r="E41" s="24" t="e">
        <f>#REF!</f>
        <v>#REF!</v>
      </c>
      <c r="F41" s="24" t="e">
        <f>#REF!</f>
        <v>#REF!</v>
      </c>
      <c r="G41" s="24">
        <v>7163075000</v>
      </c>
      <c r="H41" s="24" t="e">
        <f>#REF!</f>
        <v>#REF!</v>
      </c>
      <c r="I41" s="24" t="e">
        <f>#REF!</f>
        <v>#REF!</v>
      </c>
      <c r="J41" s="24" t="e">
        <f>#REF!</f>
        <v>#REF!</v>
      </c>
      <c r="K41" s="32">
        <f>'[1]22'!K47</f>
        <v>14633732140</v>
      </c>
      <c r="L41" s="24" t="e">
        <f>'221'!L72</f>
        <v>#REF!</v>
      </c>
      <c r="M41" s="24" t="e">
        <f>'221'!M72</f>
        <v>#REF!</v>
      </c>
      <c r="N41" s="24" t="e">
        <f>'221'!M72</f>
        <v>#REF!</v>
      </c>
      <c r="O41" s="24">
        <f>'221'!N72</f>
        <v>70566294424</v>
      </c>
      <c r="P41" s="24">
        <f>'221'!O72</f>
        <v>72602190058</v>
      </c>
      <c r="Q41" s="98">
        <f t="shared" si="0"/>
        <v>2035895634</v>
      </c>
    </row>
    <row r="42" spans="1:17" ht="20.100000000000001" customHeight="1">
      <c r="A42" s="41">
        <v>40</v>
      </c>
      <c r="B42" s="31">
        <v>222</v>
      </c>
      <c r="C42" s="24" t="s">
        <v>346</v>
      </c>
      <c r="D42" s="24"/>
      <c r="E42" s="24"/>
      <c r="F42" s="24"/>
      <c r="G42" s="24"/>
      <c r="H42" s="24"/>
      <c r="I42" s="24"/>
      <c r="J42" s="24"/>
      <c r="K42" s="32"/>
      <c r="L42" s="24" t="e">
        <f>'222'!C47</f>
        <v>#REF!</v>
      </c>
      <c r="M42" s="24">
        <f>'222'!D47</f>
        <v>2367527885.7142859</v>
      </c>
      <c r="N42" s="24">
        <f>'222'!D47</f>
        <v>2367527885.7142859</v>
      </c>
      <c r="O42" s="24">
        <f>'222'!E47</f>
        <v>3019436960</v>
      </c>
      <c r="P42" s="24">
        <f>'222'!F47</f>
        <v>3231888800</v>
      </c>
      <c r="Q42" s="98">
        <f t="shared" si="0"/>
        <v>212451840</v>
      </c>
    </row>
    <row r="43" spans="1:17" ht="20.100000000000001" customHeight="1">
      <c r="A43" s="41">
        <v>41</v>
      </c>
      <c r="B43" s="31">
        <v>223</v>
      </c>
      <c r="C43" s="24" t="s">
        <v>402</v>
      </c>
      <c r="D43" s="24"/>
      <c r="E43" s="24"/>
      <c r="F43" s="24"/>
      <c r="G43" s="24"/>
      <c r="H43" s="24"/>
      <c r="I43" s="24"/>
      <c r="J43" s="24"/>
      <c r="K43" s="32"/>
      <c r="L43" s="24"/>
      <c r="M43" s="24">
        <f>'223'!D44</f>
        <v>590810400</v>
      </c>
      <c r="N43" s="24">
        <f>'223'!D44</f>
        <v>590810400</v>
      </c>
      <c r="O43" s="24">
        <f>'223'!E44</f>
        <v>927472480</v>
      </c>
      <c r="P43" s="24">
        <f>'223'!F44</f>
        <v>1146462240</v>
      </c>
      <c r="Q43" s="98">
        <f t="shared" si="0"/>
        <v>218989760</v>
      </c>
    </row>
    <row r="44" spans="1:17" ht="20.100000000000001" customHeight="1">
      <c r="A44" s="41">
        <v>42</v>
      </c>
      <c r="B44" s="31">
        <v>231</v>
      </c>
      <c r="C44" s="24" t="s">
        <v>227</v>
      </c>
      <c r="D44" s="24" t="e">
        <f>'231'!#REF!</f>
        <v>#REF!</v>
      </c>
      <c r="E44" s="24" t="e">
        <f>'231'!#REF!</f>
        <v>#REF!</v>
      </c>
      <c r="F44" s="24" t="e">
        <f>'231'!#REF!</f>
        <v>#REF!</v>
      </c>
      <c r="G44" s="24">
        <v>4386348000</v>
      </c>
      <c r="H44" s="24" t="e">
        <f>'231'!#REF!</f>
        <v>#REF!</v>
      </c>
      <c r="I44" s="24" t="e">
        <f>'231'!#REF!</f>
        <v>#REF!</v>
      </c>
      <c r="J44" s="24" t="e">
        <f>'231'!#REF!</f>
        <v>#REF!</v>
      </c>
      <c r="K44" s="32">
        <v>8783810960</v>
      </c>
      <c r="L44" s="24" t="e">
        <f>'231'!K65</f>
        <v>#REF!</v>
      </c>
      <c r="M44" s="24">
        <f>'231'!L65</f>
        <v>25594452237.714287</v>
      </c>
      <c r="N44" s="24">
        <f>'231'!L65</f>
        <v>25594452237.714287</v>
      </c>
      <c r="O44" s="24">
        <f>'231'!M65</f>
        <v>36425317837.714287</v>
      </c>
      <c r="P44" s="24">
        <f>'231'!N65</f>
        <v>35700043934</v>
      </c>
      <c r="Q44" s="98">
        <f t="shared" si="0"/>
        <v>-725273903.7142868</v>
      </c>
    </row>
    <row r="45" spans="1:17" ht="20.100000000000001" customHeight="1">
      <c r="A45" s="41">
        <v>43</v>
      </c>
      <c r="B45" s="31">
        <v>232</v>
      </c>
      <c r="C45" s="24" t="s">
        <v>935</v>
      </c>
      <c r="D45" s="24"/>
      <c r="E45" s="24"/>
      <c r="F45" s="24"/>
      <c r="G45" s="24"/>
      <c r="H45" s="24"/>
      <c r="I45" s="24"/>
      <c r="J45" s="24"/>
      <c r="K45" s="32"/>
      <c r="L45" s="24"/>
      <c r="M45" s="24"/>
      <c r="N45" s="24"/>
      <c r="O45" s="24">
        <v>0</v>
      </c>
      <c r="P45" s="24">
        <f>'232'!F44</f>
        <v>701545760</v>
      </c>
      <c r="Q45" s="98">
        <f t="shared" si="0"/>
        <v>701545760</v>
      </c>
    </row>
    <row r="46" spans="1:17" ht="20.100000000000001" customHeight="1">
      <c r="A46" s="41">
        <v>44</v>
      </c>
      <c r="B46" s="31">
        <v>241</v>
      </c>
      <c r="C46" s="24" t="s">
        <v>936</v>
      </c>
      <c r="D46" s="24" t="e">
        <f>#REF!</f>
        <v>#REF!</v>
      </c>
      <c r="E46" s="24" t="e">
        <f>#REF!</f>
        <v>#REF!</v>
      </c>
      <c r="F46" s="24" t="e">
        <f>#REF!</f>
        <v>#REF!</v>
      </c>
      <c r="G46" s="24">
        <v>414108000</v>
      </c>
      <c r="H46" s="24" t="e">
        <f>#REF!</f>
        <v>#REF!</v>
      </c>
      <c r="I46" s="24" t="e">
        <f>#REF!</f>
        <v>#REF!</v>
      </c>
      <c r="J46" s="24" t="e">
        <f>#REF!</f>
        <v>#REF!</v>
      </c>
      <c r="K46" s="32">
        <f>'[1]24'!K53</f>
        <v>893742585</v>
      </c>
      <c r="L46" s="24" t="e">
        <f>'241'!L48</f>
        <v>#REF!</v>
      </c>
      <c r="M46" s="24">
        <f>'241'!M48</f>
        <v>2217810400</v>
      </c>
      <c r="N46" s="24">
        <f>'241'!M48</f>
        <v>2217810400</v>
      </c>
      <c r="O46" s="24">
        <f>'241'!N48</f>
        <v>4081668960</v>
      </c>
      <c r="P46" s="24">
        <f>'241'!O48</f>
        <v>4875175200</v>
      </c>
      <c r="Q46" s="98">
        <f t="shared" si="0"/>
        <v>793506240</v>
      </c>
    </row>
    <row r="47" spans="1:17" ht="20.100000000000001" customHeight="1">
      <c r="A47" s="41">
        <v>45</v>
      </c>
      <c r="B47" s="31">
        <v>251</v>
      </c>
      <c r="C47" s="24" t="s">
        <v>937</v>
      </c>
      <c r="D47" s="24" t="e">
        <f>#REF!</f>
        <v>#REF!</v>
      </c>
      <c r="E47" s="24" t="e">
        <f>#REF!</f>
        <v>#REF!</v>
      </c>
      <c r="F47" s="24" t="e">
        <f>#REF!</f>
        <v>#REF!</v>
      </c>
      <c r="G47" s="24">
        <v>3229372800</v>
      </c>
      <c r="H47" s="24" t="e">
        <f>#REF!</f>
        <v>#REF!</v>
      </c>
      <c r="I47" s="24" t="e">
        <f>#REF!</f>
        <v>#REF!</v>
      </c>
      <c r="J47" s="24" t="e">
        <f>#REF!</f>
        <v>#REF!</v>
      </c>
      <c r="K47" s="32">
        <f>'[1]25'!L43</f>
        <v>2423412800</v>
      </c>
      <c r="L47" s="24" t="e">
        <f>'251'!M42</f>
        <v>#REF!</v>
      </c>
      <c r="M47" s="24">
        <f>'251'!N42</f>
        <v>2718938904</v>
      </c>
      <c r="N47" s="24">
        <f>'251'!N42</f>
        <v>2718938904</v>
      </c>
      <c r="O47" s="24">
        <f>'251'!O42</f>
        <v>4146659224</v>
      </c>
      <c r="P47" s="24">
        <f>'251'!P42</f>
        <v>4868531064</v>
      </c>
      <c r="Q47" s="98">
        <f t="shared" si="0"/>
        <v>721871840</v>
      </c>
    </row>
    <row r="48" spans="1:17" ht="20.100000000000001" customHeight="1">
      <c r="A48" s="41">
        <v>46</v>
      </c>
      <c r="B48" s="31">
        <v>261</v>
      </c>
      <c r="C48" s="24" t="s">
        <v>938</v>
      </c>
      <c r="D48" s="24" t="e">
        <f>#REF!</f>
        <v>#REF!</v>
      </c>
      <c r="E48" s="24" t="e">
        <f>#REF!</f>
        <v>#REF!</v>
      </c>
      <c r="F48" s="24" t="e">
        <f>#REF!</f>
        <v>#REF!</v>
      </c>
      <c r="G48" s="24">
        <v>1473875200</v>
      </c>
      <c r="H48" s="24" t="e">
        <f>#REF!</f>
        <v>#REF!</v>
      </c>
      <c r="I48" s="24" t="e">
        <f>#REF!</f>
        <v>#REF!</v>
      </c>
      <c r="J48" s="24" t="e">
        <f>#REF!</f>
        <v>#REF!</v>
      </c>
      <c r="K48" s="32">
        <v>2213083152</v>
      </c>
      <c r="L48" s="24" t="e">
        <f>'261'!M56</f>
        <v>#REF!</v>
      </c>
      <c r="M48" s="24">
        <f>'261'!N56</f>
        <v>5942058560.8000002</v>
      </c>
      <c r="N48" s="24">
        <f>'261'!N56</f>
        <v>5942058560.8000002</v>
      </c>
      <c r="O48" s="24">
        <f>'261'!O56</f>
        <v>5683104400.8000002</v>
      </c>
      <c r="P48" s="24">
        <f>'261'!P56</f>
        <v>13206683601</v>
      </c>
      <c r="Q48" s="98">
        <f t="shared" si="0"/>
        <v>7523579200.1999998</v>
      </c>
    </row>
    <row r="49" spans="1:17" ht="20.100000000000001" customHeight="1">
      <c r="A49" s="41">
        <v>47</v>
      </c>
      <c r="B49" s="31">
        <v>271</v>
      </c>
      <c r="C49" s="24" t="s">
        <v>707</v>
      </c>
      <c r="D49" s="24" t="e">
        <f>'271'!#REF!</f>
        <v>#REF!</v>
      </c>
      <c r="E49" s="24" t="e">
        <f>'271'!#REF!</f>
        <v>#REF!</v>
      </c>
      <c r="F49" s="24" t="e">
        <f>'271'!#REF!</f>
        <v>#REF!</v>
      </c>
      <c r="G49" s="24">
        <v>248302600</v>
      </c>
      <c r="H49" s="24" t="e">
        <f>'271'!#REF!</f>
        <v>#REF!</v>
      </c>
      <c r="I49" s="24" t="e">
        <f>'271'!#REF!</f>
        <v>#REF!</v>
      </c>
      <c r="J49" s="24" t="e">
        <f>'271'!#REF!</f>
        <v>#REF!</v>
      </c>
      <c r="K49" s="32">
        <v>590046650</v>
      </c>
      <c r="L49" s="24" t="e">
        <f>'271'!M50</f>
        <v>#REF!</v>
      </c>
      <c r="M49" s="24">
        <f>'271'!N50</f>
        <v>34243194356</v>
      </c>
      <c r="N49" s="24">
        <f>'271'!N50</f>
        <v>34243194356</v>
      </c>
      <c r="O49" s="24">
        <f>'271'!O50</f>
        <v>30824085916</v>
      </c>
      <c r="P49" s="24">
        <f>'271'!P50</f>
        <v>32133316276</v>
      </c>
      <c r="Q49" s="98">
        <f t="shared" si="0"/>
        <v>1309230360</v>
      </c>
    </row>
    <row r="50" spans="1:17" ht="20.100000000000001" customHeight="1">
      <c r="A50" s="41">
        <v>48</v>
      </c>
      <c r="B50" s="31">
        <v>291</v>
      </c>
      <c r="C50" s="24" t="s">
        <v>939</v>
      </c>
      <c r="D50" s="24" t="e">
        <f>#REF!</f>
        <v>#REF!</v>
      </c>
      <c r="E50" s="24" t="e">
        <f>#REF!</f>
        <v>#REF!</v>
      </c>
      <c r="F50" s="24" t="e">
        <f>#REF!</f>
        <v>#REF!</v>
      </c>
      <c r="G50" s="24">
        <v>172588000</v>
      </c>
      <c r="H50" s="24" t="e">
        <f>#REF!</f>
        <v>#REF!</v>
      </c>
      <c r="I50" s="24" t="e">
        <f>#REF!</f>
        <v>#REF!</v>
      </c>
      <c r="J50" s="24" t="e">
        <f>#REF!</f>
        <v>#REF!</v>
      </c>
      <c r="K50" s="32">
        <v>314327966</v>
      </c>
      <c r="L50" s="24" t="e">
        <f>'291'!M45</f>
        <v>#REF!</v>
      </c>
      <c r="M50" s="24">
        <f>'291'!N45</f>
        <v>672387424</v>
      </c>
      <c r="N50" s="24">
        <f>'291'!N45</f>
        <v>672387424</v>
      </c>
      <c r="O50" s="24">
        <f>'291'!O45</f>
        <v>1490835104</v>
      </c>
      <c r="P50" s="24">
        <f>'291'!P45</f>
        <v>1581817024</v>
      </c>
      <c r="Q50" s="98">
        <f t="shared" si="0"/>
        <v>90981920</v>
      </c>
    </row>
    <row r="51" spans="1:17" ht="20.100000000000001" customHeight="1">
      <c r="A51" s="41">
        <v>49</v>
      </c>
      <c r="B51" s="35">
        <v>301</v>
      </c>
      <c r="C51" s="24" t="s">
        <v>940</v>
      </c>
      <c r="D51" s="36" t="e">
        <f>SUM(#REF!)</f>
        <v>#REF!</v>
      </c>
      <c r="E51" s="36" t="e">
        <f>SUM(#REF!)</f>
        <v>#REF!</v>
      </c>
      <c r="F51" s="36" t="e">
        <f>SUM(#REF!)</f>
        <v>#REF!</v>
      </c>
      <c r="G51" s="37">
        <v>249368000</v>
      </c>
      <c r="H51" s="37" t="e">
        <f>#REF!</f>
        <v>#REF!</v>
      </c>
      <c r="I51" s="37" t="e">
        <f>#REF!</f>
        <v>#REF!</v>
      </c>
      <c r="J51" s="37" t="e">
        <f>#REF!</f>
        <v>#REF!</v>
      </c>
      <c r="K51" s="32">
        <f>651231992+460991291</f>
        <v>1112223283</v>
      </c>
      <c r="L51" s="37" t="e">
        <f>'301'!K46</f>
        <v>#REF!</v>
      </c>
      <c r="M51" s="24">
        <f>'301'!L46</f>
        <v>2171533218.0999999</v>
      </c>
      <c r="N51" s="24">
        <f>'301'!L46</f>
        <v>2171533218.0999999</v>
      </c>
      <c r="O51" s="24">
        <f>'301'!M46</f>
        <v>3318687778.0999999</v>
      </c>
      <c r="P51" s="24">
        <f>'301'!N46</f>
        <v>4103474978.0999999</v>
      </c>
      <c r="Q51" s="98">
        <f t="shared" si="0"/>
        <v>784787200</v>
      </c>
    </row>
    <row r="52" spans="1:17" ht="20.100000000000001" customHeight="1">
      <c r="A52" s="41">
        <v>50</v>
      </c>
      <c r="B52" s="31">
        <v>311</v>
      </c>
      <c r="C52" s="24" t="s">
        <v>942</v>
      </c>
      <c r="D52" s="24" t="e">
        <f>#REF!</f>
        <v>#REF!</v>
      </c>
      <c r="E52" s="24" t="e">
        <f>#REF!</f>
        <v>#REF!</v>
      </c>
      <c r="F52" s="24" t="e">
        <f>#REF!</f>
        <v>#REF!</v>
      </c>
      <c r="G52" s="24">
        <v>395652000</v>
      </c>
      <c r="H52" s="24" t="e">
        <f>#REF!</f>
        <v>#REF!</v>
      </c>
      <c r="I52" s="24" t="e">
        <f>#REF!</f>
        <v>#REF!</v>
      </c>
      <c r="J52" s="24" t="e">
        <f>#REF!</f>
        <v>#REF!</v>
      </c>
      <c r="K52" s="32">
        <f>'[1]31'!L43</f>
        <v>1641919631</v>
      </c>
      <c r="L52" s="37" t="e">
        <f>'311'!M48</f>
        <v>#REF!</v>
      </c>
      <c r="M52" s="24">
        <f>'311'!N48</f>
        <v>2723481570</v>
      </c>
      <c r="N52" s="24">
        <f>'311'!N48</f>
        <v>2723481570</v>
      </c>
      <c r="O52" s="24">
        <f>'311'!O48</f>
        <v>5864483090</v>
      </c>
      <c r="P52" s="24">
        <f>'311'!P48</f>
        <v>5640725650</v>
      </c>
      <c r="Q52" s="98">
        <f t="shared" si="0"/>
        <v>-223757440</v>
      </c>
    </row>
    <row r="53" spans="1:17" ht="20.100000000000001" customHeight="1">
      <c r="A53" s="41">
        <v>51</v>
      </c>
      <c r="B53" s="31">
        <v>321</v>
      </c>
      <c r="C53" s="24" t="s">
        <v>48</v>
      </c>
      <c r="D53" s="24">
        <v>0</v>
      </c>
      <c r="E53" s="24" t="e">
        <f>'321'!#REF!</f>
        <v>#REF!</v>
      </c>
      <c r="F53" s="24" t="e">
        <f>'321'!#REF!</f>
        <v>#REF!</v>
      </c>
      <c r="G53" s="24">
        <v>4752469000</v>
      </c>
      <c r="H53" s="24" t="e">
        <f>'321'!#REF!</f>
        <v>#REF!</v>
      </c>
      <c r="I53" s="24" t="e">
        <f>'321'!#REF!</f>
        <v>#REF!</v>
      </c>
      <c r="J53" s="24" t="e">
        <f>'321'!#REF!</f>
        <v>#REF!</v>
      </c>
      <c r="K53" s="32">
        <v>16224441793</v>
      </c>
      <c r="L53" s="24" t="e">
        <f>'321'!N43</f>
        <v>#REF!</v>
      </c>
      <c r="M53" s="24" t="e">
        <f>'321'!O43</f>
        <v>#REF!</v>
      </c>
      <c r="N53" s="24" t="e">
        <f>'321'!O43</f>
        <v>#REF!</v>
      </c>
      <c r="O53" s="24">
        <f>'321'!P43</f>
        <v>2106014684</v>
      </c>
      <c r="P53" s="24">
        <f>'321'!Q43</f>
        <v>38226014684</v>
      </c>
      <c r="Q53" s="98">
        <f t="shared" si="0"/>
        <v>36120000000</v>
      </c>
    </row>
    <row r="54" spans="1:17" ht="20.100000000000001" customHeight="1">
      <c r="A54" s="41">
        <v>52</v>
      </c>
      <c r="B54" s="38">
        <v>331</v>
      </c>
      <c r="C54" s="24" t="s">
        <v>49</v>
      </c>
      <c r="D54" s="24">
        <f>'331'!D73</f>
        <v>0</v>
      </c>
      <c r="E54" s="24">
        <f>'331'!E73</f>
        <v>0</v>
      </c>
      <c r="F54" s="24">
        <f>'331'!F73</f>
        <v>0</v>
      </c>
      <c r="G54" s="24">
        <v>116932000</v>
      </c>
      <c r="H54" s="32">
        <f>'331'!H73</f>
        <v>0</v>
      </c>
      <c r="I54" s="32">
        <f>'331'!I73</f>
        <v>0</v>
      </c>
      <c r="J54" s="32">
        <f>'331'!J73</f>
        <v>0</v>
      </c>
      <c r="K54" s="32">
        <v>426660816</v>
      </c>
      <c r="L54" s="32" t="e">
        <f>'331'!M39</f>
        <v>#REF!</v>
      </c>
      <c r="M54" s="24">
        <f>'331'!N39</f>
        <v>940271791.20000005</v>
      </c>
      <c r="N54" s="24">
        <f>'331'!N39</f>
        <v>940271791.20000005</v>
      </c>
      <c r="O54" s="24">
        <f>'331'!O39</f>
        <v>1228439711.2</v>
      </c>
      <c r="P54" s="24">
        <f>'331'!P39</f>
        <v>1375339871.2</v>
      </c>
      <c r="Q54" s="98">
        <f t="shared" si="0"/>
        <v>146900160</v>
      </c>
    </row>
    <row r="55" spans="1:17" ht="20.100000000000001" customHeight="1">
      <c r="A55" s="41">
        <v>53</v>
      </c>
      <c r="B55" s="38">
        <v>341</v>
      </c>
      <c r="C55" s="24" t="s">
        <v>941</v>
      </c>
      <c r="D55" s="24"/>
      <c r="E55" s="24"/>
      <c r="F55" s="24">
        <v>0</v>
      </c>
      <c r="G55" s="24">
        <v>186780000</v>
      </c>
      <c r="H55" s="32" t="e">
        <f>'341'!#REF!</f>
        <v>#REF!</v>
      </c>
      <c r="I55" s="32" t="e">
        <f>'341'!#REF!</f>
        <v>#REF!</v>
      </c>
      <c r="J55" s="32" t="e">
        <f>'341'!#REF!</f>
        <v>#REF!</v>
      </c>
      <c r="K55" s="32">
        <v>501603272</v>
      </c>
      <c r="L55" s="32" t="e">
        <f>'341'!N35</f>
        <v>#REF!</v>
      </c>
      <c r="M55" s="24" t="e">
        <f>'341'!O35</f>
        <v>#REF!</v>
      </c>
      <c r="N55" s="24" t="e">
        <f>'341'!O35</f>
        <v>#REF!</v>
      </c>
      <c r="O55" s="24">
        <f>'341'!P35</f>
        <v>1144049672</v>
      </c>
      <c r="P55" s="24">
        <f>'341'!Q35</f>
        <v>1173355272</v>
      </c>
      <c r="Q55" s="98">
        <f t="shared" si="0"/>
        <v>29305600</v>
      </c>
    </row>
    <row r="56" spans="1:17" ht="20.100000000000001" customHeight="1">
      <c r="A56" s="41">
        <v>54</v>
      </c>
      <c r="B56" s="39">
        <v>351</v>
      </c>
      <c r="C56" s="40" t="s">
        <v>222</v>
      </c>
      <c r="D56" s="40"/>
      <c r="E56" s="40"/>
      <c r="F56" s="40"/>
      <c r="G56" s="40"/>
      <c r="H56" s="40"/>
      <c r="I56" s="40"/>
      <c r="J56" s="40"/>
      <c r="K56" s="40">
        <v>0</v>
      </c>
      <c r="L56" s="40" t="e">
        <f>#REF!</f>
        <v>#REF!</v>
      </c>
      <c r="M56" s="24" t="e">
        <f>#REF!</f>
        <v>#REF!</v>
      </c>
      <c r="N56" s="24" t="e">
        <f>#REF!</f>
        <v>#REF!</v>
      </c>
      <c r="O56" s="24">
        <v>491331680</v>
      </c>
      <c r="P56" s="24">
        <v>0</v>
      </c>
      <c r="Q56" s="98">
        <f t="shared" si="0"/>
        <v>-491331680</v>
      </c>
    </row>
    <row r="57" spans="1:17" ht="20.100000000000001" customHeight="1">
      <c r="A57" s="41">
        <v>55</v>
      </c>
      <c r="B57" s="43">
        <v>371</v>
      </c>
      <c r="C57" s="44" t="s">
        <v>229</v>
      </c>
      <c r="D57" s="44"/>
      <c r="E57" s="44"/>
      <c r="F57" s="44"/>
      <c r="G57" s="44"/>
      <c r="H57" s="44"/>
      <c r="I57" s="44"/>
      <c r="J57" s="44"/>
      <c r="K57" s="40">
        <v>0</v>
      </c>
      <c r="L57" s="45" t="e">
        <f>#REF!</f>
        <v>#REF!</v>
      </c>
      <c r="M57" s="24" t="e">
        <f>#REF!</f>
        <v>#REF!</v>
      </c>
      <c r="N57" s="24" t="e">
        <f>#REF!</f>
        <v>#REF!</v>
      </c>
      <c r="O57" s="24">
        <v>453032320</v>
      </c>
      <c r="P57" s="24">
        <v>0</v>
      </c>
      <c r="Q57" s="98">
        <f t="shared" si="0"/>
        <v>-453032320</v>
      </c>
    </row>
    <row r="58" spans="1:17" ht="20.100000000000001" customHeight="1">
      <c r="A58" s="41">
        <v>56</v>
      </c>
      <c r="B58" s="43">
        <v>381</v>
      </c>
      <c r="C58" s="44" t="s">
        <v>691</v>
      </c>
      <c r="D58" s="44"/>
      <c r="E58" s="44"/>
      <c r="F58" s="44"/>
      <c r="G58" s="44"/>
      <c r="H58" s="44"/>
      <c r="I58" s="44"/>
      <c r="J58" s="44"/>
      <c r="K58" s="40">
        <v>0</v>
      </c>
      <c r="L58" s="46">
        <f>'381'!D45</f>
        <v>1523912000</v>
      </c>
      <c r="M58" s="24">
        <f>'381'!E45</f>
        <v>1075903200</v>
      </c>
      <c r="N58" s="24">
        <f>'381'!E45</f>
        <v>1075903200</v>
      </c>
      <c r="O58" s="24">
        <f>'381'!F45</f>
        <v>1642392000</v>
      </c>
      <c r="P58" s="24">
        <f>'381'!G45</f>
        <v>1813610240</v>
      </c>
      <c r="Q58" s="98">
        <f t="shared" si="0"/>
        <v>171218240</v>
      </c>
    </row>
    <row r="59" spans="1:17" ht="20.100000000000001" customHeight="1">
      <c r="A59" s="41">
        <v>57</v>
      </c>
      <c r="B59" s="43">
        <v>391</v>
      </c>
      <c r="C59" s="44" t="s">
        <v>943</v>
      </c>
      <c r="D59" s="44"/>
      <c r="E59" s="44"/>
      <c r="F59" s="44"/>
      <c r="G59" s="44"/>
      <c r="H59" s="44"/>
      <c r="I59" s="44"/>
      <c r="J59" s="44"/>
      <c r="K59" s="40">
        <v>0</v>
      </c>
      <c r="L59" s="46">
        <f>'391'!K44</f>
        <v>1026428400</v>
      </c>
      <c r="M59" s="24">
        <f>'391'!L44</f>
        <v>1315334400</v>
      </c>
      <c r="N59" s="24">
        <f>'391'!L44</f>
        <v>1315334400</v>
      </c>
      <c r="O59" s="24">
        <f>'391'!M44</f>
        <v>1900668800</v>
      </c>
      <c r="P59" s="24">
        <f>'391'!N44</f>
        <v>2007624000</v>
      </c>
      <c r="Q59" s="98">
        <f t="shared" si="0"/>
        <v>106955200</v>
      </c>
    </row>
    <row r="60" spans="1:17" ht="20.100000000000001" customHeight="1">
      <c r="A60" s="41">
        <v>58</v>
      </c>
      <c r="B60" s="43">
        <v>401</v>
      </c>
      <c r="C60" s="44" t="s">
        <v>944</v>
      </c>
      <c r="D60" s="44"/>
      <c r="E60" s="44"/>
      <c r="F60" s="44"/>
      <c r="G60" s="44"/>
      <c r="H60" s="44"/>
      <c r="I60" s="44"/>
      <c r="J60" s="44"/>
      <c r="K60" s="40"/>
      <c r="L60" s="47">
        <f>'401'!M54</f>
        <v>928625656</v>
      </c>
      <c r="M60" s="48">
        <f>'401'!N54</f>
        <v>1890403914</v>
      </c>
      <c r="N60" s="48">
        <f>'401'!N54</f>
        <v>1890403914</v>
      </c>
      <c r="O60" s="24">
        <f>'401'!O54</f>
        <v>2145838474</v>
      </c>
      <c r="P60" s="24">
        <f>'401'!P54</f>
        <v>2899387176</v>
      </c>
      <c r="Q60" s="98">
        <f t="shared" si="0"/>
        <v>753548702</v>
      </c>
    </row>
    <row r="61" spans="1:17" ht="20.100000000000001" customHeight="1">
      <c r="A61" s="41">
        <v>59</v>
      </c>
      <c r="B61" s="41">
        <v>402</v>
      </c>
      <c r="C61" s="23" t="s">
        <v>692</v>
      </c>
      <c r="D61" s="23"/>
      <c r="E61" s="23"/>
      <c r="F61" s="23"/>
      <c r="G61" s="23"/>
      <c r="H61" s="23"/>
      <c r="I61" s="23"/>
      <c r="J61" s="23"/>
      <c r="K61" s="40">
        <v>0</v>
      </c>
      <c r="L61" s="42" t="e">
        <f>#REF!</f>
        <v>#REF!</v>
      </c>
      <c r="M61" s="24" t="e">
        <f>#REF!</f>
        <v>#REF!</v>
      </c>
      <c r="N61" s="24" t="e">
        <f>#REF!</f>
        <v>#REF!</v>
      </c>
      <c r="O61" s="24">
        <v>759773600</v>
      </c>
      <c r="P61" s="24">
        <v>0</v>
      </c>
      <c r="Q61" s="98">
        <f t="shared" si="0"/>
        <v>-759773600</v>
      </c>
    </row>
    <row r="62" spans="1:17" ht="20.100000000000001" customHeight="1">
      <c r="A62" s="41">
        <v>60</v>
      </c>
      <c r="B62" s="43">
        <v>411</v>
      </c>
      <c r="C62" s="44" t="s">
        <v>945</v>
      </c>
      <c r="D62" s="44"/>
      <c r="E62" s="44"/>
      <c r="F62" s="44"/>
      <c r="G62" s="44"/>
      <c r="H62" s="44"/>
      <c r="I62" s="44"/>
      <c r="J62" s="44"/>
      <c r="K62" s="40"/>
      <c r="L62" s="47">
        <f>'411'!C48</f>
        <v>2168529407</v>
      </c>
      <c r="M62" s="48">
        <f>'411'!D48</f>
        <v>2810371380</v>
      </c>
      <c r="N62" s="48">
        <f>'411'!D48</f>
        <v>2810371380</v>
      </c>
      <c r="O62" s="24">
        <f>'411'!E48</f>
        <v>5214515860</v>
      </c>
      <c r="P62" s="24">
        <f>'411'!F48</f>
        <v>5234219220</v>
      </c>
      <c r="Q62" s="98">
        <f t="shared" si="0"/>
        <v>19703360</v>
      </c>
    </row>
    <row r="63" spans="1:17" ht="20.100000000000001" customHeight="1">
      <c r="A63" s="41">
        <v>61</v>
      </c>
      <c r="B63" s="43">
        <v>421</v>
      </c>
      <c r="C63" s="44" t="s">
        <v>946</v>
      </c>
      <c r="D63" s="44"/>
      <c r="E63" s="44"/>
      <c r="F63" s="44"/>
      <c r="G63" s="44"/>
      <c r="H63" s="44"/>
      <c r="I63" s="44"/>
      <c r="J63" s="44"/>
      <c r="K63" s="40"/>
      <c r="L63" s="47">
        <f>'421'!C46</f>
        <v>0</v>
      </c>
      <c r="M63" s="48">
        <f>'421'!D46</f>
        <v>2310125000</v>
      </c>
      <c r="N63" s="48">
        <f>'421'!D46</f>
        <v>2310125000</v>
      </c>
      <c r="O63" s="24">
        <f>'421'!E46</f>
        <v>2242125000</v>
      </c>
      <c r="P63" s="24">
        <f>'421'!F46</f>
        <v>2270125000</v>
      </c>
      <c r="Q63" s="98">
        <f t="shared" si="0"/>
        <v>28000000</v>
      </c>
    </row>
    <row r="64" spans="1:17" ht="20.100000000000001" customHeight="1">
      <c r="A64" s="41">
        <v>62</v>
      </c>
      <c r="B64" s="43">
        <v>431</v>
      </c>
      <c r="C64" s="44" t="s">
        <v>947</v>
      </c>
      <c r="D64" s="44"/>
      <c r="E64" s="44"/>
      <c r="F64" s="44"/>
      <c r="G64" s="44"/>
      <c r="H64" s="44"/>
      <c r="I64" s="44"/>
      <c r="J64" s="44"/>
      <c r="K64" s="40"/>
      <c r="L64" s="47"/>
      <c r="M64" s="48">
        <v>0</v>
      </c>
      <c r="N64" s="48">
        <f>'431'!O45</f>
        <v>1419670400</v>
      </c>
      <c r="O64" s="24">
        <f>'431'!P45</f>
        <v>3240570080</v>
      </c>
      <c r="P64" s="24">
        <f>'431'!R45</f>
        <v>3392610240</v>
      </c>
      <c r="Q64" s="98">
        <f t="shared" si="0"/>
        <v>152040160</v>
      </c>
    </row>
    <row r="65" spans="1:27" ht="20.100000000000001" customHeight="1">
      <c r="A65" s="41">
        <v>63</v>
      </c>
      <c r="B65" s="43">
        <v>441</v>
      </c>
      <c r="C65" s="44" t="s">
        <v>720</v>
      </c>
      <c r="D65" s="44"/>
      <c r="E65" s="44"/>
      <c r="F65" s="44"/>
      <c r="G65" s="44"/>
      <c r="H65" s="44"/>
      <c r="I65" s="44"/>
      <c r="J65" s="44"/>
      <c r="K65" s="40"/>
      <c r="L65" s="47"/>
      <c r="M65" s="48"/>
      <c r="N65" s="78">
        <f>'441'!C50</f>
        <v>0</v>
      </c>
      <c r="O65" s="24">
        <f>'441'!D50</f>
        <v>3112288935.5</v>
      </c>
      <c r="P65" s="24">
        <f>'441'!E50</f>
        <v>4740375335.5</v>
      </c>
      <c r="Q65" s="98">
        <f t="shared" si="0"/>
        <v>1628086400</v>
      </c>
    </row>
    <row r="66" spans="1:27" ht="20.100000000000001" customHeight="1" thickBot="1">
      <c r="A66" s="177"/>
      <c r="B66" s="49"/>
      <c r="C66" s="50" t="s">
        <v>223</v>
      </c>
      <c r="D66" s="50"/>
      <c r="E66" s="50"/>
      <c r="F66" s="50"/>
      <c r="G66" s="50"/>
      <c r="H66" s="50"/>
      <c r="I66" s="50"/>
      <c r="J66" s="50"/>
      <c r="K66" s="51">
        <f>SUM(K2:K59)</f>
        <v>310259111704</v>
      </c>
      <c r="L66" s="51" t="e">
        <f>SUM(L2:L62)</f>
        <v>#REF!</v>
      </c>
      <c r="M66" s="80" t="e">
        <f>SUM(M2:M64)</f>
        <v>#REF!</v>
      </c>
      <c r="N66" s="78" t="e">
        <f>SUM(N2:N65)</f>
        <v>#REF!</v>
      </c>
      <c r="O66" s="78">
        <f>SUM(O2:O65)</f>
        <v>912000000000.12415</v>
      </c>
      <c r="P66" s="78">
        <f>SUM(P2:P65)</f>
        <v>1080000000000.1099</v>
      </c>
      <c r="Q66" s="179">
        <f t="shared" si="0"/>
        <v>167999999999.98572</v>
      </c>
      <c r="AA66" s="53" t="s">
        <v>355</v>
      </c>
    </row>
    <row r="67" spans="1:27" ht="20.100000000000001" customHeight="1">
      <c r="O67" s="81" t="s">
        <v>354</v>
      </c>
      <c r="P67" s="81"/>
    </row>
  </sheetData>
  <pageMargins left="0.7" right="0.7" top="0.75" bottom="0.75" header="0.3" footer="0.3"/>
  <pageSetup scale="50" orientation="portrait" r:id="rId1"/>
  <headerFooter>
    <oddHeader>&amp;C&amp;"Agency FB,Bold"&amp;36Soo koobida Guud ee Miisaaniyadda 2015.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Q50"/>
  <sheetViews>
    <sheetView view="pageBreakPreview" topLeftCell="A55" zoomScale="60" workbookViewId="0">
      <selection activeCell="P50" sqref="P50"/>
    </sheetView>
  </sheetViews>
  <sheetFormatPr defaultRowHeight="24.95" customHeight="1"/>
  <cols>
    <col min="1" max="1" width="16" style="287" customWidth="1"/>
    <col min="2" max="2" width="85.83203125" style="280" customWidth="1"/>
    <col min="3" max="3" width="22.6640625" style="280" hidden="1" customWidth="1"/>
    <col min="4" max="4" width="19.83203125" style="280" hidden="1" customWidth="1"/>
    <col min="5" max="5" width="18" style="280" hidden="1" customWidth="1"/>
    <col min="6" max="6" width="17" style="280" hidden="1" customWidth="1"/>
    <col min="7" max="7" width="20.6640625" style="280" hidden="1" customWidth="1"/>
    <col min="8" max="8" width="20.5" style="280" hidden="1" customWidth="1"/>
    <col min="9" max="9" width="4" style="280" hidden="1" customWidth="1"/>
    <col min="10" max="10" width="24.6640625" style="280" hidden="1" customWidth="1"/>
    <col min="11" max="11" width="26.33203125" style="280" hidden="1" customWidth="1"/>
    <col min="12" max="12" width="27.6640625" style="280" hidden="1" customWidth="1"/>
    <col min="13" max="13" width="0.1640625" style="280" hidden="1" customWidth="1"/>
    <col min="14" max="14" width="26.5" style="280" hidden="1" customWidth="1"/>
    <col min="15" max="15" width="27.6640625" style="286" bestFit="1" customWidth="1"/>
    <col min="16" max="16" width="27.6640625" style="286" customWidth="1"/>
    <col min="17" max="17" width="25.83203125" style="280" bestFit="1" customWidth="1"/>
    <col min="18" max="16384" width="9.33203125" style="280"/>
  </cols>
  <sheetData>
    <row r="1" spans="1:17" ht="24.95" customHeight="1">
      <c r="A1" s="249" t="s">
        <v>20</v>
      </c>
      <c r="B1" s="130" t="s">
        <v>762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281" customFormat="1" ht="24.95" customHeight="1">
      <c r="A2" s="249" t="s">
        <v>6</v>
      </c>
      <c r="B2" s="130" t="s">
        <v>7</v>
      </c>
      <c r="C2" s="106" t="s">
        <v>19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41</v>
      </c>
      <c r="I2" s="112" t="s">
        <v>66</v>
      </c>
      <c r="J2" s="112" t="s">
        <v>69</v>
      </c>
      <c r="K2" s="112" t="s">
        <v>96</v>
      </c>
      <c r="L2" s="112" t="s">
        <v>168</v>
      </c>
      <c r="M2" s="112" t="s">
        <v>318</v>
      </c>
      <c r="N2" s="112" t="s">
        <v>530</v>
      </c>
      <c r="O2" s="112" t="s">
        <v>605</v>
      </c>
      <c r="P2" s="112" t="s">
        <v>722</v>
      </c>
      <c r="Q2" s="112" t="s">
        <v>29</v>
      </c>
    </row>
    <row r="3" spans="1:17" ht="24.95" customHeight="1">
      <c r="A3" s="249">
        <v>210</v>
      </c>
      <c r="B3" s="106" t="s">
        <v>95</v>
      </c>
      <c r="C3" s="66"/>
      <c r="D3" s="66"/>
      <c r="E3" s="66"/>
      <c r="F3" s="66"/>
      <c r="G3" s="66"/>
      <c r="H3" s="128"/>
      <c r="I3" s="128"/>
      <c r="J3" s="128"/>
      <c r="K3" s="128"/>
      <c r="L3" s="128"/>
      <c r="M3" s="128"/>
      <c r="N3" s="128"/>
      <c r="O3" s="128"/>
      <c r="P3" s="128"/>
      <c r="Q3" s="66"/>
    </row>
    <row r="4" spans="1:17" ht="24.95" customHeight="1">
      <c r="A4" s="249">
        <v>2110</v>
      </c>
      <c r="B4" s="106" t="s">
        <v>155</v>
      </c>
      <c r="C4" s="66">
        <v>61545000</v>
      </c>
      <c r="D4" s="66">
        <v>74124000</v>
      </c>
      <c r="E4" s="66">
        <v>64128000</v>
      </c>
      <c r="F4" s="66">
        <v>72660000</v>
      </c>
      <c r="G4" s="66">
        <v>72660000</v>
      </c>
      <c r="H4" s="66">
        <f>72660000+42936000</f>
        <v>115596000</v>
      </c>
      <c r="I4" s="66">
        <f>150274800+4149600+13104000+3198000</f>
        <v>170726400</v>
      </c>
      <c r="J4" s="66">
        <f>170726400+3198000</f>
        <v>173924400</v>
      </c>
      <c r="K4" s="66"/>
      <c r="L4" s="66"/>
      <c r="M4" s="66"/>
      <c r="N4" s="66"/>
      <c r="O4" s="66"/>
      <c r="P4" s="66"/>
      <c r="Q4" s="66"/>
    </row>
    <row r="5" spans="1:17" ht="24.95" customHeight="1">
      <c r="A5" s="169">
        <v>21101</v>
      </c>
      <c r="B5" s="66" t="s">
        <v>267</v>
      </c>
      <c r="C5" s="66">
        <v>1180900</v>
      </c>
      <c r="D5" s="66"/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114472800</v>
      </c>
      <c r="L5" s="66" t="e">
        <f>#REF!+11*423800*12*2+111883200</f>
        <v>#REF!</v>
      </c>
      <c r="M5" s="66">
        <v>105050400</v>
      </c>
      <c r="N5" s="66">
        <v>154003200</v>
      </c>
      <c r="O5" s="66">
        <v>245793600</v>
      </c>
      <c r="P5" s="66">
        <v>248077440</v>
      </c>
      <c r="Q5" s="66">
        <f>P5-O5</f>
        <v>2283840</v>
      </c>
    </row>
    <row r="6" spans="1:17" ht="24.95" customHeight="1">
      <c r="A6" s="169">
        <v>21102</v>
      </c>
      <c r="B6" s="66" t="s">
        <v>433</v>
      </c>
      <c r="C6" s="66">
        <v>1123486000</v>
      </c>
      <c r="D6" s="66">
        <v>1227036000</v>
      </c>
      <c r="E6" s="66">
        <v>1192428000</v>
      </c>
      <c r="F6" s="66">
        <f>1935276000+1200000</f>
        <v>1936476000</v>
      </c>
      <c r="G6" s="66">
        <f>1936476000+600000000</f>
        <v>2536476000</v>
      </c>
      <c r="H6" s="66">
        <f>2529276000+54000000</f>
        <v>2583276000</v>
      </c>
      <c r="I6" s="66">
        <f>2530476000+4800000</f>
        <v>2535276000</v>
      </c>
      <c r="J6" s="66">
        <f>2535276000+2400000</f>
        <v>2537676000</v>
      </c>
      <c r="K6" s="66">
        <v>0</v>
      </c>
      <c r="L6" s="66">
        <v>0</v>
      </c>
      <c r="M6" s="66">
        <v>1120024800</v>
      </c>
      <c r="N6" s="66">
        <v>1069200000</v>
      </c>
      <c r="O6" s="66">
        <v>1012953600</v>
      </c>
      <c r="P6" s="66">
        <v>1069200000</v>
      </c>
      <c r="Q6" s="66">
        <f t="shared" ref="Q6:Q49" si="0">P6-O6</f>
        <v>56246400</v>
      </c>
    </row>
    <row r="7" spans="1:17" ht="24.95" customHeight="1">
      <c r="A7" s="169">
        <v>21103</v>
      </c>
      <c r="B7" s="66" t="s">
        <v>533</v>
      </c>
      <c r="C7" s="66"/>
      <c r="D7" s="66"/>
      <c r="E7" s="66"/>
      <c r="F7" s="66"/>
      <c r="G7" s="66"/>
      <c r="H7" s="66"/>
      <c r="I7" s="66"/>
      <c r="J7" s="66"/>
      <c r="K7" s="66">
        <v>468468000</v>
      </c>
      <c r="L7" s="66">
        <v>468468000</v>
      </c>
      <c r="M7" s="66">
        <v>84000000</v>
      </c>
      <c r="N7" s="66">
        <v>156000000</v>
      </c>
      <c r="O7" s="66">
        <v>199200000</v>
      </c>
      <c r="P7" s="66">
        <v>199200000</v>
      </c>
      <c r="Q7" s="66">
        <f t="shared" si="0"/>
        <v>0</v>
      </c>
    </row>
    <row r="8" spans="1:17" ht="24.95" customHeight="1">
      <c r="A8" s="169">
        <v>21105</v>
      </c>
      <c r="B8" s="66" t="s">
        <v>396</v>
      </c>
      <c r="C8" s="66">
        <v>2500000</v>
      </c>
      <c r="D8" s="66">
        <v>2000000</v>
      </c>
      <c r="E8" s="66">
        <v>2000000</v>
      </c>
      <c r="F8" s="66">
        <v>2000000</v>
      </c>
      <c r="G8" s="66">
        <v>1600000</v>
      </c>
      <c r="H8" s="66">
        <v>41000000</v>
      </c>
      <c r="I8" s="66">
        <v>41000000</v>
      </c>
      <c r="J8" s="66"/>
      <c r="K8" s="66">
        <v>25200000</v>
      </c>
      <c r="L8" s="66">
        <v>25200000</v>
      </c>
      <c r="M8" s="66">
        <f>L8</f>
        <v>25200000</v>
      </c>
      <c r="N8" s="66">
        <f>M8</f>
        <v>25200000</v>
      </c>
      <c r="O8" s="66">
        <v>214800000</v>
      </c>
      <c r="P8" s="66">
        <v>217200000</v>
      </c>
      <c r="Q8" s="66">
        <f t="shared" si="0"/>
        <v>2400000</v>
      </c>
    </row>
    <row r="9" spans="1:17" s="282" customFormat="1" ht="24.95" customHeight="1">
      <c r="A9" s="249">
        <v>2120</v>
      </c>
      <c r="B9" s="106" t="s">
        <v>156</v>
      </c>
      <c r="C9" s="66"/>
      <c r="D9" s="66"/>
      <c r="E9" s="66"/>
      <c r="F9" s="66"/>
      <c r="G9" s="66"/>
      <c r="H9" s="66"/>
      <c r="I9" s="66"/>
      <c r="J9" s="66"/>
      <c r="K9" s="106"/>
      <c r="L9" s="106"/>
      <c r="M9" s="106"/>
      <c r="N9" s="106"/>
      <c r="O9" s="106"/>
      <c r="P9" s="106"/>
      <c r="Q9" s="66">
        <f t="shared" si="0"/>
        <v>0</v>
      </c>
    </row>
    <row r="10" spans="1:17" ht="24.95" customHeight="1">
      <c r="A10" s="169"/>
      <c r="B10" s="106" t="s">
        <v>59</v>
      </c>
      <c r="C10" s="66">
        <v>11878000</v>
      </c>
      <c r="D10" s="66">
        <f>2000000+2000000</f>
        <v>4000000</v>
      </c>
      <c r="E10" s="66">
        <v>2000000</v>
      </c>
      <c r="F10" s="66">
        <v>2000000</v>
      </c>
      <c r="G10" s="66">
        <v>1600000</v>
      </c>
      <c r="H10" s="66">
        <v>30000000</v>
      </c>
      <c r="I10" s="66">
        <v>60000000</v>
      </c>
      <c r="J10" s="66">
        <v>50000000</v>
      </c>
      <c r="K10" s="106">
        <f t="shared" ref="K10:O10" si="1">SUM(K5:K9)</f>
        <v>608140800</v>
      </c>
      <c r="L10" s="106" t="e">
        <f t="shared" si="1"/>
        <v>#REF!</v>
      </c>
      <c r="M10" s="106">
        <f t="shared" si="1"/>
        <v>1334275200</v>
      </c>
      <c r="N10" s="106">
        <f t="shared" si="1"/>
        <v>1404403200</v>
      </c>
      <c r="O10" s="106">
        <f t="shared" si="1"/>
        <v>1672747200</v>
      </c>
      <c r="P10" s="106">
        <f>SUM(P5:P9)</f>
        <v>1733677440</v>
      </c>
      <c r="Q10" s="66">
        <f t="shared" si="0"/>
        <v>60930240</v>
      </c>
    </row>
    <row r="11" spans="1:17" ht="24.95" customHeight="1">
      <c r="A11" s="249">
        <v>220</v>
      </c>
      <c r="B11" s="106" t="s">
        <v>159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200000000</v>
      </c>
      <c r="I11" s="66">
        <v>200000000</v>
      </c>
      <c r="J11" s="66">
        <v>280000000</v>
      </c>
      <c r="K11" s="66"/>
      <c r="L11" s="66"/>
      <c r="M11" s="66"/>
      <c r="N11" s="66"/>
      <c r="O11" s="66"/>
      <c r="P11" s="66"/>
      <c r="Q11" s="66">
        <f t="shared" si="0"/>
        <v>0</v>
      </c>
    </row>
    <row r="12" spans="1:17" s="282" customFormat="1" ht="24.95" customHeight="1">
      <c r="A12" s="249">
        <v>2210</v>
      </c>
      <c r="B12" s="106" t="s">
        <v>160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>
        <f t="shared" si="0"/>
        <v>0</v>
      </c>
    </row>
    <row r="13" spans="1:17" ht="24.95" customHeight="1">
      <c r="A13" s="169">
        <v>22101</v>
      </c>
      <c r="B13" s="66" t="s">
        <v>14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356850000</v>
      </c>
      <c r="I13" s="66">
        <v>0</v>
      </c>
      <c r="J13" s="66">
        <v>84000000</v>
      </c>
      <c r="K13" s="66">
        <v>30620000</v>
      </c>
      <c r="L13" s="66">
        <f>30620000*70%</f>
        <v>21434000</v>
      </c>
      <c r="M13" s="66">
        <v>27864200</v>
      </c>
      <c r="N13" s="66">
        <v>47864200</v>
      </c>
      <c r="O13" s="66">
        <v>67864200</v>
      </c>
      <c r="P13" s="66">
        <v>140000000</v>
      </c>
      <c r="Q13" s="66">
        <f t="shared" si="0"/>
        <v>72135800</v>
      </c>
    </row>
    <row r="14" spans="1:17" ht="24.95" customHeight="1">
      <c r="A14" s="169">
        <v>22102</v>
      </c>
      <c r="B14" s="66" t="s">
        <v>82</v>
      </c>
      <c r="C14" s="66">
        <v>1500000</v>
      </c>
      <c r="D14" s="66">
        <v>5500000</v>
      </c>
      <c r="E14" s="66">
        <v>500000</v>
      </c>
      <c r="F14" s="66">
        <v>500000</v>
      </c>
      <c r="G14" s="66">
        <v>400000</v>
      </c>
      <c r="H14" s="66">
        <v>12000000</v>
      </c>
      <c r="I14" s="66">
        <v>20000000</v>
      </c>
      <c r="J14" s="66">
        <v>20000000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f t="shared" si="0"/>
        <v>0</v>
      </c>
    </row>
    <row r="15" spans="1:17" ht="24.95" customHeight="1">
      <c r="A15" s="169">
        <v>22103</v>
      </c>
      <c r="B15" s="66" t="s">
        <v>83</v>
      </c>
      <c r="C15" s="66"/>
      <c r="D15" s="66"/>
      <c r="E15" s="66"/>
      <c r="F15" s="66"/>
      <c r="G15" s="66"/>
      <c r="H15" s="66"/>
      <c r="I15" s="66"/>
      <c r="J15" s="66"/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f t="shared" si="0"/>
        <v>0</v>
      </c>
    </row>
    <row r="16" spans="1:17" ht="24.95" customHeight="1">
      <c r="A16" s="169">
        <v>22104</v>
      </c>
      <c r="B16" s="66" t="s">
        <v>116</v>
      </c>
      <c r="C16" s="66"/>
      <c r="D16" s="66"/>
      <c r="E16" s="66"/>
      <c r="F16" s="66"/>
      <c r="G16" s="66"/>
      <c r="H16" s="66"/>
      <c r="I16" s="66"/>
      <c r="J16" s="66"/>
      <c r="K16" s="66">
        <v>58358400</v>
      </c>
      <c r="L16" s="66">
        <f>58358400*70%</f>
        <v>40850880</v>
      </c>
      <c r="M16" s="66">
        <f>58358400*70%</f>
        <v>40850880</v>
      </c>
      <c r="N16" s="66">
        <v>50850880</v>
      </c>
      <c r="O16" s="66">
        <v>53850880</v>
      </c>
      <c r="P16" s="66">
        <v>53850880</v>
      </c>
      <c r="Q16" s="66">
        <f t="shared" si="0"/>
        <v>0</v>
      </c>
    </row>
    <row r="17" spans="1:17" ht="24.95" customHeight="1">
      <c r="A17" s="169">
        <v>22105</v>
      </c>
      <c r="B17" s="66" t="s">
        <v>93</v>
      </c>
      <c r="C17" s="66"/>
      <c r="D17" s="66"/>
      <c r="E17" s="66"/>
      <c r="F17" s="66"/>
      <c r="G17" s="66"/>
      <c r="H17" s="66"/>
      <c r="I17" s="66"/>
      <c r="J17" s="66"/>
      <c r="K17" s="66">
        <v>0</v>
      </c>
      <c r="L17" s="66">
        <f>21600000*70%</f>
        <v>15119999.999999998</v>
      </c>
      <c r="M17" s="66">
        <v>0</v>
      </c>
      <c r="N17" s="66">
        <v>0</v>
      </c>
      <c r="O17" s="66">
        <v>0</v>
      </c>
      <c r="P17" s="66">
        <v>0</v>
      </c>
      <c r="Q17" s="66">
        <f t="shared" si="0"/>
        <v>0</v>
      </c>
    </row>
    <row r="18" spans="1:17" ht="24.95" customHeight="1">
      <c r="A18" s="169">
        <v>22106</v>
      </c>
      <c r="B18" s="66" t="s">
        <v>84</v>
      </c>
      <c r="C18" s="66">
        <v>2500000</v>
      </c>
      <c r="D18" s="66">
        <v>2000000</v>
      </c>
      <c r="E18" s="66">
        <v>2000000</v>
      </c>
      <c r="F18" s="66">
        <v>2000000</v>
      </c>
      <c r="G18" s="66">
        <v>1600000</v>
      </c>
      <c r="H18" s="66">
        <v>41000000</v>
      </c>
      <c r="I18" s="66">
        <v>41000000</v>
      </c>
      <c r="J18" s="66">
        <v>31000000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f t="shared" si="0"/>
        <v>0</v>
      </c>
    </row>
    <row r="19" spans="1:17" ht="24.95" customHeight="1">
      <c r="A19" s="169">
        <v>22107</v>
      </c>
      <c r="B19" s="66" t="s">
        <v>30</v>
      </c>
      <c r="C19" s="66">
        <f t="shared" ref="C19:J19" si="2">SUM(C13:C18)</f>
        <v>4000000</v>
      </c>
      <c r="D19" s="66">
        <f t="shared" si="2"/>
        <v>7500000</v>
      </c>
      <c r="E19" s="66">
        <f t="shared" si="2"/>
        <v>2500000</v>
      </c>
      <c r="F19" s="66">
        <f t="shared" si="2"/>
        <v>2500000</v>
      </c>
      <c r="G19" s="66">
        <f t="shared" si="2"/>
        <v>2000000</v>
      </c>
      <c r="H19" s="66">
        <f t="shared" si="2"/>
        <v>409850000</v>
      </c>
      <c r="I19" s="106">
        <f t="shared" si="2"/>
        <v>61000000</v>
      </c>
      <c r="J19" s="106">
        <f t="shared" si="2"/>
        <v>135000000</v>
      </c>
      <c r="K19" s="66">
        <v>20000000</v>
      </c>
      <c r="L19" s="66">
        <f>20000000*70%</f>
        <v>14000000</v>
      </c>
      <c r="M19" s="66">
        <f>L19*70%</f>
        <v>9800000</v>
      </c>
      <c r="N19" s="66">
        <v>9800000</v>
      </c>
      <c r="O19" s="66">
        <v>9800000</v>
      </c>
      <c r="P19" s="66">
        <v>9800000</v>
      </c>
      <c r="Q19" s="66">
        <f t="shared" si="0"/>
        <v>0</v>
      </c>
    </row>
    <row r="20" spans="1:17" ht="24.95" customHeight="1">
      <c r="A20" s="169">
        <v>22108</v>
      </c>
      <c r="B20" s="66" t="s">
        <v>60</v>
      </c>
      <c r="C20" s="66"/>
      <c r="D20" s="66"/>
      <c r="E20" s="66"/>
      <c r="F20" s="66"/>
      <c r="G20" s="66"/>
      <c r="H20" s="66"/>
      <c r="I20" s="66"/>
      <c r="J20" s="66"/>
      <c r="K20" s="106">
        <v>0</v>
      </c>
      <c r="L20" s="106">
        <v>0</v>
      </c>
      <c r="M20" s="66">
        <v>24500000</v>
      </c>
      <c r="N20" s="66">
        <v>24500000</v>
      </c>
      <c r="O20" s="66">
        <v>54000000</v>
      </c>
      <c r="P20" s="66">
        <v>54000000</v>
      </c>
      <c r="Q20" s="66">
        <f t="shared" si="0"/>
        <v>0</v>
      </c>
    </row>
    <row r="21" spans="1:17" ht="24.95" customHeight="1">
      <c r="A21" s="169">
        <v>22109</v>
      </c>
      <c r="B21" s="66" t="s">
        <v>94</v>
      </c>
      <c r="C21" s="66">
        <v>23000000</v>
      </c>
      <c r="D21" s="66">
        <v>15000000</v>
      </c>
      <c r="E21" s="66">
        <v>8949700</v>
      </c>
      <c r="F21" s="66">
        <v>8949700</v>
      </c>
      <c r="G21" s="66">
        <v>12000000</v>
      </c>
      <c r="H21" s="66">
        <v>80000000</v>
      </c>
      <c r="I21" s="66">
        <v>80000000</v>
      </c>
      <c r="J21" s="66">
        <v>80000000</v>
      </c>
      <c r="K21" s="66">
        <v>10000000</v>
      </c>
      <c r="L21" s="66">
        <f>10000000*70%</f>
        <v>7000000</v>
      </c>
      <c r="M21" s="66">
        <f>10000000*70%</f>
        <v>7000000</v>
      </c>
      <c r="N21" s="66">
        <f>10000000*70%</f>
        <v>7000000</v>
      </c>
      <c r="O21" s="66">
        <v>10000000</v>
      </c>
      <c r="P21" s="66">
        <v>10000000</v>
      </c>
      <c r="Q21" s="66">
        <f t="shared" si="0"/>
        <v>0</v>
      </c>
    </row>
    <row r="22" spans="1:17" ht="24.95" customHeight="1">
      <c r="A22" s="169">
        <v>22112</v>
      </c>
      <c r="B22" s="66" t="s">
        <v>16</v>
      </c>
      <c r="C22" s="66">
        <v>10061000</v>
      </c>
      <c r="D22" s="66">
        <v>2000000</v>
      </c>
      <c r="E22" s="66">
        <v>0</v>
      </c>
      <c r="F22" s="66">
        <v>0</v>
      </c>
      <c r="G22" s="66">
        <v>0</v>
      </c>
      <c r="H22" s="66">
        <v>30000000</v>
      </c>
      <c r="I22" s="66">
        <v>40000000</v>
      </c>
      <c r="J22" s="66">
        <v>30000000</v>
      </c>
      <c r="K22" s="66">
        <v>21172000</v>
      </c>
      <c r="L22" s="66">
        <f>21172000*70%</f>
        <v>14820399.999999998</v>
      </c>
      <c r="M22" s="66">
        <f>21172000*70%</f>
        <v>14820399.999999998</v>
      </c>
      <c r="N22" s="66">
        <v>24820400</v>
      </c>
      <c r="O22" s="66">
        <v>24820400</v>
      </c>
      <c r="P22" s="66">
        <v>24820400</v>
      </c>
      <c r="Q22" s="66">
        <f t="shared" si="0"/>
        <v>0</v>
      </c>
    </row>
    <row r="23" spans="1:17" ht="24.95" customHeight="1">
      <c r="A23" s="169">
        <v>22113</v>
      </c>
      <c r="B23" s="66" t="s">
        <v>170</v>
      </c>
      <c r="C23" s="66"/>
      <c r="D23" s="66"/>
      <c r="E23" s="66"/>
      <c r="F23" s="66"/>
      <c r="G23" s="66"/>
      <c r="H23" s="66"/>
      <c r="I23" s="66"/>
      <c r="J23" s="66"/>
      <c r="K23" s="66">
        <v>10000000</v>
      </c>
      <c r="L23" s="66">
        <f>10000000*70%</f>
        <v>7000000</v>
      </c>
      <c r="M23" s="66">
        <v>10500000</v>
      </c>
      <c r="N23" s="66">
        <v>10500000</v>
      </c>
      <c r="O23" s="66">
        <v>10500000</v>
      </c>
      <c r="P23" s="66">
        <v>10500000</v>
      </c>
      <c r="Q23" s="66">
        <f t="shared" si="0"/>
        <v>0</v>
      </c>
    </row>
    <row r="24" spans="1:17" ht="24.95" customHeight="1">
      <c r="A24" s="169">
        <v>22115</v>
      </c>
      <c r="B24" s="66" t="s">
        <v>171</v>
      </c>
      <c r="C24" s="66"/>
      <c r="D24" s="66"/>
      <c r="E24" s="66"/>
      <c r="F24" s="66"/>
      <c r="G24" s="66"/>
      <c r="H24" s="66"/>
      <c r="I24" s="66"/>
      <c r="J24" s="66"/>
      <c r="K24" s="66">
        <v>20000000</v>
      </c>
      <c r="L24" s="66">
        <f>20000000*70%</f>
        <v>14000000</v>
      </c>
      <c r="M24" s="66">
        <v>21000000</v>
      </c>
      <c r="N24" s="66">
        <v>21000000</v>
      </c>
      <c r="O24" s="66">
        <v>21000000</v>
      </c>
      <c r="P24" s="66">
        <v>21000000</v>
      </c>
      <c r="Q24" s="66">
        <f t="shared" si="0"/>
        <v>0</v>
      </c>
    </row>
    <row r="25" spans="1:17" s="282" customFormat="1" ht="24.95" customHeight="1">
      <c r="A25" s="169">
        <v>22132</v>
      </c>
      <c r="B25" s="66" t="s">
        <v>144</v>
      </c>
      <c r="C25" s="66">
        <v>3000000</v>
      </c>
      <c r="D25" s="66">
        <v>1500000</v>
      </c>
      <c r="E25" s="66">
        <v>0</v>
      </c>
      <c r="F25" s="66">
        <v>0</v>
      </c>
      <c r="G25" s="66">
        <v>0</v>
      </c>
      <c r="H25" s="66">
        <v>15000000</v>
      </c>
      <c r="I25" s="66">
        <v>20000000</v>
      </c>
      <c r="J25" s="66">
        <v>20000000</v>
      </c>
      <c r="K25" s="66">
        <v>35000000</v>
      </c>
      <c r="L25" s="66">
        <f>35000000*70%</f>
        <v>24500000</v>
      </c>
      <c r="M25" s="66">
        <v>0</v>
      </c>
      <c r="N25" s="66">
        <v>0</v>
      </c>
      <c r="O25" s="66">
        <v>0</v>
      </c>
      <c r="P25" s="66">
        <v>0</v>
      </c>
      <c r="Q25" s="66">
        <f t="shared" si="0"/>
        <v>0</v>
      </c>
    </row>
    <row r="26" spans="1:17" s="282" customFormat="1" ht="24.95" customHeight="1">
      <c r="A26" s="169">
        <v>22141</v>
      </c>
      <c r="B26" s="66" t="s">
        <v>381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>
        <v>0</v>
      </c>
      <c r="N26" s="66">
        <v>10000000</v>
      </c>
      <c r="O26" s="66">
        <v>0</v>
      </c>
      <c r="P26" s="66">
        <v>0</v>
      </c>
      <c r="Q26" s="66">
        <f t="shared" si="0"/>
        <v>0</v>
      </c>
    </row>
    <row r="27" spans="1:17" ht="24.95" customHeight="1">
      <c r="A27" s="169"/>
      <c r="B27" s="106" t="s">
        <v>59</v>
      </c>
      <c r="C27" s="66">
        <v>0</v>
      </c>
      <c r="D27" s="66">
        <v>0</v>
      </c>
      <c r="E27" s="66">
        <v>0</v>
      </c>
      <c r="F27" s="66">
        <v>0</v>
      </c>
      <c r="G27" s="66">
        <v>16000000</v>
      </c>
      <c r="H27" s="66">
        <v>360113000</v>
      </c>
      <c r="I27" s="66">
        <v>208212162</v>
      </c>
      <c r="J27" s="66">
        <v>330000000</v>
      </c>
      <c r="K27" s="106">
        <f>SUM(K13:K25)</f>
        <v>205150400</v>
      </c>
      <c r="L27" s="106">
        <f>SUM(L13:L25)</f>
        <v>158725280</v>
      </c>
      <c r="M27" s="106">
        <f>SUM(M13:M26)</f>
        <v>156335480</v>
      </c>
      <c r="N27" s="106">
        <f>SUM(N13:N26)</f>
        <v>206335480</v>
      </c>
      <c r="O27" s="106">
        <f>SUM(O13:O26)</f>
        <v>251835480</v>
      </c>
      <c r="P27" s="106">
        <f>SUM(P13:P26)</f>
        <v>323971280</v>
      </c>
      <c r="Q27" s="66">
        <f t="shared" si="0"/>
        <v>72135800</v>
      </c>
    </row>
    <row r="28" spans="1:17" ht="24.95" customHeight="1">
      <c r="A28" s="249">
        <v>2220</v>
      </c>
      <c r="B28" s="106" t="s">
        <v>161</v>
      </c>
      <c r="C28" s="66"/>
      <c r="D28" s="66"/>
      <c r="E28" s="66"/>
      <c r="F28" s="66"/>
      <c r="G28" s="66"/>
      <c r="H28" s="66"/>
      <c r="I28" s="66">
        <v>0</v>
      </c>
      <c r="J28" s="66">
        <v>35000000</v>
      </c>
      <c r="K28" s="106"/>
      <c r="L28" s="106"/>
      <c r="M28" s="106"/>
      <c r="N28" s="106"/>
      <c r="O28" s="106"/>
      <c r="P28" s="106"/>
      <c r="Q28" s="66">
        <f t="shared" si="0"/>
        <v>0</v>
      </c>
    </row>
    <row r="29" spans="1:17" ht="24.95" customHeight="1">
      <c r="A29" s="169">
        <v>22201</v>
      </c>
      <c r="B29" s="66" t="s">
        <v>90</v>
      </c>
      <c r="C29" s="106" t="e">
        <f>#REF!+#REF!+#REF!+#REF!+#REF!</f>
        <v>#REF!</v>
      </c>
      <c r="D29" s="106" t="e">
        <f>#REF!+#REF!+#REF!+#REF!+#REF!</f>
        <v>#REF!</v>
      </c>
      <c r="E29" s="106" t="e">
        <f>#REF!+#REF!+#REF!+#REF!+#REF!</f>
        <v>#REF!</v>
      </c>
      <c r="F29" s="106" t="e">
        <f>#REF!+#REF!+#REF!+#REF!+#REF!</f>
        <v>#REF!</v>
      </c>
      <c r="G29" s="106" t="e">
        <f>#REF!+#REF!+#REF!+#REF!+#REF!</f>
        <v>#REF!</v>
      </c>
      <c r="H29" s="106" t="e">
        <f>#REF!+#REF!+#REF!+#REF!+#REF!</f>
        <v>#REF!</v>
      </c>
      <c r="I29" s="106" t="e">
        <f>#REF!+#REF!+#REF!+#REF!+#REF!</f>
        <v>#REF!</v>
      </c>
      <c r="J29" s="106" t="e">
        <f>#REF!+#REF!+#REF!+#REF!+#REF!</f>
        <v>#REF!</v>
      </c>
      <c r="K29" s="66">
        <v>0</v>
      </c>
      <c r="L29" s="66">
        <v>0</v>
      </c>
      <c r="M29" s="66">
        <v>0</v>
      </c>
      <c r="N29" s="66">
        <v>0</v>
      </c>
      <c r="O29" s="66">
        <v>12000000</v>
      </c>
      <c r="P29" s="66">
        <v>12000000</v>
      </c>
      <c r="Q29" s="66">
        <f t="shared" si="0"/>
        <v>0</v>
      </c>
    </row>
    <row r="30" spans="1:17" ht="24.95" customHeight="1">
      <c r="A30" s="169">
        <v>22202</v>
      </c>
      <c r="B30" s="66" t="s">
        <v>91</v>
      </c>
      <c r="C30" s="118"/>
      <c r="D30" s="118"/>
      <c r="E30" s="118"/>
      <c r="F30" s="100">
        <v>0</v>
      </c>
      <c r="G30" s="100" t="s">
        <v>4</v>
      </c>
      <c r="H30" s="100"/>
      <c r="I30" s="100"/>
      <c r="J30" s="100"/>
      <c r="K30" s="66">
        <v>216204000</v>
      </c>
      <c r="L30" s="66">
        <f>216204000*70%</f>
        <v>151342800</v>
      </c>
      <c r="M30" s="66">
        <f>L30*80%</f>
        <v>121074240</v>
      </c>
      <c r="N30" s="66">
        <v>121074240</v>
      </c>
      <c r="O30" s="66">
        <v>171074240</v>
      </c>
      <c r="P30" s="66">
        <v>221074240</v>
      </c>
      <c r="Q30" s="66">
        <f t="shared" si="0"/>
        <v>50000000</v>
      </c>
    </row>
    <row r="31" spans="1:17" s="282" customFormat="1" ht="24.95" customHeight="1">
      <c r="A31" s="169">
        <v>22203</v>
      </c>
      <c r="B31" s="66" t="s">
        <v>85</v>
      </c>
      <c r="C31" s="118"/>
      <c r="D31" s="118"/>
      <c r="E31" s="118"/>
      <c r="F31" s="100"/>
      <c r="G31" s="100"/>
      <c r="H31" s="100"/>
      <c r="I31" s="100"/>
      <c r="J31" s="100"/>
      <c r="K31" s="66">
        <v>30000000</v>
      </c>
      <c r="L31" s="66">
        <f>30000000*70%</f>
        <v>21000000</v>
      </c>
      <c r="M31" s="66">
        <f>30000000*70%</f>
        <v>21000000</v>
      </c>
      <c r="N31" s="66">
        <f>30000000*70%</f>
        <v>21000000</v>
      </c>
      <c r="O31" s="66">
        <f>30000000*70%</f>
        <v>21000000</v>
      </c>
      <c r="P31" s="66">
        <v>41000000</v>
      </c>
      <c r="Q31" s="66">
        <f t="shared" si="0"/>
        <v>20000000</v>
      </c>
    </row>
    <row r="32" spans="1:17" ht="24.95" customHeight="1">
      <c r="A32" s="169">
        <v>22204</v>
      </c>
      <c r="B32" s="66" t="s">
        <v>86</v>
      </c>
      <c r="C32" s="66"/>
      <c r="D32" s="66"/>
      <c r="E32" s="66"/>
      <c r="F32" s="66"/>
      <c r="G32" s="66"/>
      <c r="H32" s="66"/>
      <c r="I32" s="66"/>
      <c r="J32" s="66"/>
      <c r="K32" s="100">
        <v>6000000</v>
      </c>
      <c r="L32" s="100">
        <f>6000000*70%</f>
        <v>4200000</v>
      </c>
      <c r="M32" s="100">
        <f>6000000*70%</f>
        <v>4200000</v>
      </c>
      <c r="N32" s="100">
        <f>6000000*70%</f>
        <v>4200000</v>
      </c>
      <c r="O32" s="100">
        <f>6000000*70%</f>
        <v>4200000</v>
      </c>
      <c r="P32" s="100">
        <f>6000000*70%</f>
        <v>4200000</v>
      </c>
      <c r="Q32" s="66">
        <f t="shared" si="0"/>
        <v>0</v>
      </c>
    </row>
    <row r="33" spans="1:17" ht="24.95" customHeight="1">
      <c r="A33" s="169">
        <v>22205</v>
      </c>
      <c r="B33" s="66" t="s">
        <v>92</v>
      </c>
      <c r="C33" s="66">
        <v>4000000</v>
      </c>
      <c r="D33" s="66">
        <v>2000000</v>
      </c>
      <c r="E33" s="66">
        <v>0</v>
      </c>
      <c r="F33" s="66">
        <v>0</v>
      </c>
      <c r="G33" s="66">
        <v>0</v>
      </c>
      <c r="H33" s="66">
        <v>200000000</v>
      </c>
      <c r="I33" s="66">
        <v>200000000</v>
      </c>
      <c r="J33" s="66">
        <v>200000000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66">
        <f t="shared" si="0"/>
        <v>0</v>
      </c>
    </row>
    <row r="34" spans="1:17" ht="24.95" customHeight="1">
      <c r="A34" s="169">
        <v>22209</v>
      </c>
      <c r="B34" s="66" t="s">
        <v>145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150000000</v>
      </c>
      <c r="I34" s="66">
        <v>150000000</v>
      </c>
      <c r="J34" s="66">
        <v>150000000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f t="shared" si="0"/>
        <v>0</v>
      </c>
    </row>
    <row r="35" spans="1:17" ht="24.95" customHeight="1">
      <c r="A35" s="169"/>
      <c r="B35" s="106" t="s">
        <v>59</v>
      </c>
      <c r="C35" s="66">
        <v>10089000</v>
      </c>
      <c r="D35" s="66">
        <v>10004000</v>
      </c>
      <c r="E35" s="66">
        <v>20004000</v>
      </c>
      <c r="F35" s="66">
        <v>20004000</v>
      </c>
      <c r="G35" s="66">
        <v>40003200</v>
      </c>
      <c r="H35" s="66">
        <v>100000000</v>
      </c>
      <c r="I35" s="66">
        <v>100000000</v>
      </c>
      <c r="J35" s="66">
        <v>100000000</v>
      </c>
      <c r="K35" s="106">
        <f t="shared" ref="K35:O35" si="3">SUM(K29:K34)</f>
        <v>252204000</v>
      </c>
      <c r="L35" s="106">
        <f t="shared" si="3"/>
        <v>176542800</v>
      </c>
      <c r="M35" s="106">
        <f t="shared" si="3"/>
        <v>146274240</v>
      </c>
      <c r="N35" s="106">
        <f t="shared" si="3"/>
        <v>146274240</v>
      </c>
      <c r="O35" s="106">
        <f t="shared" si="3"/>
        <v>208274240</v>
      </c>
      <c r="P35" s="106">
        <f>SUM(P29:P34)</f>
        <v>278274240</v>
      </c>
      <c r="Q35" s="66">
        <f t="shared" si="0"/>
        <v>70000000</v>
      </c>
    </row>
    <row r="36" spans="1:17" ht="24.95" customHeight="1">
      <c r="A36" s="249">
        <v>2230</v>
      </c>
      <c r="B36" s="106" t="s">
        <v>88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616200000</v>
      </c>
      <c r="I36" s="66">
        <v>616200000</v>
      </c>
      <c r="J36" s="66">
        <v>616200000</v>
      </c>
      <c r="K36" s="66"/>
      <c r="L36" s="66"/>
      <c r="M36" s="66"/>
      <c r="N36" s="66"/>
      <c r="O36" s="66"/>
      <c r="P36" s="66"/>
      <c r="Q36" s="66">
        <f t="shared" si="0"/>
        <v>0</v>
      </c>
    </row>
    <row r="37" spans="1:17" ht="24.95" customHeight="1">
      <c r="A37" s="169">
        <v>22301</v>
      </c>
      <c r="B37" s="66" t="s">
        <v>31</v>
      </c>
      <c r="C37" s="66">
        <v>13333000</v>
      </c>
      <c r="D37" s="66">
        <v>5000000</v>
      </c>
      <c r="E37" s="66">
        <v>0</v>
      </c>
      <c r="F37" s="66">
        <v>0</v>
      </c>
      <c r="G37" s="66">
        <v>0</v>
      </c>
      <c r="H37" s="66">
        <v>100000000</v>
      </c>
      <c r="I37" s="66">
        <v>70000000</v>
      </c>
      <c r="J37" s="66">
        <v>70000000</v>
      </c>
      <c r="K37" s="66">
        <v>26896000</v>
      </c>
      <c r="L37" s="66">
        <f>26896000*70%</f>
        <v>18827200</v>
      </c>
      <c r="M37" s="66">
        <f>26896000*70%</f>
        <v>18827200</v>
      </c>
      <c r="N37" s="66">
        <f>26896000*70%</f>
        <v>18827200</v>
      </c>
      <c r="O37" s="66">
        <f>26896000*70%</f>
        <v>18827200</v>
      </c>
      <c r="P37" s="66">
        <v>28827200</v>
      </c>
      <c r="Q37" s="66">
        <f t="shared" si="0"/>
        <v>10000000</v>
      </c>
    </row>
    <row r="38" spans="1:17" ht="24.95" customHeight="1">
      <c r="A38" s="169">
        <v>22302</v>
      </c>
      <c r="B38" s="66" t="s">
        <v>162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10000000</v>
      </c>
      <c r="L38" s="66">
        <f>10000000*70%</f>
        <v>7000000</v>
      </c>
      <c r="M38" s="66">
        <f>10000000*70%</f>
        <v>7000000</v>
      </c>
      <c r="N38" s="66">
        <v>157000000</v>
      </c>
      <c r="O38" s="66">
        <v>7000000</v>
      </c>
      <c r="P38" s="66">
        <v>7000000</v>
      </c>
      <c r="Q38" s="66">
        <f t="shared" si="0"/>
        <v>0</v>
      </c>
    </row>
    <row r="39" spans="1:17" ht="24.95" customHeight="1">
      <c r="A39" s="169">
        <v>22314</v>
      </c>
      <c r="B39" s="66" t="s">
        <v>163</v>
      </c>
      <c r="C39" s="106">
        <f t="shared" ref="C39:J39" si="4">SUM(C37:C38)</f>
        <v>13333000</v>
      </c>
      <c r="D39" s="106">
        <f t="shared" si="4"/>
        <v>5000000</v>
      </c>
      <c r="E39" s="106">
        <f t="shared" si="4"/>
        <v>0</v>
      </c>
      <c r="F39" s="106">
        <f t="shared" si="4"/>
        <v>0</v>
      </c>
      <c r="G39" s="106">
        <f t="shared" si="4"/>
        <v>0</v>
      </c>
      <c r="H39" s="106">
        <f t="shared" si="4"/>
        <v>100000000</v>
      </c>
      <c r="I39" s="106">
        <f t="shared" si="4"/>
        <v>70000000</v>
      </c>
      <c r="J39" s="106">
        <f t="shared" si="4"/>
        <v>70000000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f t="shared" si="0"/>
        <v>0</v>
      </c>
    </row>
    <row r="40" spans="1:17" ht="24.95" customHeight="1">
      <c r="A40" s="169"/>
      <c r="B40" s="106" t="s">
        <v>59</v>
      </c>
      <c r="C40" s="106" t="e">
        <f>C39+#REF!+C32+C19+#REF!</f>
        <v>#REF!</v>
      </c>
      <c r="D40" s="106" t="e">
        <f>D39+#REF!+D32+D19+#REF!</f>
        <v>#REF!</v>
      </c>
      <c r="E40" s="106" t="e">
        <f>E39+#REF!+E32+E19+#REF!</f>
        <v>#REF!</v>
      </c>
      <c r="F40" s="106" t="e">
        <f>F39+#REF!+F32+F19+#REF!</f>
        <v>#REF!</v>
      </c>
      <c r="G40" s="106" t="e">
        <f>G39+#REF!+G19+G32+#REF!</f>
        <v>#REF!</v>
      </c>
      <c r="H40" s="106" t="e">
        <f>H39+#REF!+H32+H19+#REF!</f>
        <v>#REF!</v>
      </c>
      <c r="I40" s="106" t="e">
        <f>I39+#REF!+I32+I19+#REF!</f>
        <v>#REF!</v>
      </c>
      <c r="J40" s="106" t="e">
        <f>SUM(#REF!+J19+J32+J39)</f>
        <v>#REF!</v>
      </c>
      <c r="K40" s="106">
        <f t="shared" ref="K40:O40" si="5">SUM(K37:K39)</f>
        <v>36896000</v>
      </c>
      <c r="L40" s="106">
        <f t="shared" si="5"/>
        <v>25827200</v>
      </c>
      <c r="M40" s="106">
        <f t="shared" si="5"/>
        <v>25827200</v>
      </c>
      <c r="N40" s="106">
        <f t="shared" si="5"/>
        <v>175827200</v>
      </c>
      <c r="O40" s="106">
        <f t="shared" si="5"/>
        <v>25827200</v>
      </c>
      <c r="P40" s="106">
        <f>SUM(P37:P39)</f>
        <v>35827200</v>
      </c>
      <c r="Q40" s="66">
        <f t="shared" si="0"/>
        <v>10000000</v>
      </c>
    </row>
    <row r="41" spans="1:17" ht="24.95" customHeight="1">
      <c r="A41" s="169"/>
      <c r="B41" s="106" t="s">
        <v>59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66">
        <f t="shared" si="0"/>
        <v>0</v>
      </c>
    </row>
    <row r="42" spans="1:17" ht="24.95" customHeight="1">
      <c r="A42" s="249">
        <v>230</v>
      </c>
      <c r="B42" s="106" t="s">
        <v>165</v>
      </c>
      <c r="C42" s="66"/>
      <c r="D42" s="66"/>
      <c r="E42" s="66"/>
      <c r="F42" s="66"/>
      <c r="G42" s="66"/>
      <c r="H42" s="66"/>
      <c r="I42" s="66"/>
      <c r="J42" s="66"/>
      <c r="K42" s="106"/>
      <c r="L42" s="106"/>
      <c r="M42" s="106"/>
      <c r="N42" s="106"/>
      <c r="O42" s="106"/>
      <c r="P42" s="106"/>
      <c r="Q42" s="66">
        <f t="shared" si="0"/>
        <v>0</v>
      </c>
    </row>
    <row r="43" spans="1:17" ht="24.95" customHeight="1">
      <c r="A43" s="249">
        <v>2310</v>
      </c>
      <c r="B43" s="106" t="s">
        <v>164</v>
      </c>
      <c r="C43" s="66"/>
      <c r="D43" s="66"/>
      <c r="E43" s="66"/>
      <c r="F43" s="66"/>
      <c r="G43" s="66"/>
      <c r="H43" s="66"/>
      <c r="I43" s="66"/>
      <c r="J43" s="66"/>
      <c r="K43" s="106"/>
      <c r="L43" s="106"/>
      <c r="M43" s="106"/>
      <c r="N43" s="106"/>
      <c r="O43" s="106"/>
      <c r="P43" s="106"/>
      <c r="Q43" s="66">
        <f t="shared" si="0"/>
        <v>0</v>
      </c>
    </row>
    <row r="44" spans="1:17" ht="24.95" customHeight="1">
      <c r="A44" s="169">
        <v>23101</v>
      </c>
      <c r="B44" s="66" t="s">
        <v>542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>
        <v>30000000</v>
      </c>
      <c r="O44" s="66">
        <v>30000000</v>
      </c>
      <c r="P44" s="66">
        <v>15000000</v>
      </c>
      <c r="Q44" s="66">
        <f t="shared" si="0"/>
        <v>-15000000</v>
      </c>
    </row>
    <row r="45" spans="1:17" ht="24.95" customHeight="1">
      <c r="A45" s="169">
        <v>23103</v>
      </c>
      <c r="B45" s="66" t="s">
        <v>614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>
        <v>0</v>
      </c>
      <c r="O45" s="66">
        <v>76500000</v>
      </c>
      <c r="P45" s="66">
        <v>120000000</v>
      </c>
      <c r="Q45" s="106">
        <f t="shared" si="0"/>
        <v>43500000</v>
      </c>
    </row>
    <row r="46" spans="1:17" ht="24.95" customHeight="1">
      <c r="A46" s="169">
        <v>23103</v>
      </c>
      <c r="B46" s="66" t="s">
        <v>106</v>
      </c>
      <c r="C46" s="66"/>
      <c r="D46" s="66"/>
      <c r="E46" s="66"/>
      <c r="F46" s="66"/>
      <c r="G46" s="66"/>
      <c r="H46" s="66"/>
      <c r="I46" s="66"/>
      <c r="J46" s="66"/>
      <c r="K46" s="66">
        <v>6000000</v>
      </c>
      <c r="L46" s="66">
        <f>6000000*70%</f>
        <v>4200000</v>
      </c>
      <c r="M46" s="66">
        <v>0</v>
      </c>
      <c r="N46" s="66">
        <v>0</v>
      </c>
      <c r="O46" s="66">
        <v>0</v>
      </c>
      <c r="P46" s="66">
        <v>0</v>
      </c>
      <c r="Q46" s="66">
        <f t="shared" si="0"/>
        <v>0</v>
      </c>
    </row>
    <row r="47" spans="1:17" ht="24.95" customHeight="1">
      <c r="A47" s="169">
        <v>23104</v>
      </c>
      <c r="B47" s="66" t="s">
        <v>107</v>
      </c>
      <c r="C47" s="66"/>
      <c r="D47" s="66"/>
      <c r="E47" s="66"/>
      <c r="F47" s="66"/>
      <c r="G47" s="66"/>
      <c r="H47" s="66"/>
      <c r="I47" s="66"/>
      <c r="J47" s="66"/>
      <c r="K47" s="66">
        <v>6000000</v>
      </c>
      <c r="L47" s="66">
        <f>6000000*70%</f>
        <v>4200000</v>
      </c>
      <c r="M47" s="66">
        <v>0</v>
      </c>
      <c r="N47" s="66">
        <v>0</v>
      </c>
      <c r="O47" s="66">
        <v>0</v>
      </c>
      <c r="P47" s="66">
        <v>0</v>
      </c>
      <c r="Q47" s="66">
        <f t="shared" si="0"/>
        <v>0</v>
      </c>
    </row>
    <row r="48" spans="1:17" ht="24.95" customHeight="1">
      <c r="A48" s="169"/>
      <c r="B48" s="106" t="s">
        <v>59</v>
      </c>
      <c r="C48" s="66"/>
      <c r="D48" s="66"/>
      <c r="E48" s="66"/>
      <c r="F48" s="66"/>
      <c r="G48" s="66"/>
      <c r="H48" s="66"/>
      <c r="I48" s="66"/>
      <c r="J48" s="66"/>
      <c r="K48" s="106">
        <f>SUM(K46:K47)</f>
        <v>12000000</v>
      </c>
      <c r="L48" s="106">
        <f>SUM(L46:L47)</f>
        <v>8400000</v>
      </c>
      <c r="M48" s="106">
        <f>SUM(M46:M47)</f>
        <v>0</v>
      </c>
      <c r="N48" s="106">
        <f>SUM(N44:N47)</f>
        <v>30000000</v>
      </c>
      <c r="O48" s="106">
        <f>SUM(O44:O47)</f>
        <v>106500000</v>
      </c>
      <c r="P48" s="106">
        <f>SUM(P44:P47)</f>
        <v>135000000</v>
      </c>
      <c r="Q48" s="66">
        <f t="shared" si="0"/>
        <v>28500000</v>
      </c>
    </row>
    <row r="49" spans="1:17" ht="24.95" customHeight="1">
      <c r="A49" s="169"/>
      <c r="B49" s="106" t="s">
        <v>18</v>
      </c>
      <c r="C49" s="66"/>
      <c r="D49" s="66"/>
      <c r="E49" s="66"/>
      <c r="F49" s="66"/>
      <c r="G49" s="66"/>
      <c r="H49" s="66"/>
      <c r="I49" s="66"/>
      <c r="J49" s="66"/>
      <c r="K49" s="106">
        <f t="shared" ref="K49:O49" si="6">K10+K27+K35+K40+K48</f>
        <v>1114391200</v>
      </c>
      <c r="L49" s="106" t="e">
        <f t="shared" si="6"/>
        <v>#REF!</v>
      </c>
      <c r="M49" s="106">
        <f t="shared" si="6"/>
        <v>1662712120</v>
      </c>
      <c r="N49" s="106">
        <f t="shared" si="6"/>
        <v>1962840120</v>
      </c>
      <c r="O49" s="106">
        <f t="shared" si="6"/>
        <v>2265184120</v>
      </c>
      <c r="P49" s="106">
        <f>P10+P27+P35+P40+P48</f>
        <v>2506750160</v>
      </c>
      <c r="Q49" s="66">
        <f t="shared" si="0"/>
        <v>241566040</v>
      </c>
    </row>
    <row r="50" spans="1:17" ht="24.95" customHeight="1">
      <c r="A50" s="283"/>
      <c r="B50" s="284"/>
      <c r="C50" s="284"/>
      <c r="D50" s="284"/>
      <c r="E50" s="284"/>
      <c r="F50" s="284"/>
      <c r="G50" s="284"/>
      <c r="H50" s="284"/>
      <c r="I50" s="284"/>
      <c r="J50" s="284"/>
      <c r="K50" s="285"/>
      <c r="L50" s="285"/>
      <c r="M50" s="285"/>
      <c r="N50" s="285"/>
    </row>
  </sheetData>
  <phoneticPr fontId="0" type="noConversion"/>
  <printOptions gridLines="1"/>
  <pageMargins left="0.76" right="0.26" top="0.79" bottom="0.64" header="0.25" footer="0.27"/>
  <pageSetup scale="55" orientation="portrait" r:id="rId1"/>
  <headerFooter alignWithMargins="0">
    <oddHeader xml:space="preserve">&amp;C&amp;"Algerian,Bold"&amp;36Maxkamada Sare </oddHeader>
    <oddFooter>&amp;R&amp;"Times New Roman,Bold"&amp;14 &amp;16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V49"/>
  <sheetViews>
    <sheetView view="pageBreakPreview" zoomScale="60" workbookViewId="0">
      <selection activeCell="P49" sqref="P49"/>
    </sheetView>
  </sheetViews>
  <sheetFormatPr defaultRowHeight="27" customHeight="1"/>
  <cols>
    <col min="1" max="1" width="16.6640625" style="292" bestFit="1" customWidth="1"/>
    <col min="2" max="2" width="92.83203125" style="288" customWidth="1"/>
    <col min="3" max="3" width="16" style="288" hidden="1" customWidth="1"/>
    <col min="4" max="4" width="17.1640625" style="288" hidden="1" customWidth="1"/>
    <col min="5" max="5" width="18" style="288" hidden="1" customWidth="1"/>
    <col min="6" max="6" width="16.5" style="288" hidden="1" customWidth="1"/>
    <col min="7" max="7" width="20.6640625" style="288" hidden="1" customWidth="1"/>
    <col min="8" max="10" width="20.5" style="288" hidden="1" customWidth="1"/>
    <col min="11" max="11" width="29.33203125" style="288" hidden="1" customWidth="1"/>
    <col min="12" max="12" width="27.83203125" style="288" hidden="1" customWidth="1"/>
    <col min="13" max="13" width="0.1640625" style="288" hidden="1" customWidth="1"/>
    <col min="14" max="14" width="30.6640625" style="288" hidden="1" customWidth="1"/>
    <col min="15" max="16" width="27.6640625" style="288" customWidth="1"/>
    <col min="17" max="17" width="26.33203125" style="288" customWidth="1"/>
    <col min="18" max="16384" width="9.33203125" style="288"/>
  </cols>
  <sheetData>
    <row r="1" spans="1:22" ht="27" customHeight="1">
      <c r="A1" s="249" t="s">
        <v>20</v>
      </c>
      <c r="B1" s="130" t="s">
        <v>763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22" s="289" customFormat="1" ht="27" customHeight="1">
      <c r="A2" s="249" t="s">
        <v>6</v>
      </c>
      <c r="B2" s="130" t="s">
        <v>7</v>
      </c>
      <c r="C2" s="106" t="s">
        <v>19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41</v>
      </c>
      <c r="I2" s="112" t="s">
        <v>66</v>
      </c>
      <c r="J2" s="112" t="s">
        <v>69</v>
      </c>
      <c r="K2" s="112" t="s">
        <v>96</v>
      </c>
      <c r="L2" s="112" t="s">
        <v>168</v>
      </c>
      <c r="M2" s="112" t="s">
        <v>320</v>
      </c>
      <c r="N2" s="112" t="s">
        <v>529</v>
      </c>
      <c r="O2" s="112" t="s">
        <v>604</v>
      </c>
      <c r="P2" s="112" t="s">
        <v>723</v>
      </c>
      <c r="Q2" s="112" t="s">
        <v>34</v>
      </c>
    </row>
    <row r="3" spans="1:22" ht="27" customHeight="1">
      <c r="A3" s="249">
        <v>210</v>
      </c>
      <c r="B3" s="106" t="s">
        <v>95</v>
      </c>
      <c r="C3" s="66"/>
      <c r="D3" s="66"/>
      <c r="E3" s="66"/>
      <c r="F3" s="66"/>
      <c r="G3" s="66"/>
      <c r="H3" s="128"/>
      <c r="I3" s="128"/>
      <c r="J3" s="128"/>
      <c r="K3" s="128"/>
      <c r="L3" s="128"/>
      <c r="M3" s="128"/>
      <c r="N3" s="128"/>
      <c r="O3" s="128"/>
      <c r="P3" s="128"/>
      <c r="Q3" s="66"/>
    </row>
    <row r="4" spans="1:22" ht="27" customHeight="1">
      <c r="A4" s="249">
        <v>2110</v>
      </c>
      <c r="B4" s="106" t="s">
        <v>155</v>
      </c>
      <c r="C4" s="66">
        <v>61545000</v>
      </c>
      <c r="D4" s="66">
        <v>74124000</v>
      </c>
      <c r="E4" s="66">
        <v>64128000</v>
      </c>
      <c r="F4" s="66">
        <v>72660000</v>
      </c>
      <c r="G4" s="66">
        <v>72660000</v>
      </c>
      <c r="H4" s="66">
        <f>72660000+42936000</f>
        <v>115596000</v>
      </c>
      <c r="I4" s="66">
        <f>150274800+4149600+13104000+3198000</f>
        <v>170726400</v>
      </c>
      <c r="J4" s="66">
        <f>170726400+3198000</f>
        <v>173924400</v>
      </c>
      <c r="K4" s="66"/>
      <c r="L4" s="66"/>
      <c r="M4" s="66"/>
      <c r="N4" s="66"/>
      <c r="O4" s="66"/>
      <c r="P4" s="66"/>
      <c r="Q4" s="66"/>
    </row>
    <row r="5" spans="1:22" ht="27" customHeight="1">
      <c r="A5" s="169">
        <v>21101</v>
      </c>
      <c r="B5" s="66" t="s">
        <v>9</v>
      </c>
      <c r="C5" s="66">
        <v>1180900</v>
      </c>
      <c r="D5" s="66"/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171974400</v>
      </c>
      <c r="L5" s="66" t="e">
        <f>#REF!+101712000+20373600</f>
        <v>#REF!</v>
      </c>
      <c r="M5" s="66">
        <v>224608800</v>
      </c>
      <c r="N5" s="66">
        <v>504691200</v>
      </c>
      <c r="O5" s="66">
        <v>976285440</v>
      </c>
      <c r="P5" s="66">
        <v>1008633600</v>
      </c>
      <c r="Q5" s="66">
        <f>P5-O5</f>
        <v>32348160</v>
      </c>
    </row>
    <row r="6" spans="1:22" ht="27" customHeight="1">
      <c r="A6" s="169">
        <v>21102</v>
      </c>
      <c r="B6" s="131" t="s">
        <v>10</v>
      </c>
      <c r="C6" s="66">
        <v>1123486000</v>
      </c>
      <c r="D6" s="66">
        <v>1227036000</v>
      </c>
      <c r="E6" s="66">
        <v>1192428000</v>
      </c>
      <c r="F6" s="66">
        <f>1935276000+1200000</f>
        <v>1936476000</v>
      </c>
      <c r="G6" s="66">
        <f>1936476000+600000000</f>
        <v>2536476000</v>
      </c>
      <c r="H6" s="66">
        <f>2529276000+54000000</f>
        <v>2583276000</v>
      </c>
      <c r="I6" s="66">
        <f>2530476000+4800000</f>
        <v>2535276000</v>
      </c>
      <c r="J6" s="66">
        <f>2535276000+2400000</f>
        <v>2537676000</v>
      </c>
      <c r="K6" s="66">
        <v>0</v>
      </c>
      <c r="L6" s="66">
        <v>0</v>
      </c>
      <c r="M6" s="66">
        <v>331137600</v>
      </c>
      <c r="N6" s="66">
        <v>361651200</v>
      </c>
      <c r="O6" s="66">
        <v>97200000</v>
      </c>
      <c r="P6" s="66">
        <v>97200000</v>
      </c>
      <c r="Q6" s="66">
        <f t="shared" ref="Q6:Q48" si="0">P6-O6</f>
        <v>0</v>
      </c>
    </row>
    <row r="7" spans="1:22" ht="27" customHeight="1">
      <c r="A7" s="169">
        <v>21103</v>
      </c>
      <c r="B7" s="66" t="s">
        <v>532</v>
      </c>
      <c r="C7" s="66"/>
      <c r="D7" s="66"/>
      <c r="E7" s="66"/>
      <c r="F7" s="66"/>
      <c r="G7" s="66"/>
      <c r="H7" s="66"/>
      <c r="I7" s="66"/>
      <c r="J7" s="66"/>
      <c r="K7" s="66">
        <v>349956000</v>
      </c>
      <c r="L7" s="66">
        <f>411400000+3600000</f>
        <v>415000000</v>
      </c>
      <c r="M7" s="66">
        <v>757224000</v>
      </c>
      <c r="N7" s="66">
        <v>828288000</v>
      </c>
      <c r="O7" s="66">
        <v>1041840000</v>
      </c>
      <c r="P7" s="66">
        <v>1297704000</v>
      </c>
      <c r="Q7" s="66">
        <f t="shared" si="0"/>
        <v>255864000</v>
      </c>
    </row>
    <row r="8" spans="1:22" ht="27" customHeight="1">
      <c r="A8" s="169">
        <v>21104</v>
      </c>
      <c r="B8" s="66" t="s">
        <v>543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>
        <v>50400000</v>
      </c>
      <c r="O8" s="66">
        <v>43200000</v>
      </c>
      <c r="P8" s="66">
        <v>43200000</v>
      </c>
      <c r="Q8" s="66">
        <f t="shared" si="0"/>
        <v>0</v>
      </c>
    </row>
    <row r="9" spans="1:22" ht="27" customHeight="1">
      <c r="A9" s="169">
        <v>21105</v>
      </c>
      <c r="B9" s="66" t="s">
        <v>397</v>
      </c>
      <c r="C9" s="66">
        <v>2500000</v>
      </c>
      <c r="D9" s="66">
        <v>2000000</v>
      </c>
      <c r="E9" s="66">
        <v>2000000</v>
      </c>
      <c r="F9" s="66">
        <v>2000000</v>
      </c>
      <c r="G9" s="66">
        <v>1600000</v>
      </c>
      <c r="H9" s="66">
        <v>41000000</v>
      </c>
      <c r="I9" s="66">
        <v>41000000</v>
      </c>
      <c r="J9" s="66"/>
      <c r="K9" s="66">
        <v>64800000</v>
      </c>
      <c r="L9" s="66">
        <v>75600000</v>
      </c>
      <c r="M9" s="66">
        <f>L9</f>
        <v>75600000</v>
      </c>
      <c r="N9" s="66">
        <f>M9</f>
        <v>75600000</v>
      </c>
      <c r="O9" s="66">
        <v>453600000</v>
      </c>
      <c r="P9" s="66">
        <v>488400000</v>
      </c>
      <c r="Q9" s="66">
        <f t="shared" si="0"/>
        <v>34800000</v>
      </c>
    </row>
    <row r="10" spans="1:22" ht="27" customHeight="1">
      <c r="A10" s="249">
        <v>2120</v>
      </c>
      <c r="B10" s="106" t="s">
        <v>156</v>
      </c>
      <c r="C10" s="66"/>
      <c r="D10" s="66"/>
      <c r="E10" s="66"/>
      <c r="F10" s="66"/>
      <c r="G10" s="66"/>
      <c r="H10" s="66"/>
      <c r="I10" s="66"/>
      <c r="J10" s="66"/>
      <c r="K10" s="106"/>
      <c r="L10" s="106"/>
      <c r="M10" s="106"/>
      <c r="N10" s="106"/>
      <c r="O10" s="106"/>
      <c r="P10" s="106"/>
      <c r="Q10" s="66">
        <f t="shared" si="0"/>
        <v>0</v>
      </c>
    </row>
    <row r="11" spans="1:22" ht="27" customHeight="1">
      <c r="A11" s="169"/>
      <c r="B11" s="106" t="s">
        <v>59</v>
      </c>
      <c r="C11" s="66">
        <v>11878000</v>
      </c>
      <c r="D11" s="66">
        <f>2000000+2000000</f>
        <v>4000000</v>
      </c>
      <c r="E11" s="66">
        <v>2000000</v>
      </c>
      <c r="F11" s="66">
        <v>2000000</v>
      </c>
      <c r="G11" s="66">
        <v>1600000</v>
      </c>
      <c r="H11" s="66">
        <v>30000000</v>
      </c>
      <c r="I11" s="66">
        <v>60000000</v>
      </c>
      <c r="J11" s="66">
        <v>50000000</v>
      </c>
      <c r="K11" s="106">
        <f t="shared" ref="K11:O11" si="1">SUM(K5:K10)</f>
        <v>586730400</v>
      </c>
      <c r="L11" s="112" t="e">
        <f t="shared" si="1"/>
        <v>#REF!</v>
      </c>
      <c r="M11" s="112">
        <f t="shared" si="1"/>
        <v>1388570400</v>
      </c>
      <c r="N11" s="112">
        <f t="shared" si="1"/>
        <v>1820630400</v>
      </c>
      <c r="O11" s="112">
        <f t="shared" si="1"/>
        <v>2612125440</v>
      </c>
      <c r="P11" s="112">
        <f>SUM(P5:P10)</f>
        <v>2935137600</v>
      </c>
      <c r="Q11" s="106">
        <f t="shared" si="0"/>
        <v>323012160</v>
      </c>
    </row>
    <row r="12" spans="1:22" ht="27" customHeight="1">
      <c r="A12" s="249">
        <v>220</v>
      </c>
      <c r="B12" s="106" t="s">
        <v>159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200000000</v>
      </c>
      <c r="I12" s="66">
        <v>200000000</v>
      </c>
      <c r="J12" s="66">
        <v>280000000</v>
      </c>
      <c r="K12" s="66"/>
      <c r="L12" s="66"/>
      <c r="M12" s="66"/>
      <c r="N12" s="66"/>
      <c r="O12" s="66"/>
      <c r="P12" s="66"/>
      <c r="Q12" s="66">
        <f t="shared" si="0"/>
        <v>0</v>
      </c>
    </row>
    <row r="13" spans="1:22" ht="27" customHeight="1">
      <c r="A13" s="249">
        <v>2210</v>
      </c>
      <c r="B13" s="106" t="s">
        <v>160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>
        <f t="shared" si="0"/>
        <v>0</v>
      </c>
      <c r="V13" s="288" t="s">
        <v>26</v>
      </c>
    </row>
    <row r="14" spans="1:22" ht="27" customHeight="1">
      <c r="A14" s="169">
        <v>22101</v>
      </c>
      <c r="B14" s="66" t="s">
        <v>14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356850000</v>
      </c>
      <c r="I14" s="66">
        <v>0</v>
      </c>
      <c r="J14" s="66">
        <v>84000000</v>
      </c>
      <c r="K14" s="66">
        <v>13406400</v>
      </c>
      <c r="L14" s="66">
        <f>20000000*70%</f>
        <v>14000000</v>
      </c>
      <c r="M14" s="66">
        <v>74000000</v>
      </c>
      <c r="N14" s="66">
        <v>74000000</v>
      </c>
      <c r="O14" s="66">
        <v>74000000</v>
      </c>
      <c r="P14" s="66">
        <v>74000000</v>
      </c>
      <c r="Q14" s="66">
        <f t="shared" si="0"/>
        <v>0</v>
      </c>
    </row>
    <row r="15" spans="1:22" ht="27" customHeight="1">
      <c r="A15" s="169">
        <v>22102</v>
      </c>
      <c r="B15" s="66" t="s">
        <v>82</v>
      </c>
      <c r="C15" s="66">
        <v>1500000</v>
      </c>
      <c r="D15" s="66">
        <v>5500000</v>
      </c>
      <c r="E15" s="66">
        <v>500000</v>
      </c>
      <c r="F15" s="66">
        <v>500000</v>
      </c>
      <c r="G15" s="66">
        <v>400000</v>
      </c>
      <c r="H15" s="66">
        <v>12000000</v>
      </c>
      <c r="I15" s="66">
        <v>20000000</v>
      </c>
      <c r="J15" s="66">
        <v>20000000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f t="shared" si="0"/>
        <v>0</v>
      </c>
    </row>
    <row r="16" spans="1:22" ht="27" customHeight="1">
      <c r="A16" s="169">
        <v>22103</v>
      </c>
      <c r="B16" s="66" t="s">
        <v>83</v>
      </c>
      <c r="C16" s="66"/>
      <c r="D16" s="66"/>
      <c r="E16" s="66"/>
      <c r="F16" s="66"/>
      <c r="G16" s="66"/>
      <c r="H16" s="66"/>
      <c r="I16" s="66"/>
      <c r="J16" s="66"/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f t="shared" si="0"/>
        <v>0</v>
      </c>
    </row>
    <row r="17" spans="1:17" ht="27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/>
      <c r="I17" s="66"/>
      <c r="J17" s="66"/>
      <c r="K17" s="66">
        <v>16448000</v>
      </c>
      <c r="L17" s="66">
        <f>25000000*70%</f>
        <v>17500000</v>
      </c>
      <c r="M17" s="66">
        <f>25000000*70%</f>
        <v>17500000</v>
      </c>
      <c r="N17" s="66">
        <f>25000000*70%</f>
        <v>17500000</v>
      </c>
      <c r="O17" s="66">
        <v>27500000</v>
      </c>
      <c r="P17" s="66">
        <v>27500000</v>
      </c>
      <c r="Q17" s="66">
        <f t="shared" si="0"/>
        <v>0</v>
      </c>
    </row>
    <row r="18" spans="1:17" ht="27" customHeight="1">
      <c r="A18" s="169">
        <v>22105</v>
      </c>
      <c r="B18" s="66" t="s">
        <v>93</v>
      </c>
      <c r="C18" s="66"/>
      <c r="D18" s="66"/>
      <c r="E18" s="66"/>
      <c r="F18" s="66"/>
      <c r="G18" s="66"/>
      <c r="H18" s="66"/>
      <c r="I18" s="66"/>
      <c r="J18" s="66"/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f t="shared" si="0"/>
        <v>0</v>
      </c>
    </row>
    <row r="19" spans="1:17" ht="27" customHeight="1">
      <c r="A19" s="169">
        <v>22106</v>
      </c>
      <c r="B19" s="66" t="s">
        <v>84</v>
      </c>
      <c r="C19" s="66">
        <v>2500000</v>
      </c>
      <c r="D19" s="66">
        <v>2000000</v>
      </c>
      <c r="E19" s="66">
        <v>2000000</v>
      </c>
      <c r="F19" s="66">
        <v>2000000</v>
      </c>
      <c r="G19" s="66">
        <v>1600000</v>
      </c>
      <c r="H19" s="66">
        <v>41000000</v>
      </c>
      <c r="I19" s="66">
        <v>41000000</v>
      </c>
      <c r="J19" s="66">
        <v>31000000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f t="shared" si="0"/>
        <v>0</v>
      </c>
    </row>
    <row r="20" spans="1:17" ht="27" customHeight="1">
      <c r="A20" s="169">
        <v>22107</v>
      </c>
      <c r="B20" s="66" t="s">
        <v>30</v>
      </c>
      <c r="C20" s="66">
        <f t="shared" ref="C20:J20" si="2">SUM(C14:C19)</f>
        <v>4000000</v>
      </c>
      <c r="D20" s="66">
        <f t="shared" si="2"/>
        <v>7500000</v>
      </c>
      <c r="E20" s="66">
        <f t="shared" si="2"/>
        <v>2500000</v>
      </c>
      <c r="F20" s="66">
        <f t="shared" si="2"/>
        <v>2500000</v>
      </c>
      <c r="G20" s="66">
        <f t="shared" si="2"/>
        <v>2000000</v>
      </c>
      <c r="H20" s="66">
        <f t="shared" si="2"/>
        <v>409850000</v>
      </c>
      <c r="I20" s="106">
        <f t="shared" si="2"/>
        <v>61000000</v>
      </c>
      <c r="J20" s="106">
        <f t="shared" si="2"/>
        <v>135000000</v>
      </c>
      <c r="K20" s="66">
        <v>0</v>
      </c>
      <c r="L20" s="66">
        <f>5000000*70%</f>
        <v>3500000</v>
      </c>
      <c r="M20" s="66">
        <v>52450000</v>
      </c>
      <c r="N20" s="66">
        <v>22450000</v>
      </c>
      <c r="O20" s="66">
        <v>22450000</v>
      </c>
      <c r="P20" s="66">
        <v>22450000</v>
      </c>
      <c r="Q20" s="66">
        <f t="shared" si="0"/>
        <v>0</v>
      </c>
    </row>
    <row r="21" spans="1:17" ht="27" customHeight="1">
      <c r="A21" s="169">
        <v>22108</v>
      </c>
      <c r="B21" s="66" t="s">
        <v>60</v>
      </c>
      <c r="C21" s="66"/>
      <c r="D21" s="66"/>
      <c r="E21" s="66"/>
      <c r="F21" s="66"/>
      <c r="G21" s="66"/>
      <c r="H21" s="66"/>
      <c r="I21" s="66"/>
      <c r="J21" s="66"/>
      <c r="K21" s="106">
        <v>0</v>
      </c>
      <c r="L21" s="106">
        <v>0</v>
      </c>
      <c r="M21" s="106">
        <v>0</v>
      </c>
      <c r="N21" s="106">
        <v>0</v>
      </c>
      <c r="O21" s="66">
        <v>15000000</v>
      </c>
      <c r="P21" s="66">
        <v>15000000</v>
      </c>
      <c r="Q21" s="66">
        <f t="shared" si="0"/>
        <v>0</v>
      </c>
    </row>
    <row r="22" spans="1:17" s="290" customFormat="1" ht="27" customHeight="1">
      <c r="A22" s="169">
        <v>22109</v>
      </c>
      <c r="B22" s="66" t="s">
        <v>94</v>
      </c>
      <c r="C22" s="66">
        <v>23000000</v>
      </c>
      <c r="D22" s="66">
        <v>15000000</v>
      </c>
      <c r="E22" s="66">
        <v>8949700</v>
      </c>
      <c r="F22" s="66">
        <v>8949700</v>
      </c>
      <c r="G22" s="66">
        <v>12000000</v>
      </c>
      <c r="H22" s="66">
        <v>80000000</v>
      </c>
      <c r="I22" s="66">
        <v>80000000</v>
      </c>
      <c r="J22" s="66">
        <v>80000000</v>
      </c>
      <c r="K22" s="66">
        <v>3724000</v>
      </c>
      <c r="L22" s="66">
        <f>10000000*70%</f>
        <v>7000000</v>
      </c>
      <c r="M22" s="66">
        <v>27000000</v>
      </c>
      <c r="N22" s="66">
        <v>27000000</v>
      </c>
      <c r="O22" s="66">
        <v>27000000</v>
      </c>
      <c r="P22" s="66">
        <v>27000000</v>
      </c>
      <c r="Q22" s="66">
        <f t="shared" si="0"/>
        <v>0</v>
      </c>
    </row>
    <row r="23" spans="1:17" ht="27" customHeight="1">
      <c r="A23" s="169">
        <v>22112</v>
      </c>
      <c r="B23" s="66" t="s">
        <v>16</v>
      </c>
      <c r="C23" s="66">
        <v>10061000</v>
      </c>
      <c r="D23" s="66">
        <v>2000000</v>
      </c>
      <c r="E23" s="66">
        <v>0</v>
      </c>
      <c r="F23" s="66">
        <v>0</v>
      </c>
      <c r="G23" s="66">
        <v>0</v>
      </c>
      <c r="H23" s="66">
        <v>30000000</v>
      </c>
      <c r="I23" s="66">
        <v>40000000</v>
      </c>
      <c r="J23" s="66">
        <v>30000000</v>
      </c>
      <c r="K23" s="66">
        <v>8468800</v>
      </c>
      <c r="L23" s="66">
        <f>25000000*70%</f>
        <v>17500000</v>
      </c>
      <c r="M23" s="66">
        <f>25000000*70%</f>
        <v>17500000</v>
      </c>
      <c r="N23" s="66">
        <f>25000000*70%</f>
        <v>17500000</v>
      </c>
      <c r="O23" s="66">
        <f>25000000*70%</f>
        <v>17500000</v>
      </c>
      <c r="P23" s="66">
        <f>25000000*70%</f>
        <v>17500000</v>
      </c>
      <c r="Q23" s="66">
        <f t="shared" si="0"/>
        <v>0</v>
      </c>
    </row>
    <row r="24" spans="1:17" ht="27" customHeight="1">
      <c r="A24" s="169">
        <v>22113</v>
      </c>
      <c r="B24" s="66" t="s">
        <v>170</v>
      </c>
      <c r="C24" s="66"/>
      <c r="D24" s="66"/>
      <c r="E24" s="66"/>
      <c r="F24" s="66"/>
      <c r="G24" s="66"/>
      <c r="H24" s="66"/>
      <c r="I24" s="66"/>
      <c r="J24" s="66"/>
      <c r="K24" s="66">
        <v>27344000</v>
      </c>
      <c r="L24" s="66">
        <f>30000000*70%</f>
        <v>21000000</v>
      </c>
      <c r="M24" s="66">
        <f>30000000*70%</f>
        <v>21000000</v>
      </c>
      <c r="N24" s="66">
        <f>30000000*70%</f>
        <v>21000000</v>
      </c>
      <c r="O24" s="66">
        <v>71000000</v>
      </c>
      <c r="P24" s="66">
        <v>71000000</v>
      </c>
      <c r="Q24" s="66">
        <f t="shared" si="0"/>
        <v>0</v>
      </c>
    </row>
    <row r="25" spans="1:17" ht="27" customHeight="1">
      <c r="A25" s="169">
        <v>22115</v>
      </c>
      <c r="B25" s="66" t="s">
        <v>171</v>
      </c>
      <c r="C25" s="66"/>
      <c r="D25" s="66"/>
      <c r="E25" s="66"/>
      <c r="F25" s="66"/>
      <c r="G25" s="66"/>
      <c r="H25" s="66"/>
      <c r="I25" s="66"/>
      <c r="J25" s="66"/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f t="shared" si="0"/>
        <v>0</v>
      </c>
    </row>
    <row r="26" spans="1:17" ht="27" customHeight="1">
      <c r="A26" s="169">
        <v>22132</v>
      </c>
      <c r="B26" s="66" t="s">
        <v>144</v>
      </c>
      <c r="C26" s="66">
        <v>3000000</v>
      </c>
      <c r="D26" s="66">
        <v>1500000</v>
      </c>
      <c r="E26" s="66">
        <v>0</v>
      </c>
      <c r="F26" s="66">
        <v>0</v>
      </c>
      <c r="G26" s="66">
        <v>0</v>
      </c>
      <c r="H26" s="66">
        <v>15000000</v>
      </c>
      <c r="I26" s="66">
        <v>20000000</v>
      </c>
      <c r="J26" s="66">
        <v>20000000</v>
      </c>
      <c r="K26" s="66">
        <v>9213600</v>
      </c>
      <c r="L26" s="66">
        <f>40000000*70%+300000000</f>
        <v>328000000</v>
      </c>
      <c r="M26" s="66">
        <v>0</v>
      </c>
      <c r="N26" s="66">
        <v>0</v>
      </c>
      <c r="O26" s="66">
        <v>0</v>
      </c>
      <c r="P26" s="66">
        <v>0</v>
      </c>
      <c r="Q26" s="66">
        <f t="shared" si="0"/>
        <v>0</v>
      </c>
    </row>
    <row r="27" spans="1:17" s="290" customFormat="1" ht="27" customHeight="1">
      <c r="A27" s="169">
        <v>22134</v>
      </c>
      <c r="B27" s="66" t="s">
        <v>100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40000000</v>
      </c>
      <c r="I27" s="66">
        <v>70000000</v>
      </c>
      <c r="J27" s="66">
        <v>70000000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f t="shared" si="0"/>
        <v>0</v>
      </c>
    </row>
    <row r="28" spans="1:17" ht="27" customHeight="1">
      <c r="A28" s="169"/>
      <c r="B28" s="106" t="s">
        <v>59</v>
      </c>
      <c r="C28" s="66">
        <v>0</v>
      </c>
      <c r="D28" s="66">
        <v>0</v>
      </c>
      <c r="E28" s="66">
        <v>0</v>
      </c>
      <c r="F28" s="66">
        <v>0</v>
      </c>
      <c r="G28" s="66">
        <v>16000000</v>
      </c>
      <c r="H28" s="66">
        <v>360113000</v>
      </c>
      <c r="I28" s="66">
        <v>208212162</v>
      </c>
      <c r="J28" s="66">
        <v>330000000</v>
      </c>
      <c r="K28" s="106">
        <f t="shared" ref="K28:O28" si="3">SUM(K14:K27)</f>
        <v>78604800</v>
      </c>
      <c r="L28" s="106">
        <f t="shared" si="3"/>
        <v>408500000</v>
      </c>
      <c r="M28" s="106">
        <f t="shared" si="3"/>
        <v>209450000</v>
      </c>
      <c r="N28" s="106">
        <f t="shared" si="3"/>
        <v>179450000</v>
      </c>
      <c r="O28" s="106">
        <f t="shared" si="3"/>
        <v>254450000</v>
      </c>
      <c r="P28" s="106">
        <f>SUM(P14:P27)</f>
        <v>254450000</v>
      </c>
      <c r="Q28" s="66">
        <f t="shared" si="0"/>
        <v>0</v>
      </c>
    </row>
    <row r="29" spans="1:17" ht="27" customHeight="1">
      <c r="A29" s="249">
        <v>2220</v>
      </c>
      <c r="B29" s="106" t="s">
        <v>161</v>
      </c>
      <c r="C29" s="66"/>
      <c r="D29" s="66"/>
      <c r="E29" s="66"/>
      <c r="F29" s="66"/>
      <c r="G29" s="66"/>
      <c r="H29" s="66"/>
      <c r="I29" s="66">
        <v>0</v>
      </c>
      <c r="J29" s="66">
        <v>35000000</v>
      </c>
      <c r="K29" s="106"/>
      <c r="L29" s="106"/>
      <c r="M29" s="106"/>
      <c r="N29" s="106"/>
      <c r="O29" s="106"/>
      <c r="P29" s="106"/>
      <c r="Q29" s="66">
        <f t="shared" si="0"/>
        <v>0</v>
      </c>
    </row>
    <row r="30" spans="1:17" ht="27" customHeight="1">
      <c r="A30" s="169">
        <v>22201</v>
      </c>
      <c r="B30" s="66" t="s">
        <v>90</v>
      </c>
      <c r="C30" s="106" t="e">
        <f>#REF!+#REF!+#REF!+#REF!+#REF!</f>
        <v>#REF!</v>
      </c>
      <c r="D30" s="106" t="e">
        <f>#REF!+#REF!+#REF!+#REF!+#REF!</f>
        <v>#REF!</v>
      </c>
      <c r="E30" s="106" t="e">
        <f>#REF!+#REF!+#REF!+#REF!+#REF!</f>
        <v>#REF!</v>
      </c>
      <c r="F30" s="106" t="e">
        <f>#REF!+#REF!+#REF!+#REF!+#REF!</f>
        <v>#REF!</v>
      </c>
      <c r="G30" s="106" t="e">
        <f>#REF!+#REF!+#REF!+#REF!+#REF!</f>
        <v>#REF!</v>
      </c>
      <c r="H30" s="106" t="e">
        <f>#REF!+#REF!+#REF!+#REF!+#REF!</f>
        <v>#REF!</v>
      </c>
      <c r="I30" s="106" t="e">
        <f>#REF!+#REF!+#REF!+#REF!+#REF!</f>
        <v>#REF!</v>
      </c>
      <c r="J30" s="106" t="e">
        <f>#REF!+#REF!+#REF!+#REF!+#REF!</f>
        <v>#REF!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f t="shared" si="0"/>
        <v>0</v>
      </c>
    </row>
    <row r="31" spans="1:17" s="291" customFormat="1" ht="27" customHeight="1">
      <c r="A31" s="169">
        <v>22202</v>
      </c>
      <c r="B31" s="66" t="s">
        <v>91</v>
      </c>
      <c r="C31" s="118"/>
      <c r="D31" s="118"/>
      <c r="E31" s="118"/>
      <c r="F31" s="100">
        <v>0</v>
      </c>
      <c r="G31" s="100" t="s">
        <v>4</v>
      </c>
      <c r="H31" s="100"/>
      <c r="I31" s="100"/>
      <c r="J31" s="100"/>
      <c r="K31" s="66">
        <v>116600000</v>
      </c>
      <c r="L31" s="66">
        <v>70000000</v>
      </c>
      <c r="M31" s="66">
        <v>150000000</v>
      </c>
      <c r="N31" s="66">
        <v>150000000</v>
      </c>
      <c r="O31" s="66">
        <v>250000000</v>
      </c>
      <c r="P31" s="66">
        <v>290000000</v>
      </c>
      <c r="Q31" s="66">
        <f t="shared" si="0"/>
        <v>40000000</v>
      </c>
    </row>
    <row r="32" spans="1:17" ht="27" customHeight="1">
      <c r="A32" s="169">
        <v>22203</v>
      </c>
      <c r="B32" s="66" t="s">
        <v>85</v>
      </c>
      <c r="C32" s="118"/>
      <c r="D32" s="118"/>
      <c r="E32" s="118"/>
      <c r="F32" s="100"/>
      <c r="G32" s="100"/>
      <c r="H32" s="100"/>
      <c r="I32" s="100"/>
      <c r="J32" s="100"/>
      <c r="K32" s="66">
        <v>29896000</v>
      </c>
      <c r="L32" s="66">
        <v>20000000</v>
      </c>
      <c r="M32" s="66">
        <v>20000000</v>
      </c>
      <c r="N32" s="66">
        <v>20000000</v>
      </c>
      <c r="O32" s="66">
        <v>30000000</v>
      </c>
      <c r="P32" s="66">
        <v>50000000</v>
      </c>
      <c r="Q32" s="66">
        <f t="shared" si="0"/>
        <v>20000000</v>
      </c>
    </row>
    <row r="33" spans="1:17" ht="27" customHeight="1">
      <c r="A33" s="169">
        <v>22204</v>
      </c>
      <c r="B33" s="66" t="s">
        <v>86</v>
      </c>
      <c r="C33" s="66"/>
      <c r="D33" s="66"/>
      <c r="E33" s="66"/>
      <c r="F33" s="66"/>
      <c r="G33" s="66"/>
      <c r="H33" s="66"/>
      <c r="I33" s="66"/>
      <c r="J33" s="66"/>
      <c r="K33" s="100">
        <v>5958400</v>
      </c>
      <c r="L33" s="100">
        <v>3000000</v>
      </c>
      <c r="M33" s="100">
        <v>3000000</v>
      </c>
      <c r="N33" s="100">
        <v>3000000</v>
      </c>
      <c r="O33" s="100">
        <v>3000000</v>
      </c>
      <c r="P33" s="100">
        <v>3000000</v>
      </c>
      <c r="Q33" s="66">
        <f t="shared" si="0"/>
        <v>0</v>
      </c>
    </row>
    <row r="34" spans="1:17" ht="27" customHeight="1">
      <c r="A34" s="169">
        <v>22205</v>
      </c>
      <c r="B34" s="66" t="s">
        <v>92</v>
      </c>
      <c r="C34" s="66">
        <v>4000000</v>
      </c>
      <c r="D34" s="66">
        <v>2000000</v>
      </c>
      <c r="E34" s="66">
        <v>0</v>
      </c>
      <c r="F34" s="66">
        <v>0</v>
      </c>
      <c r="G34" s="66">
        <v>0</v>
      </c>
      <c r="H34" s="66">
        <v>200000000</v>
      </c>
      <c r="I34" s="66">
        <v>200000000</v>
      </c>
      <c r="J34" s="66">
        <v>200000000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66">
        <f t="shared" si="0"/>
        <v>0</v>
      </c>
    </row>
    <row r="35" spans="1:17" ht="27" customHeight="1">
      <c r="A35" s="169">
        <v>22209</v>
      </c>
      <c r="B35" s="66" t="s">
        <v>145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150000000</v>
      </c>
      <c r="I35" s="66">
        <v>150000000</v>
      </c>
      <c r="J35" s="66">
        <v>150000000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f t="shared" si="0"/>
        <v>0</v>
      </c>
    </row>
    <row r="36" spans="1:17" ht="27" customHeight="1">
      <c r="A36" s="169"/>
      <c r="B36" s="106" t="s">
        <v>59</v>
      </c>
      <c r="C36" s="66">
        <v>10089000</v>
      </c>
      <c r="D36" s="66">
        <v>10004000</v>
      </c>
      <c r="E36" s="66">
        <v>20004000</v>
      </c>
      <c r="F36" s="66">
        <v>20004000</v>
      </c>
      <c r="G36" s="66">
        <v>40003200</v>
      </c>
      <c r="H36" s="66">
        <v>100000000</v>
      </c>
      <c r="I36" s="66">
        <v>100000000</v>
      </c>
      <c r="J36" s="66">
        <v>100000000</v>
      </c>
      <c r="K36" s="106">
        <f t="shared" ref="K36:O36" si="4">SUM(K30:K35)</f>
        <v>152454400</v>
      </c>
      <c r="L36" s="106">
        <f t="shared" si="4"/>
        <v>93000000</v>
      </c>
      <c r="M36" s="106">
        <f t="shared" si="4"/>
        <v>173000000</v>
      </c>
      <c r="N36" s="106">
        <f t="shared" si="4"/>
        <v>173000000</v>
      </c>
      <c r="O36" s="106">
        <f t="shared" si="4"/>
        <v>283000000</v>
      </c>
      <c r="P36" s="106">
        <f>SUM(P30:P35)</f>
        <v>343000000</v>
      </c>
      <c r="Q36" s="106">
        <f t="shared" si="0"/>
        <v>60000000</v>
      </c>
    </row>
    <row r="37" spans="1:17" ht="27" customHeight="1">
      <c r="A37" s="249">
        <v>2230</v>
      </c>
      <c r="B37" s="106" t="s">
        <v>88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616200000</v>
      </c>
      <c r="I37" s="66">
        <v>616200000</v>
      </c>
      <c r="J37" s="66">
        <v>616200000</v>
      </c>
      <c r="K37" s="66"/>
      <c r="L37" s="66"/>
      <c r="M37" s="66"/>
      <c r="N37" s="66"/>
      <c r="O37" s="66"/>
      <c r="P37" s="66"/>
      <c r="Q37" s="66">
        <f t="shared" si="0"/>
        <v>0</v>
      </c>
    </row>
    <row r="38" spans="1:17" ht="27" customHeight="1">
      <c r="A38" s="169">
        <v>2301</v>
      </c>
      <c r="B38" s="66" t="s">
        <v>31</v>
      </c>
      <c r="C38" s="66">
        <v>13333000</v>
      </c>
      <c r="D38" s="66">
        <v>5000000</v>
      </c>
      <c r="E38" s="66">
        <v>0</v>
      </c>
      <c r="F38" s="66">
        <v>0</v>
      </c>
      <c r="G38" s="66">
        <v>0</v>
      </c>
      <c r="H38" s="66">
        <v>100000000</v>
      </c>
      <c r="I38" s="66">
        <v>70000000</v>
      </c>
      <c r="J38" s="66">
        <v>70000000</v>
      </c>
      <c r="K38" s="66">
        <v>25427200</v>
      </c>
      <c r="L38" s="66">
        <v>10000000</v>
      </c>
      <c r="M38" s="66">
        <v>40000000</v>
      </c>
      <c r="N38" s="66">
        <v>40000000</v>
      </c>
      <c r="O38" s="66">
        <v>40000000</v>
      </c>
      <c r="P38" s="66">
        <v>50000000</v>
      </c>
      <c r="Q38" s="66">
        <f t="shared" si="0"/>
        <v>10000000</v>
      </c>
    </row>
    <row r="39" spans="1:17" ht="27" customHeight="1">
      <c r="A39" s="169">
        <v>22302</v>
      </c>
      <c r="B39" s="66" t="s">
        <v>162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4834400</v>
      </c>
      <c r="L39" s="66">
        <f>10000000*70%</f>
        <v>7000000</v>
      </c>
      <c r="M39" s="66">
        <f>10000000*70%</f>
        <v>7000000</v>
      </c>
      <c r="N39" s="66">
        <f>10000000*70%</f>
        <v>7000000</v>
      </c>
      <c r="O39" s="66">
        <f>10000000*70%</f>
        <v>7000000</v>
      </c>
      <c r="P39" s="66">
        <f>10000000*70%</f>
        <v>7000000</v>
      </c>
      <c r="Q39" s="66">
        <f t="shared" si="0"/>
        <v>0</v>
      </c>
    </row>
    <row r="40" spans="1:17" ht="27" customHeight="1">
      <c r="A40" s="169">
        <v>22314</v>
      </c>
      <c r="B40" s="66" t="s">
        <v>163</v>
      </c>
      <c r="C40" s="106">
        <f t="shared" ref="C40:J40" si="5">SUM(C38:C39)</f>
        <v>13333000</v>
      </c>
      <c r="D40" s="106">
        <f t="shared" si="5"/>
        <v>5000000</v>
      </c>
      <c r="E40" s="106">
        <f t="shared" si="5"/>
        <v>0</v>
      </c>
      <c r="F40" s="106">
        <f t="shared" si="5"/>
        <v>0</v>
      </c>
      <c r="G40" s="106">
        <f t="shared" si="5"/>
        <v>0</v>
      </c>
      <c r="H40" s="106">
        <f t="shared" si="5"/>
        <v>100000000</v>
      </c>
      <c r="I40" s="106">
        <f t="shared" si="5"/>
        <v>70000000</v>
      </c>
      <c r="J40" s="106">
        <f t="shared" si="5"/>
        <v>70000000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f t="shared" si="0"/>
        <v>0</v>
      </c>
    </row>
    <row r="41" spans="1:17" ht="27" customHeight="1">
      <c r="A41" s="169"/>
      <c r="B41" s="106" t="s">
        <v>59</v>
      </c>
      <c r="C41" s="106" t="e">
        <f>C40+#REF!+C33+C20+#REF!</f>
        <v>#REF!</v>
      </c>
      <c r="D41" s="106" t="e">
        <f>D40+#REF!+D33+D20+#REF!</f>
        <v>#REF!</v>
      </c>
      <c r="E41" s="106" t="e">
        <f>E40+#REF!+E33+E20+#REF!</f>
        <v>#REF!</v>
      </c>
      <c r="F41" s="106" t="e">
        <f>F40+#REF!+F33+F20+#REF!</f>
        <v>#REF!</v>
      </c>
      <c r="G41" s="106" t="e">
        <f>G40+#REF!+G20+G33+#REF!</f>
        <v>#REF!</v>
      </c>
      <c r="H41" s="106" t="e">
        <f>H40+#REF!+H33+H20+#REF!</f>
        <v>#REF!</v>
      </c>
      <c r="I41" s="106" t="e">
        <f>I40+#REF!+I33+I20+#REF!</f>
        <v>#REF!</v>
      </c>
      <c r="J41" s="106" t="e">
        <f>SUM(#REF!+J20+J33+J40)</f>
        <v>#REF!</v>
      </c>
      <c r="K41" s="106">
        <f t="shared" ref="K41:O41" si="6">SUM(K38:K40)</f>
        <v>30261600</v>
      </c>
      <c r="L41" s="106">
        <f t="shared" si="6"/>
        <v>17000000</v>
      </c>
      <c r="M41" s="106">
        <f t="shared" si="6"/>
        <v>47000000</v>
      </c>
      <c r="N41" s="106">
        <f t="shared" si="6"/>
        <v>47000000</v>
      </c>
      <c r="O41" s="106">
        <f t="shared" si="6"/>
        <v>47000000</v>
      </c>
      <c r="P41" s="106">
        <f>SUM(P38:P40)</f>
        <v>57000000</v>
      </c>
      <c r="Q41" s="106">
        <f t="shared" si="0"/>
        <v>10000000</v>
      </c>
    </row>
    <row r="42" spans="1:17" ht="27" customHeight="1">
      <c r="A42" s="249">
        <v>230</v>
      </c>
      <c r="B42" s="106" t="s">
        <v>165</v>
      </c>
      <c r="C42" s="66"/>
      <c r="D42" s="66"/>
      <c r="E42" s="66"/>
      <c r="F42" s="66"/>
      <c r="G42" s="66"/>
      <c r="H42" s="66"/>
      <c r="I42" s="66"/>
      <c r="J42" s="66"/>
      <c r="K42" s="106"/>
      <c r="L42" s="106"/>
      <c r="M42" s="106"/>
      <c r="N42" s="106"/>
      <c r="O42" s="106"/>
      <c r="P42" s="106"/>
      <c r="Q42" s="66">
        <f t="shared" si="0"/>
        <v>0</v>
      </c>
    </row>
    <row r="43" spans="1:17" ht="27" customHeight="1">
      <c r="A43" s="249">
        <v>2310</v>
      </c>
      <c r="B43" s="106" t="s">
        <v>164</v>
      </c>
      <c r="C43" s="66"/>
      <c r="D43" s="66"/>
      <c r="E43" s="66"/>
      <c r="F43" s="66"/>
      <c r="G43" s="66"/>
      <c r="H43" s="66"/>
      <c r="I43" s="66"/>
      <c r="J43" s="66"/>
      <c r="K43" s="106"/>
      <c r="L43" s="106"/>
      <c r="M43" s="106"/>
      <c r="N43" s="106"/>
      <c r="O43" s="106"/>
      <c r="P43" s="106"/>
      <c r="Q43" s="66">
        <f t="shared" si="0"/>
        <v>0</v>
      </c>
    </row>
    <row r="44" spans="1:17" ht="27" customHeight="1">
      <c r="A44" s="169">
        <v>23102</v>
      </c>
      <c r="B44" s="66" t="s">
        <v>173</v>
      </c>
      <c r="C44" s="66"/>
      <c r="D44" s="66"/>
      <c r="E44" s="66"/>
      <c r="F44" s="66"/>
      <c r="G44" s="66"/>
      <c r="H44" s="66"/>
      <c r="I44" s="66"/>
      <c r="J44" s="66"/>
      <c r="K44" s="106">
        <v>0</v>
      </c>
      <c r="L44" s="66">
        <f>30000000*70%</f>
        <v>21000000</v>
      </c>
      <c r="M44" s="66">
        <v>0</v>
      </c>
      <c r="N44" s="66">
        <v>0</v>
      </c>
      <c r="O44" s="66">
        <v>0</v>
      </c>
      <c r="P44" s="66">
        <v>0</v>
      </c>
      <c r="Q44" s="66">
        <f t="shared" si="0"/>
        <v>0</v>
      </c>
    </row>
    <row r="45" spans="1:17" ht="27" customHeight="1">
      <c r="A45" s="249">
        <v>2320</v>
      </c>
      <c r="B45" s="106" t="s">
        <v>169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>
        <f t="shared" si="0"/>
        <v>0</v>
      </c>
    </row>
    <row r="46" spans="1:17" ht="27" customHeight="1">
      <c r="A46" s="169">
        <v>23201</v>
      </c>
      <c r="B46" s="66" t="s">
        <v>615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>
        <v>0</v>
      </c>
      <c r="O46" s="66">
        <v>150000000</v>
      </c>
      <c r="P46" s="66">
        <v>0</v>
      </c>
      <c r="Q46" s="66">
        <f t="shared" si="0"/>
        <v>-150000000</v>
      </c>
    </row>
    <row r="47" spans="1:17" ht="27" customHeight="1">
      <c r="A47" s="169"/>
      <c r="B47" s="106" t="s">
        <v>59</v>
      </c>
      <c r="C47" s="66"/>
      <c r="D47" s="66"/>
      <c r="E47" s="66"/>
      <c r="F47" s="66"/>
      <c r="G47" s="66"/>
      <c r="H47" s="66"/>
      <c r="I47" s="66"/>
      <c r="J47" s="66"/>
      <c r="K47" s="106">
        <f>SUM(K44:K44)</f>
        <v>0</v>
      </c>
      <c r="L47" s="106">
        <f>SUM(L44:L44)</f>
        <v>21000000</v>
      </c>
      <c r="M47" s="106">
        <f>SUM(M44:M44)</f>
        <v>0</v>
      </c>
      <c r="N47" s="106">
        <f>SUM(N44:N44)</f>
        <v>0</v>
      </c>
      <c r="O47" s="106">
        <f>SUM(O46)</f>
        <v>150000000</v>
      </c>
      <c r="P47" s="106">
        <f>SUM(P46)</f>
        <v>0</v>
      </c>
      <c r="Q47" s="106">
        <f t="shared" si="0"/>
        <v>-150000000</v>
      </c>
    </row>
    <row r="48" spans="1:17" ht="27" customHeight="1">
      <c r="A48" s="169"/>
      <c r="B48" s="106" t="s">
        <v>18</v>
      </c>
      <c r="C48" s="66"/>
      <c r="D48" s="66"/>
      <c r="E48" s="66"/>
      <c r="F48" s="66"/>
      <c r="G48" s="66"/>
      <c r="H48" s="66"/>
      <c r="I48" s="66"/>
      <c r="J48" s="66"/>
      <c r="K48" s="106">
        <f t="shared" ref="K48:O48" si="7">K11+K28+K36+K41+K47</f>
        <v>848051200</v>
      </c>
      <c r="L48" s="106" t="e">
        <f t="shared" si="7"/>
        <v>#REF!</v>
      </c>
      <c r="M48" s="106">
        <f t="shared" si="7"/>
        <v>1818020400</v>
      </c>
      <c r="N48" s="106">
        <f t="shared" si="7"/>
        <v>2220080400</v>
      </c>
      <c r="O48" s="106">
        <f t="shared" si="7"/>
        <v>3346575440</v>
      </c>
      <c r="P48" s="106">
        <f>P11+P28+P36+P41+P47</f>
        <v>3589587600</v>
      </c>
      <c r="Q48" s="106">
        <f t="shared" si="0"/>
        <v>243012160</v>
      </c>
    </row>
    <row r="49" spans="11:16" ht="27" customHeight="1">
      <c r="K49" s="293"/>
      <c r="L49" s="293"/>
      <c r="M49" s="293"/>
      <c r="N49" s="293"/>
      <c r="O49" s="293"/>
      <c r="P49" s="293"/>
    </row>
  </sheetData>
  <phoneticPr fontId="0" type="noConversion"/>
  <printOptions gridLines="1"/>
  <pageMargins left="0.76" right="0.39" top="1.24" bottom="0.68" header="0.53" footer="0.21"/>
  <pageSetup scale="50" orientation="portrait" r:id="rId1"/>
  <headerFooter alignWithMargins="0">
    <oddHeader xml:space="preserve">&amp;C&amp;"Algerian,Bold"&amp;36Xeer Ilaalinta Guud ee Qaranka </oddHeader>
    <oddFooter>&amp;R&amp;"Times New Roman,Bold"&amp;14 &amp;18 6&amp;14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Q61"/>
  <sheetViews>
    <sheetView view="pageBreakPreview" zoomScale="60" workbookViewId="0">
      <selection activeCell="P54" sqref="P54"/>
    </sheetView>
  </sheetViews>
  <sheetFormatPr defaultRowHeight="27" customHeight="1"/>
  <cols>
    <col min="1" max="1" width="17.5" style="298" customWidth="1"/>
    <col min="2" max="2" width="82.5" style="295" customWidth="1"/>
    <col min="3" max="3" width="17.33203125" style="295" hidden="1" customWidth="1"/>
    <col min="4" max="4" width="15.5" style="295" hidden="1" customWidth="1"/>
    <col min="5" max="5" width="18" style="295" hidden="1" customWidth="1"/>
    <col min="6" max="6" width="2.33203125" style="295" hidden="1" customWidth="1"/>
    <col min="7" max="7" width="23.5" style="295" hidden="1" customWidth="1"/>
    <col min="8" max="9" width="25" style="295" hidden="1" customWidth="1"/>
    <col min="10" max="10" width="1.5" style="295" hidden="1" customWidth="1"/>
    <col min="11" max="11" width="28.83203125" style="295" hidden="1" customWidth="1"/>
    <col min="12" max="12" width="31" style="295" hidden="1" customWidth="1"/>
    <col min="13" max="13" width="30.6640625" style="295" hidden="1" customWidth="1"/>
    <col min="14" max="14" width="0.1640625" style="295" customWidth="1"/>
    <col min="15" max="15" width="32.5" style="295" bestFit="1" customWidth="1"/>
    <col min="16" max="16" width="32.33203125" style="295" customWidth="1"/>
    <col min="17" max="17" width="28.6640625" style="295" bestFit="1" customWidth="1"/>
    <col min="18" max="16384" width="9.33203125" style="295"/>
  </cols>
  <sheetData>
    <row r="1" spans="1:17" ht="27" customHeight="1">
      <c r="A1" s="249" t="s">
        <v>20</v>
      </c>
      <c r="B1" s="250" t="s">
        <v>764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94"/>
    </row>
    <row r="2" spans="1:17" ht="27" customHeight="1">
      <c r="A2" s="249" t="s">
        <v>6</v>
      </c>
      <c r="B2" s="130" t="s">
        <v>7</v>
      </c>
      <c r="C2" s="106" t="s">
        <v>19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41</v>
      </c>
      <c r="I2" s="112" t="s">
        <v>66</v>
      </c>
      <c r="J2" s="112" t="s">
        <v>69</v>
      </c>
      <c r="K2" s="112" t="s">
        <v>96</v>
      </c>
      <c r="L2" s="112" t="s">
        <v>168</v>
      </c>
      <c r="M2" s="112" t="s">
        <v>318</v>
      </c>
      <c r="N2" s="112" t="s">
        <v>530</v>
      </c>
      <c r="O2" s="112" t="s">
        <v>605</v>
      </c>
      <c r="P2" s="112" t="s">
        <v>721</v>
      </c>
      <c r="Q2" s="112" t="s">
        <v>34</v>
      </c>
    </row>
    <row r="3" spans="1:17" ht="27" customHeight="1">
      <c r="A3" s="249">
        <v>210</v>
      </c>
      <c r="B3" s="106" t="s">
        <v>95</v>
      </c>
      <c r="C3" s="66"/>
      <c r="D3" s="66"/>
      <c r="E3" s="66"/>
      <c r="F3" s="66"/>
      <c r="G3" s="66"/>
      <c r="H3" s="128"/>
      <c r="I3" s="128"/>
      <c r="J3" s="128"/>
      <c r="K3" s="128"/>
      <c r="L3" s="128"/>
      <c r="M3" s="128"/>
      <c r="N3" s="128"/>
      <c r="O3" s="128"/>
      <c r="P3" s="128"/>
      <c r="Q3" s="66"/>
    </row>
    <row r="4" spans="1:17" ht="27" customHeight="1">
      <c r="A4" s="249">
        <v>2110</v>
      </c>
      <c r="B4" s="106" t="s">
        <v>155</v>
      </c>
      <c r="C4" s="66">
        <v>61545000</v>
      </c>
      <c r="D4" s="66">
        <v>74124000</v>
      </c>
      <c r="E4" s="66">
        <v>64128000</v>
      </c>
      <c r="F4" s="66">
        <v>72660000</v>
      </c>
      <c r="G4" s="66">
        <v>72660000</v>
      </c>
      <c r="H4" s="66">
        <f>72660000+42936000</f>
        <v>115596000</v>
      </c>
      <c r="I4" s="66">
        <f>150274800+4149600+13104000+3198000</f>
        <v>170726400</v>
      </c>
      <c r="J4" s="66">
        <f>170726400+3198000</f>
        <v>173924400</v>
      </c>
      <c r="K4" s="66"/>
      <c r="L4" s="66"/>
      <c r="M4" s="66"/>
      <c r="N4" s="66"/>
      <c r="O4" s="66"/>
      <c r="P4" s="66"/>
      <c r="Q4" s="66"/>
    </row>
    <row r="5" spans="1:17" ht="27" customHeight="1">
      <c r="A5" s="169">
        <v>21101</v>
      </c>
      <c r="B5" s="66" t="s">
        <v>9</v>
      </c>
      <c r="C5" s="66">
        <v>1180900</v>
      </c>
      <c r="D5" s="66"/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197527200</v>
      </c>
      <c r="L5" s="66" t="e">
        <f>#REF!+390967000</f>
        <v>#REF!</v>
      </c>
      <c r="M5" s="66">
        <v>368784000</v>
      </c>
      <c r="N5" s="66">
        <v>404539200</v>
      </c>
      <c r="O5" s="66">
        <v>774146880</v>
      </c>
      <c r="P5" s="66">
        <v>904999680</v>
      </c>
      <c r="Q5" s="66">
        <f>P5-O5</f>
        <v>130852800</v>
      </c>
    </row>
    <row r="6" spans="1:17" ht="27" customHeight="1">
      <c r="A6" s="169" t="s">
        <v>726</v>
      </c>
      <c r="B6" s="66" t="s">
        <v>305</v>
      </c>
      <c r="C6" s="66"/>
      <c r="D6" s="66"/>
      <c r="E6" s="66"/>
      <c r="F6" s="66"/>
      <c r="G6" s="66"/>
      <c r="H6" s="66"/>
      <c r="I6" s="66"/>
      <c r="J6" s="66"/>
      <c r="K6" s="66">
        <v>0</v>
      </c>
      <c r="L6" s="66">
        <f>174*423800*12+295*345800*12+145*266500*12+249*156000*12+177996000+5085600</f>
        <v>3221946000</v>
      </c>
      <c r="M6" s="66">
        <v>3705686400</v>
      </c>
      <c r="N6" s="66">
        <f>M6</f>
        <v>3705686400</v>
      </c>
      <c r="O6" s="66">
        <f>N6</f>
        <v>3705686400</v>
      </c>
      <c r="P6" s="66">
        <v>1915686400</v>
      </c>
      <c r="Q6" s="66">
        <f t="shared" ref="Q6:Q52" si="0">P6-O6</f>
        <v>-1790000000</v>
      </c>
    </row>
    <row r="7" spans="1:17" ht="27" customHeight="1">
      <c r="A7" s="169">
        <v>21102</v>
      </c>
      <c r="B7" s="66" t="s">
        <v>365</v>
      </c>
      <c r="C7" s="66">
        <v>1123486000</v>
      </c>
      <c r="D7" s="66">
        <v>1227036000</v>
      </c>
      <c r="E7" s="66">
        <v>1192428000</v>
      </c>
      <c r="F7" s="66">
        <f>1935276000+1200000</f>
        <v>1936476000</v>
      </c>
      <c r="G7" s="66">
        <f>1936476000+600000000</f>
        <v>2536476000</v>
      </c>
      <c r="H7" s="66">
        <f>2529276000+54000000</f>
        <v>2583276000</v>
      </c>
      <c r="I7" s="66">
        <f>2530476000+4800000</f>
        <v>2535276000</v>
      </c>
      <c r="J7" s="66">
        <f>2535276000+2400000</f>
        <v>2537676000</v>
      </c>
      <c r="K7" s="66">
        <v>0</v>
      </c>
      <c r="L7" s="66">
        <v>0</v>
      </c>
      <c r="M7" s="66">
        <v>150000000</v>
      </c>
      <c r="N7" s="66">
        <v>150000000</v>
      </c>
      <c r="O7" s="66">
        <v>276000000</v>
      </c>
      <c r="P7" s="66">
        <v>276000000</v>
      </c>
      <c r="Q7" s="66">
        <f t="shared" si="0"/>
        <v>0</v>
      </c>
    </row>
    <row r="8" spans="1:17" ht="27" customHeight="1">
      <c r="A8" s="169">
        <v>21103</v>
      </c>
      <c r="B8" s="66" t="s">
        <v>246</v>
      </c>
      <c r="C8" s="66"/>
      <c r="D8" s="66"/>
      <c r="E8" s="66"/>
      <c r="F8" s="66"/>
      <c r="G8" s="66"/>
      <c r="H8" s="66"/>
      <c r="I8" s="66"/>
      <c r="J8" s="66"/>
      <c r="K8" s="66">
        <v>191772000</v>
      </c>
      <c r="L8" s="66">
        <v>191772000</v>
      </c>
      <c r="M8" s="66">
        <v>151200000</v>
      </c>
      <c r="N8" s="66">
        <v>199200000</v>
      </c>
      <c r="O8" s="66">
        <v>306000000</v>
      </c>
      <c r="P8" s="66">
        <v>324000000</v>
      </c>
      <c r="Q8" s="66">
        <f t="shared" si="0"/>
        <v>18000000</v>
      </c>
    </row>
    <row r="9" spans="1:17" ht="27" customHeight="1">
      <c r="A9" s="169">
        <v>21105</v>
      </c>
      <c r="B9" s="66" t="s">
        <v>338</v>
      </c>
      <c r="C9" s="66">
        <v>2500000</v>
      </c>
      <c r="D9" s="66">
        <v>2000000</v>
      </c>
      <c r="E9" s="66">
        <v>2000000</v>
      </c>
      <c r="F9" s="66">
        <v>2000000</v>
      </c>
      <c r="G9" s="66">
        <v>1600000</v>
      </c>
      <c r="H9" s="66">
        <v>41000000</v>
      </c>
      <c r="I9" s="66">
        <v>41000000</v>
      </c>
      <c r="J9" s="66"/>
      <c r="K9" s="66">
        <v>48000000</v>
      </c>
      <c r="L9" s="66">
        <v>48000000</v>
      </c>
      <c r="M9" s="66">
        <f>L9</f>
        <v>48000000</v>
      </c>
      <c r="N9" s="66">
        <f>M9</f>
        <v>48000000</v>
      </c>
      <c r="O9" s="66">
        <v>120000000</v>
      </c>
      <c r="P9" s="66">
        <v>120000000</v>
      </c>
      <c r="Q9" s="66">
        <f t="shared" si="0"/>
        <v>0</v>
      </c>
    </row>
    <row r="10" spans="1:17" ht="27" customHeight="1">
      <c r="A10" s="249">
        <v>2120</v>
      </c>
      <c r="B10" s="106" t="s">
        <v>156</v>
      </c>
      <c r="C10" s="66"/>
      <c r="D10" s="66"/>
      <c r="E10" s="66"/>
      <c r="F10" s="66"/>
      <c r="G10" s="66"/>
      <c r="H10" s="66"/>
      <c r="I10" s="66"/>
      <c r="J10" s="66"/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66">
        <f t="shared" si="0"/>
        <v>0</v>
      </c>
    </row>
    <row r="11" spans="1:17" ht="27" customHeight="1">
      <c r="A11" s="169">
        <v>21202</v>
      </c>
      <c r="B11" s="66" t="s">
        <v>351</v>
      </c>
      <c r="C11" s="66">
        <v>56250000</v>
      </c>
      <c r="D11" s="66">
        <v>65000000</v>
      </c>
      <c r="E11" s="66">
        <v>65000000</v>
      </c>
      <c r="F11" s="66">
        <v>65000000</v>
      </c>
      <c r="G11" s="66">
        <v>86788800</v>
      </c>
      <c r="H11" s="66">
        <v>141500000</v>
      </c>
      <c r="I11" s="66">
        <v>200000000</v>
      </c>
      <c r="J11" s="66">
        <v>230000000</v>
      </c>
      <c r="K11" s="66">
        <v>0</v>
      </c>
      <c r="L11" s="66">
        <v>6570200</v>
      </c>
      <c r="M11" s="66">
        <v>1898304817</v>
      </c>
      <c r="N11" s="66">
        <v>1000000000</v>
      </c>
      <c r="O11" s="66">
        <v>1000000000</v>
      </c>
      <c r="P11" s="66">
        <v>400000000</v>
      </c>
      <c r="Q11" s="66">
        <f t="shared" si="0"/>
        <v>-600000000</v>
      </c>
    </row>
    <row r="12" spans="1:17" ht="27" customHeight="1">
      <c r="A12" s="169">
        <v>21203</v>
      </c>
      <c r="B12" s="66" t="s">
        <v>158</v>
      </c>
      <c r="C12" s="66">
        <v>18000000</v>
      </c>
      <c r="D12" s="66">
        <f>25000000-2000000</f>
        <v>23000000</v>
      </c>
      <c r="E12" s="66">
        <v>23000000</v>
      </c>
      <c r="F12" s="66">
        <v>23000000</v>
      </c>
      <c r="G12" s="66">
        <v>18400000</v>
      </c>
      <c r="H12" s="66">
        <v>56000000</v>
      </c>
      <c r="I12" s="66">
        <v>100000000</v>
      </c>
      <c r="J12" s="66">
        <v>80000000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f t="shared" si="0"/>
        <v>0</v>
      </c>
    </row>
    <row r="13" spans="1:17" ht="27" customHeight="1">
      <c r="A13" s="169"/>
      <c r="B13" s="106" t="s">
        <v>59</v>
      </c>
      <c r="C13" s="66">
        <v>11878000</v>
      </c>
      <c r="D13" s="66">
        <f>2000000+2000000</f>
        <v>4000000</v>
      </c>
      <c r="E13" s="66">
        <v>2000000</v>
      </c>
      <c r="F13" s="66">
        <v>2000000</v>
      </c>
      <c r="G13" s="66">
        <v>1600000</v>
      </c>
      <c r="H13" s="66">
        <v>30000000</v>
      </c>
      <c r="I13" s="66">
        <v>60000000</v>
      </c>
      <c r="J13" s="66">
        <v>50000000</v>
      </c>
      <c r="K13" s="106">
        <f t="shared" ref="K13:O13" si="1">SUM(K5:K12)</f>
        <v>437299200</v>
      </c>
      <c r="L13" s="106" t="e">
        <f t="shared" si="1"/>
        <v>#REF!</v>
      </c>
      <c r="M13" s="106">
        <f t="shared" si="1"/>
        <v>6321975217</v>
      </c>
      <c r="N13" s="106">
        <f t="shared" si="1"/>
        <v>5507425600</v>
      </c>
      <c r="O13" s="106">
        <f t="shared" si="1"/>
        <v>6181833280</v>
      </c>
      <c r="P13" s="106">
        <f>SUM(P5:P12)</f>
        <v>3940686080</v>
      </c>
      <c r="Q13" s="106">
        <f t="shared" si="0"/>
        <v>-2241147200</v>
      </c>
    </row>
    <row r="14" spans="1:17" ht="27" customHeight="1">
      <c r="A14" s="249">
        <v>220</v>
      </c>
      <c r="B14" s="106" t="s">
        <v>159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200000000</v>
      </c>
      <c r="I14" s="66">
        <v>200000000</v>
      </c>
      <c r="J14" s="66">
        <v>280000000</v>
      </c>
      <c r="K14" s="66"/>
      <c r="L14" s="66"/>
      <c r="M14" s="66"/>
      <c r="N14" s="66"/>
      <c r="O14" s="66"/>
      <c r="P14" s="66"/>
      <c r="Q14" s="66">
        <f t="shared" si="0"/>
        <v>0</v>
      </c>
    </row>
    <row r="15" spans="1:17" ht="27" customHeight="1">
      <c r="A15" s="249">
        <v>2210</v>
      </c>
      <c r="B15" s="106" t="s">
        <v>160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>
        <f t="shared" si="0"/>
        <v>0</v>
      </c>
    </row>
    <row r="16" spans="1:17" s="282" customFormat="1" ht="27" customHeight="1">
      <c r="A16" s="169">
        <v>22101</v>
      </c>
      <c r="B16" s="66" t="s">
        <v>14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356850000</v>
      </c>
      <c r="I16" s="66">
        <v>0</v>
      </c>
      <c r="J16" s="66">
        <v>84000000</v>
      </c>
      <c r="K16" s="66">
        <v>13406400</v>
      </c>
      <c r="L16" s="66">
        <f>13406400*70%</f>
        <v>9384480</v>
      </c>
      <c r="M16" s="66">
        <f>13406400*70%</f>
        <v>9384480</v>
      </c>
      <c r="N16" s="66">
        <f>13406400*70%</f>
        <v>9384480</v>
      </c>
      <c r="O16" s="66">
        <v>19384480</v>
      </c>
      <c r="P16" s="66">
        <v>19384480</v>
      </c>
      <c r="Q16" s="66">
        <f t="shared" si="0"/>
        <v>0</v>
      </c>
    </row>
    <row r="17" spans="1:17" ht="27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/>
      <c r="I17" s="66"/>
      <c r="J17" s="66"/>
      <c r="K17" s="66">
        <v>16000000</v>
      </c>
      <c r="L17" s="66">
        <f>16000000*70%</f>
        <v>11200000</v>
      </c>
      <c r="M17" s="66">
        <f>16000000*70%</f>
        <v>11200000</v>
      </c>
      <c r="N17" s="66">
        <f>16000000*70%</f>
        <v>11200000</v>
      </c>
      <c r="O17" s="66">
        <f>16000000*70%</f>
        <v>11200000</v>
      </c>
      <c r="P17" s="66">
        <f>16000000*70%</f>
        <v>11200000</v>
      </c>
      <c r="Q17" s="66">
        <f t="shared" si="0"/>
        <v>0</v>
      </c>
    </row>
    <row r="18" spans="1:17" ht="27" customHeight="1">
      <c r="A18" s="169">
        <v>22105</v>
      </c>
      <c r="B18" s="66" t="s">
        <v>93</v>
      </c>
      <c r="C18" s="66"/>
      <c r="D18" s="66"/>
      <c r="E18" s="66"/>
      <c r="F18" s="66"/>
      <c r="G18" s="66"/>
      <c r="H18" s="66"/>
      <c r="I18" s="66"/>
      <c r="J18" s="66"/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f t="shared" si="0"/>
        <v>0</v>
      </c>
    </row>
    <row r="19" spans="1:17" ht="27" customHeight="1">
      <c r="A19" s="169">
        <v>22106</v>
      </c>
      <c r="B19" s="66" t="s">
        <v>432</v>
      </c>
      <c r="C19" s="66">
        <v>2500000</v>
      </c>
      <c r="D19" s="66">
        <v>2000000</v>
      </c>
      <c r="E19" s="66">
        <v>2000000</v>
      </c>
      <c r="F19" s="66">
        <v>2000000</v>
      </c>
      <c r="G19" s="66">
        <v>1600000</v>
      </c>
      <c r="H19" s="66">
        <v>41000000</v>
      </c>
      <c r="I19" s="66">
        <v>41000000</v>
      </c>
      <c r="J19" s="66">
        <v>31000000</v>
      </c>
      <c r="K19" s="66">
        <v>71417600</v>
      </c>
      <c r="L19" s="66">
        <f>71417600*70%</f>
        <v>49992320</v>
      </c>
      <c r="M19" s="66">
        <v>897864000</v>
      </c>
      <c r="N19" s="66">
        <v>600000000</v>
      </c>
      <c r="O19" s="66">
        <v>400000000</v>
      </c>
      <c r="P19" s="66">
        <v>300000000</v>
      </c>
      <c r="Q19" s="66">
        <f t="shared" si="0"/>
        <v>-100000000</v>
      </c>
    </row>
    <row r="20" spans="1:17" ht="27" customHeight="1">
      <c r="A20" s="169">
        <v>22109</v>
      </c>
      <c r="B20" s="66" t="s">
        <v>94</v>
      </c>
      <c r="C20" s="66">
        <v>23000000</v>
      </c>
      <c r="D20" s="66">
        <v>15000000</v>
      </c>
      <c r="E20" s="66">
        <v>8949700</v>
      </c>
      <c r="F20" s="66">
        <v>8949700</v>
      </c>
      <c r="G20" s="66">
        <v>12000000</v>
      </c>
      <c r="H20" s="66">
        <v>80000000</v>
      </c>
      <c r="I20" s="66">
        <v>80000000</v>
      </c>
      <c r="J20" s="66">
        <v>80000000</v>
      </c>
      <c r="K20" s="66">
        <v>3079200</v>
      </c>
      <c r="L20" s="66">
        <f>3079200*70%</f>
        <v>2155440</v>
      </c>
      <c r="M20" s="66">
        <f>3079200*70%</f>
        <v>2155440</v>
      </c>
      <c r="N20" s="66">
        <f>3079200*70%</f>
        <v>2155440</v>
      </c>
      <c r="O20" s="66">
        <f>3079200*70%</f>
        <v>2155440</v>
      </c>
      <c r="P20" s="66">
        <f>3079200*70%</f>
        <v>2155440</v>
      </c>
      <c r="Q20" s="66">
        <f t="shared" si="0"/>
        <v>0</v>
      </c>
    </row>
    <row r="21" spans="1:17" ht="27" customHeight="1">
      <c r="A21" s="169">
        <v>22112</v>
      </c>
      <c r="B21" s="66" t="s">
        <v>16</v>
      </c>
      <c r="C21" s="66">
        <v>10061000</v>
      </c>
      <c r="D21" s="66">
        <v>2000000</v>
      </c>
      <c r="E21" s="66">
        <v>0</v>
      </c>
      <c r="F21" s="66">
        <v>0</v>
      </c>
      <c r="G21" s="66">
        <v>0</v>
      </c>
      <c r="H21" s="66">
        <v>30000000</v>
      </c>
      <c r="I21" s="66">
        <v>40000000</v>
      </c>
      <c r="J21" s="66">
        <v>30000000</v>
      </c>
      <c r="K21" s="66">
        <v>10586000</v>
      </c>
      <c r="L21" s="66">
        <f>10586000*70%</f>
        <v>7410199.9999999991</v>
      </c>
      <c r="M21" s="66">
        <f>10586000*70%</f>
        <v>7410199.9999999991</v>
      </c>
      <c r="N21" s="66">
        <f>10586000*70%</f>
        <v>7410199.9999999991</v>
      </c>
      <c r="O21" s="66">
        <f>10586000*70%</f>
        <v>7410199.9999999991</v>
      </c>
      <c r="P21" s="66">
        <f>10586000*70%</f>
        <v>7410199.9999999991</v>
      </c>
      <c r="Q21" s="66">
        <f t="shared" si="0"/>
        <v>0</v>
      </c>
    </row>
    <row r="22" spans="1:17" ht="27" customHeight="1">
      <c r="A22" s="169">
        <v>22132</v>
      </c>
      <c r="B22" s="66" t="s">
        <v>144</v>
      </c>
      <c r="C22" s="66">
        <v>3000000</v>
      </c>
      <c r="D22" s="66">
        <v>1500000</v>
      </c>
      <c r="E22" s="66">
        <v>0</v>
      </c>
      <c r="F22" s="66">
        <v>0</v>
      </c>
      <c r="G22" s="66">
        <v>0</v>
      </c>
      <c r="H22" s="66">
        <v>15000000</v>
      </c>
      <c r="I22" s="66">
        <v>20000000</v>
      </c>
      <c r="J22" s="66">
        <v>20000000</v>
      </c>
      <c r="K22" s="66">
        <v>120000000</v>
      </c>
      <c r="L22" s="66">
        <f>120000000*70%</f>
        <v>84000000</v>
      </c>
      <c r="M22" s="66">
        <v>0</v>
      </c>
      <c r="N22" s="66">
        <v>0</v>
      </c>
      <c r="O22" s="66">
        <v>0</v>
      </c>
      <c r="P22" s="66">
        <v>0</v>
      </c>
      <c r="Q22" s="66">
        <f t="shared" si="0"/>
        <v>0</v>
      </c>
    </row>
    <row r="23" spans="1:17" ht="27" customHeight="1">
      <c r="A23" s="169">
        <v>22137</v>
      </c>
      <c r="B23" s="66" t="s">
        <v>544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>
        <v>100000000</v>
      </c>
      <c r="O23" s="66">
        <v>100000000</v>
      </c>
      <c r="P23" s="66">
        <v>100000000</v>
      </c>
      <c r="Q23" s="66">
        <f t="shared" si="0"/>
        <v>0</v>
      </c>
    </row>
    <row r="24" spans="1:17" ht="27" customHeight="1">
      <c r="A24" s="169">
        <v>22152</v>
      </c>
      <c r="B24" s="66" t="s">
        <v>545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>
        <v>0</v>
      </c>
      <c r="N24" s="66">
        <v>60000000</v>
      </c>
      <c r="O24" s="66">
        <v>240000000</v>
      </c>
      <c r="P24" s="66">
        <v>240000000</v>
      </c>
      <c r="Q24" s="66">
        <f t="shared" si="0"/>
        <v>0</v>
      </c>
    </row>
    <row r="25" spans="1:17" ht="27" customHeight="1">
      <c r="A25" s="169">
        <v>22155</v>
      </c>
      <c r="B25" s="66" t="s">
        <v>400</v>
      </c>
      <c r="C25" s="66"/>
      <c r="D25" s="66"/>
      <c r="E25" s="66"/>
      <c r="F25" s="66"/>
      <c r="G25" s="66"/>
      <c r="H25" s="66"/>
      <c r="I25" s="66"/>
      <c r="J25" s="66"/>
      <c r="K25" s="66"/>
      <c r="L25" s="66">
        <v>0</v>
      </c>
      <c r="M25" s="66">
        <v>500000000</v>
      </c>
      <c r="N25" s="66">
        <v>500000000</v>
      </c>
      <c r="O25" s="66">
        <v>500000000</v>
      </c>
      <c r="P25" s="66">
        <v>200000000</v>
      </c>
      <c r="Q25" s="66">
        <f t="shared" si="0"/>
        <v>-300000000</v>
      </c>
    </row>
    <row r="26" spans="1:17" ht="27" customHeight="1">
      <c r="A26" s="169"/>
      <c r="B26" s="106" t="s">
        <v>59</v>
      </c>
      <c r="C26" s="66">
        <v>0</v>
      </c>
      <c r="D26" s="66">
        <v>0</v>
      </c>
      <c r="E26" s="66">
        <v>0</v>
      </c>
      <c r="F26" s="66">
        <v>0</v>
      </c>
      <c r="G26" s="66">
        <v>16000000</v>
      </c>
      <c r="H26" s="66">
        <v>360113000</v>
      </c>
      <c r="I26" s="66">
        <v>208212162</v>
      </c>
      <c r="J26" s="66">
        <v>330000000</v>
      </c>
      <c r="K26" s="106">
        <f>SUM(K16:K22)</f>
        <v>234489200</v>
      </c>
      <c r="L26" s="106">
        <f>SUM(L16:L22)</f>
        <v>164142440</v>
      </c>
      <c r="M26" s="106">
        <f>SUM(M16:M25)</f>
        <v>1428014120</v>
      </c>
      <c r="N26" s="106">
        <f>SUM(N16:N25)</f>
        <v>1290150120</v>
      </c>
      <c r="O26" s="106">
        <f>SUM(O16:O25)</f>
        <v>1280150120</v>
      </c>
      <c r="P26" s="106">
        <f>SUM(P16:P25)</f>
        <v>880150120</v>
      </c>
      <c r="Q26" s="106">
        <f t="shared" si="0"/>
        <v>-400000000</v>
      </c>
    </row>
    <row r="27" spans="1:17" ht="27" customHeight="1">
      <c r="A27" s="249">
        <v>2220</v>
      </c>
      <c r="B27" s="106" t="s">
        <v>161</v>
      </c>
      <c r="C27" s="66"/>
      <c r="D27" s="66"/>
      <c r="E27" s="66"/>
      <c r="F27" s="66"/>
      <c r="G27" s="66"/>
      <c r="H27" s="66"/>
      <c r="I27" s="66">
        <v>0</v>
      </c>
      <c r="J27" s="66">
        <v>35000000</v>
      </c>
      <c r="K27" s="106"/>
      <c r="L27" s="106"/>
      <c r="M27" s="106"/>
      <c r="N27" s="106"/>
      <c r="O27" s="106"/>
      <c r="P27" s="106"/>
      <c r="Q27" s="66">
        <f t="shared" si="0"/>
        <v>0</v>
      </c>
    </row>
    <row r="28" spans="1:17" ht="27" customHeight="1">
      <c r="A28" s="169">
        <v>22201</v>
      </c>
      <c r="B28" s="66" t="s">
        <v>90</v>
      </c>
      <c r="C28" s="106" t="e">
        <f>#REF!+#REF!+#REF!+#REF!+#REF!</f>
        <v>#REF!</v>
      </c>
      <c r="D28" s="106" t="e">
        <f>#REF!+#REF!+#REF!+#REF!+#REF!</f>
        <v>#REF!</v>
      </c>
      <c r="E28" s="106" t="e">
        <f>#REF!+#REF!+#REF!+#REF!+#REF!</f>
        <v>#REF!</v>
      </c>
      <c r="F28" s="106" t="e">
        <f>#REF!+#REF!+#REF!+#REF!+#REF!</f>
        <v>#REF!</v>
      </c>
      <c r="G28" s="106" t="e">
        <f>#REF!+#REF!+#REF!+#REF!+#REF!</f>
        <v>#REF!</v>
      </c>
      <c r="H28" s="106" t="e">
        <f>#REF!+#REF!+#REF!+#REF!+#REF!</f>
        <v>#REF!</v>
      </c>
      <c r="I28" s="106" t="e">
        <f>#REF!+#REF!+#REF!+#REF!+#REF!</f>
        <v>#REF!</v>
      </c>
      <c r="J28" s="106" t="e">
        <f>#REF!+#REF!+#REF!+#REF!+#REF!</f>
        <v>#REF!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f t="shared" si="0"/>
        <v>0</v>
      </c>
    </row>
    <row r="29" spans="1:17" ht="27" customHeight="1">
      <c r="A29" s="169">
        <v>22202</v>
      </c>
      <c r="B29" s="66" t="s">
        <v>91</v>
      </c>
      <c r="C29" s="118"/>
      <c r="D29" s="118"/>
      <c r="E29" s="118"/>
      <c r="F29" s="100">
        <v>0</v>
      </c>
      <c r="G29" s="100" t="s">
        <v>4</v>
      </c>
      <c r="H29" s="100"/>
      <c r="I29" s="100"/>
      <c r="J29" s="100"/>
      <c r="K29" s="66">
        <v>69000000</v>
      </c>
      <c r="L29" s="66">
        <f>69000000*70%</f>
        <v>48300000</v>
      </c>
      <c r="M29" s="66">
        <f>L29*80%</f>
        <v>38640000</v>
      </c>
      <c r="N29" s="66">
        <v>58640000</v>
      </c>
      <c r="O29" s="66">
        <v>88640000</v>
      </c>
      <c r="P29" s="66">
        <v>88640000</v>
      </c>
      <c r="Q29" s="66">
        <f t="shared" si="0"/>
        <v>0</v>
      </c>
    </row>
    <row r="30" spans="1:17" ht="27" customHeight="1">
      <c r="A30" s="169">
        <v>22203</v>
      </c>
      <c r="B30" s="66" t="s">
        <v>85</v>
      </c>
      <c r="C30" s="118"/>
      <c r="D30" s="118"/>
      <c r="E30" s="118"/>
      <c r="F30" s="100"/>
      <c r="G30" s="100"/>
      <c r="H30" s="100"/>
      <c r="I30" s="100"/>
      <c r="J30" s="100"/>
      <c r="K30" s="66">
        <v>14151200</v>
      </c>
      <c r="L30" s="66">
        <f>14151200*70%</f>
        <v>9905840</v>
      </c>
      <c r="M30" s="66">
        <f>14151200*70%</f>
        <v>9905840</v>
      </c>
      <c r="N30" s="66">
        <v>19905840</v>
      </c>
      <c r="O30" s="66">
        <v>24905840</v>
      </c>
      <c r="P30" s="66">
        <v>24905840</v>
      </c>
      <c r="Q30" s="66">
        <f t="shared" si="0"/>
        <v>0</v>
      </c>
    </row>
    <row r="31" spans="1:17" ht="27" customHeight="1">
      <c r="A31" s="169">
        <v>22204</v>
      </c>
      <c r="B31" s="66" t="s">
        <v>86</v>
      </c>
      <c r="C31" s="66"/>
      <c r="D31" s="66"/>
      <c r="E31" s="66"/>
      <c r="F31" s="66"/>
      <c r="G31" s="66"/>
      <c r="H31" s="66"/>
      <c r="I31" s="66"/>
      <c r="J31" s="66"/>
      <c r="K31" s="100">
        <v>1489600</v>
      </c>
      <c r="L31" s="100">
        <f>1489600*70%</f>
        <v>1042719.9999999999</v>
      </c>
      <c r="M31" s="100">
        <f>1489600*70%</f>
        <v>1042719.9999999999</v>
      </c>
      <c r="N31" s="100">
        <f>1489600*70%</f>
        <v>1042719.9999999999</v>
      </c>
      <c r="O31" s="100">
        <f>1489600*70%</f>
        <v>1042719.9999999999</v>
      </c>
      <c r="P31" s="100">
        <f>1489600*70%</f>
        <v>1042719.9999999999</v>
      </c>
      <c r="Q31" s="66">
        <f t="shared" si="0"/>
        <v>0</v>
      </c>
    </row>
    <row r="32" spans="1:17" ht="27" customHeight="1">
      <c r="A32" s="169">
        <v>22205</v>
      </c>
      <c r="B32" s="66" t="s">
        <v>92</v>
      </c>
      <c r="C32" s="66">
        <v>4000000</v>
      </c>
      <c r="D32" s="66">
        <v>2000000</v>
      </c>
      <c r="E32" s="66">
        <v>0</v>
      </c>
      <c r="F32" s="66">
        <v>0</v>
      </c>
      <c r="G32" s="66">
        <v>0</v>
      </c>
      <c r="H32" s="66">
        <v>200000000</v>
      </c>
      <c r="I32" s="66">
        <v>200000000</v>
      </c>
      <c r="J32" s="66">
        <v>200000000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66">
        <f t="shared" si="0"/>
        <v>0</v>
      </c>
    </row>
    <row r="33" spans="1:17" ht="27" customHeight="1">
      <c r="A33" s="169">
        <v>22209</v>
      </c>
      <c r="B33" s="66" t="s">
        <v>145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150000000</v>
      </c>
      <c r="I33" s="66">
        <v>150000000</v>
      </c>
      <c r="J33" s="66">
        <v>150000000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f t="shared" si="0"/>
        <v>0</v>
      </c>
    </row>
    <row r="34" spans="1:17" ht="27" customHeight="1">
      <c r="A34" s="169"/>
      <c r="B34" s="106" t="s">
        <v>59</v>
      </c>
      <c r="C34" s="66">
        <v>10089000</v>
      </c>
      <c r="D34" s="66">
        <v>10004000</v>
      </c>
      <c r="E34" s="66">
        <v>20004000</v>
      </c>
      <c r="F34" s="66">
        <v>20004000</v>
      </c>
      <c r="G34" s="66">
        <v>40003200</v>
      </c>
      <c r="H34" s="66">
        <v>100000000</v>
      </c>
      <c r="I34" s="66">
        <v>100000000</v>
      </c>
      <c r="J34" s="66">
        <v>100000000</v>
      </c>
      <c r="K34" s="106">
        <f t="shared" ref="K34:O34" si="2">SUM(K28:K33)</f>
        <v>84640800</v>
      </c>
      <c r="L34" s="106">
        <f t="shared" si="2"/>
        <v>59248560</v>
      </c>
      <c r="M34" s="106">
        <f t="shared" si="2"/>
        <v>49588560</v>
      </c>
      <c r="N34" s="106">
        <f t="shared" si="2"/>
        <v>79588560</v>
      </c>
      <c r="O34" s="106">
        <f t="shared" si="2"/>
        <v>114588560</v>
      </c>
      <c r="P34" s="106">
        <f>SUM(P28:P33)</f>
        <v>114588560</v>
      </c>
      <c r="Q34" s="66">
        <f t="shared" si="0"/>
        <v>0</v>
      </c>
    </row>
    <row r="35" spans="1:17" ht="27" customHeight="1">
      <c r="A35" s="249">
        <v>2230</v>
      </c>
      <c r="B35" s="106" t="s">
        <v>88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616200000</v>
      </c>
      <c r="I35" s="66">
        <v>616200000</v>
      </c>
      <c r="J35" s="66">
        <v>616200000</v>
      </c>
      <c r="K35" s="66"/>
      <c r="L35" s="66"/>
      <c r="M35" s="66"/>
      <c r="N35" s="66"/>
      <c r="O35" s="66"/>
      <c r="P35" s="66"/>
      <c r="Q35" s="66">
        <f t="shared" si="0"/>
        <v>0</v>
      </c>
    </row>
    <row r="36" spans="1:17" ht="27" customHeight="1">
      <c r="A36" s="169">
        <v>22301</v>
      </c>
      <c r="B36" s="66" t="s">
        <v>31</v>
      </c>
      <c r="C36" s="66">
        <v>13333000</v>
      </c>
      <c r="D36" s="66">
        <v>5000000</v>
      </c>
      <c r="E36" s="66">
        <v>0</v>
      </c>
      <c r="F36" s="66">
        <v>0</v>
      </c>
      <c r="G36" s="66">
        <v>0</v>
      </c>
      <c r="H36" s="66">
        <v>100000000</v>
      </c>
      <c r="I36" s="66">
        <v>70000000</v>
      </c>
      <c r="J36" s="66">
        <v>70000000</v>
      </c>
      <c r="K36" s="66">
        <v>4000000</v>
      </c>
      <c r="L36" s="66">
        <f>4000000*70%</f>
        <v>2800000</v>
      </c>
      <c r="M36" s="66">
        <f>4000000*70%</f>
        <v>2800000</v>
      </c>
      <c r="N36" s="66">
        <f>4000000*70%</f>
        <v>2800000</v>
      </c>
      <c r="O36" s="66">
        <f>4000000*70%</f>
        <v>2800000</v>
      </c>
      <c r="P36" s="66">
        <f>4000000*70%</f>
        <v>2800000</v>
      </c>
      <c r="Q36" s="66">
        <f t="shared" si="0"/>
        <v>0</v>
      </c>
    </row>
    <row r="37" spans="1:17" ht="27" customHeight="1">
      <c r="A37" s="169">
        <v>22302</v>
      </c>
      <c r="B37" s="66" t="s">
        <v>162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1558122</v>
      </c>
      <c r="L37" s="66">
        <f>1558122*70%</f>
        <v>1090685.3999999999</v>
      </c>
      <c r="M37" s="66">
        <f>1558122*70%</f>
        <v>1090685.3999999999</v>
      </c>
      <c r="N37" s="66">
        <f>1558122*70%</f>
        <v>1090685.3999999999</v>
      </c>
      <c r="O37" s="66">
        <f>1558122*70%</f>
        <v>1090685.3999999999</v>
      </c>
      <c r="P37" s="66">
        <f>1558122*70%</f>
        <v>1090685.3999999999</v>
      </c>
      <c r="Q37" s="66">
        <f t="shared" si="0"/>
        <v>0</v>
      </c>
    </row>
    <row r="38" spans="1:17" ht="27" customHeight="1">
      <c r="A38" s="169">
        <v>22303</v>
      </c>
      <c r="B38" s="66" t="s">
        <v>163</v>
      </c>
      <c r="C38" s="106">
        <f t="shared" ref="C38:J38" si="3">SUM(C36:C37)</f>
        <v>13333000</v>
      </c>
      <c r="D38" s="106">
        <f t="shared" si="3"/>
        <v>5000000</v>
      </c>
      <c r="E38" s="106">
        <f t="shared" si="3"/>
        <v>0</v>
      </c>
      <c r="F38" s="106">
        <f t="shared" si="3"/>
        <v>0</v>
      </c>
      <c r="G38" s="106">
        <f t="shared" si="3"/>
        <v>0</v>
      </c>
      <c r="H38" s="106">
        <f t="shared" si="3"/>
        <v>100000000</v>
      </c>
      <c r="I38" s="106">
        <f t="shared" si="3"/>
        <v>70000000</v>
      </c>
      <c r="J38" s="106">
        <f t="shared" si="3"/>
        <v>70000000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f t="shared" si="0"/>
        <v>0</v>
      </c>
    </row>
    <row r="39" spans="1:17" ht="27" customHeight="1">
      <c r="A39" s="169"/>
      <c r="B39" s="106" t="s">
        <v>59</v>
      </c>
      <c r="C39" s="106" t="e">
        <f>C38+#REF!+C31+#REF!+#REF!</f>
        <v>#REF!</v>
      </c>
      <c r="D39" s="106" t="e">
        <f>D38+#REF!+D31+#REF!+#REF!</f>
        <v>#REF!</v>
      </c>
      <c r="E39" s="106" t="e">
        <f>E38+#REF!+E31+#REF!+#REF!</f>
        <v>#REF!</v>
      </c>
      <c r="F39" s="106" t="e">
        <f>F38+#REF!+F31+#REF!+#REF!</f>
        <v>#REF!</v>
      </c>
      <c r="G39" s="106" t="e">
        <f>G38+#REF!+#REF!+G31+#REF!</f>
        <v>#REF!</v>
      </c>
      <c r="H39" s="106" t="e">
        <f>H38+#REF!+H31+#REF!+#REF!</f>
        <v>#REF!</v>
      </c>
      <c r="I39" s="106" t="e">
        <f>I38+#REF!+I31+#REF!+#REF!</f>
        <v>#REF!</v>
      </c>
      <c r="J39" s="106" t="e">
        <f>SUM(#REF!+#REF!+J31+J38)</f>
        <v>#REF!</v>
      </c>
      <c r="K39" s="106">
        <f t="shared" ref="K39:O39" si="4">SUM(K36:K38)</f>
        <v>5558122</v>
      </c>
      <c r="L39" s="106">
        <f t="shared" si="4"/>
        <v>3890685.4</v>
      </c>
      <c r="M39" s="106">
        <f t="shared" si="4"/>
        <v>3890685.4</v>
      </c>
      <c r="N39" s="106">
        <f t="shared" si="4"/>
        <v>3890685.4</v>
      </c>
      <c r="O39" s="106">
        <f t="shared" si="4"/>
        <v>3890685.4</v>
      </c>
      <c r="P39" s="106">
        <f>SUM(P36:P38)</f>
        <v>3890685.4</v>
      </c>
      <c r="Q39" s="66">
        <f t="shared" si="0"/>
        <v>0</v>
      </c>
    </row>
    <row r="40" spans="1:17" ht="27" customHeight="1">
      <c r="A40" s="249">
        <v>230</v>
      </c>
      <c r="B40" s="106" t="s">
        <v>165</v>
      </c>
      <c r="C40" s="66"/>
      <c r="D40" s="66"/>
      <c r="E40" s="66"/>
      <c r="F40" s="66"/>
      <c r="G40" s="66"/>
      <c r="H40" s="66"/>
      <c r="I40" s="66"/>
      <c r="J40" s="66"/>
      <c r="K40" s="106"/>
      <c r="L40" s="106"/>
      <c r="M40" s="106"/>
      <c r="N40" s="106"/>
      <c r="O40" s="106"/>
      <c r="P40" s="106"/>
      <c r="Q40" s="66">
        <f t="shared" si="0"/>
        <v>0</v>
      </c>
    </row>
    <row r="41" spans="1:17" ht="27" customHeight="1">
      <c r="A41" s="249">
        <v>2310</v>
      </c>
      <c r="B41" s="106" t="s">
        <v>164</v>
      </c>
      <c r="C41" s="66"/>
      <c r="D41" s="66"/>
      <c r="E41" s="66"/>
      <c r="F41" s="66"/>
      <c r="G41" s="66"/>
      <c r="H41" s="66"/>
      <c r="I41" s="66"/>
      <c r="J41" s="66"/>
      <c r="K41" s="106"/>
      <c r="L41" s="106"/>
      <c r="M41" s="106"/>
      <c r="N41" s="106"/>
      <c r="O41" s="106"/>
      <c r="P41" s="106"/>
      <c r="Q41" s="66">
        <f t="shared" si="0"/>
        <v>0</v>
      </c>
    </row>
    <row r="42" spans="1:17" ht="27" customHeight="1">
      <c r="A42" s="169">
        <v>23101</v>
      </c>
      <c r="B42" s="66" t="s">
        <v>172</v>
      </c>
      <c r="C42" s="66"/>
      <c r="D42" s="66"/>
      <c r="E42" s="66"/>
      <c r="F42" s="66"/>
      <c r="G42" s="66"/>
      <c r="H42" s="66"/>
      <c r="I42" s="66"/>
      <c r="J42" s="66"/>
      <c r="K42" s="66">
        <v>0</v>
      </c>
      <c r="L42" s="66">
        <v>46690000</v>
      </c>
      <c r="M42" s="66">
        <v>0</v>
      </c>
      <c r="N42" s="66">
        <v>30000000</v>
      </c>
      <c r="O42" s="66">
        <v>130000000</v>
      </c>
      <c r="P42" s="66">
        <v>0</v>
      </c>
      <c r="Q42" s="66">
        <f t="shared" si="0"/>
        <v>-130000000</v>
      </c>
    </row>
    <row r="43" spans="1:17" ht="27" customHeight="1">
      <c r="A43" s="169">
        <v>23102</v>
      </c>
      <c r="B43" s="66" t="s">
        <v>173</v>
      </c>
      <c r="C43" s="66"/>
      <c r="D43" s="66"/>
      <c r="E43" s="66"/>
      <c r="F43" s="66"/>
      <c r="G43" s="66"/>
      <c r="H43" s="66"/>
      <c r="I43" s="66"/>
      <c r="J43" s="66"/>
      <c r="K43" s="66">
        <v>0</v>
      </c>
      <c r="L43" s="66">
        <v>0</v>
      </c>
      <c r="M43" s="66">
        <v>96000000</v>
      </c>
      <c r="N43" s="66">
        <v>108000000</v>
      </c>
      <c r="O43" s="66">
        <v>120000000</v>
      </c>
      <c r="P43" s="66">
        <v>0</v>
      </c>
      <c r="Q43" s="66">
        <f t="shared" si="0"/>
        <v>-120000000</v>
      </c>
    </row>
    <row r="44" spans="1:17" ht="27" customHeight="1">
      <c r="A44" s="169">
        <v>23103</v>
      </c>
      <c r="B44" s="66" t="s">
        <v>106</v>
      </c>
      <c r="C44" s="66"/>
      <c r="D44" s="66"/>
      <c r="E44" s="66"/>
      <c r="F44" s="66"/>
      <c r="G44" s="66"/>
      <c r="H44" s="66"/>
      <c r="I44" s="66"/>
      <c r="J44" s="66"/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f t="shared" si="0"/>
        <v>0</v>
      </c>
    </row>
    <row r="45" spans="1:17" ht="27" customHeight="1">
      <c r="A45" s="169">
        <v>23104</v>
      </c>
      <c r="B45" s="66" t="s">
        <v>107</v>
      </c>
      <c r="C45" s="66"/>
      <c r="D45" s="66"/>
      <c r="E45" s="66"/>
      <c r="F45" s="66"/>
      <c r="G45" s="66"/>
      <c r="H45" s="66"/>
      <c r="I45" s="66"/>
      <c r="J45" s="66"/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f t="shared" si="0"/>
        <v>0</v>
      </c>
    </row>
    <row r="46" spans="1:17" ht="27" customHeight="1">
      <c r="A46" s="169"/>
      <c r="B46" s="106" t="s">
        <v>59</v>
      </c>
      <c r="C46" s="66"/>
      <c r="D46" s="66"/>
      <c r="E46" s="66"/>
      <c r="F46" s="66"/>
      <c r="G46" s="66"/>
      <c r="H46" s="66"/>
      <c r="I46" s="66"/>
      <c r="J46" s="66"/>
      <c r="K46" s="106">
        <f t="shared" ref="K46:P46" si="5">SUM(K42:K45)</f>
        <v>0</v>
      </c>
      <c r="L46" s="106">
        <f t="shared" si="5"/>
        <v>46690000</v>
      </c>
      <c r="M46" s="106">
        <f t="shared" si="5"/>
        <v>96000000</v>
      </c>
      <c r="N46" s="106">
        <f t="shared" si="5"/>
        <v>138000000</v>
      </c>
      <c r="O46" s="106">
        <f t="shared" si="5"/>
        <v>250000000</v>
      </c>
      <c r="P46" s="106">
        <f t="shared" si="5"/>
        <v>0</v>
      </c>
      <c r="Q46" s="106">
        <f t="shared" si="0"/>
        <v>-250000000</v>
      </c>
    </row>
    <row r="47" spans="1:17" ht="27" customHeight="1">
      <c r="A47" s="249">
        <v>2320</v>
      </c>
      <c r="B47" s="106" t="s">
        <v>342</v>
      </c>
      <c r="C47" s="66"/>
      <c r="D47" s="66"/>
      <c r="E47" s="66"/>
      <c r="F47" s="66"/>
      <c r="G47" s="66"/>
      <c r="H47" s="66"/>
      <c r="I47" s="66"/>
      <c r="J47" s="66"/>
      <c r="K47" s="106"/>
      <c r="L47" s="106"/>
      <c r="M47" s="106"/>
      <c r="N47" s="106"/>
      <c r="O47" s="106"/>
      <c r="P47" s="106"/>
      <c r="Q47" s="106">
        <f t="shared" si="0"/>
        <v>0</v>
      </c>
    </row>
    <row r="48" spans="1:17" ht="27" customHeight="1">
      <c r="A48" s="169">
        <v>23201</v>
      </c>
      <c r="B48" s="66" t="s">
        <v>836</v>
      </c>
      <c r="C48" s="66"/>
      <c r="D48" s="66"/>
      <c r="E48" s="66"/>
      <c r="F48" s="66"/>
      <c r="G48" s="66"/>
      <c r="H48" s="66"/>
      <c r="I48" s="66"/>
      <c r="J48" s="66"/>
      <c r="K48" s="106"/>
      <c r="L48" s="106"/>
      <c r="M48" s="106"/>
      <c r="N48" s="106"/>
      <c r="O48" s="106"/>
      <c r="P48" s="66">
        <v>1790000000</v>
      </c>
      <c r="Q48" s="66">
        <f t="shared" si="0"/>
        <v>1790000000</v>
      </c>
    </row>
    <row r="49" spans="1:17" ht="27" customHeight="1">
      <c r="A49" s="169"/>
      <c r="B49" s="106" t="s">
        <v>59</v>
      </c>
      <c r="C49" s="66"/>
      <c r="D49" s="66"/>
      <c r="E49" s="66"/>
      <c r="F49" s="66"/>
      <c r="G49" s="66"/>
      <c r="H49" s="66"/>
      <c r="I49" s="66"/>
      <c r="J49" s="66"/>
      <c r="K49" s="106"/>
      <c r="L49" s="106"/>
      <c r="M49" s="106"/>
      <c r="N49" s="106"/>
      <c r="O49" s="106"/>
      <c r="P49" s="106">
        <f>SUM(P48)</f>
        <v>1790000000</v>
      </c>
      <c r="Q49" s="106">
        <f t="shared" si="0"/>
        <v>1790000000</v>
      </c>
    </row>
    <row r="50" spans="1:17" ht="27" customHeight="1">
      <c r="A50" s="296">
        <v>2630</v>
      </c>
      <c r="B50" s="297" t="s">
        <v>306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>
        <f t="shared" si="0"/>
        <v>0</v>
      </c>
    </row>
    <row r="51" spans="1:17" ht="27" customHeight="1">
      <c r="A51" s="169">
        <v>26301</v>
      </c>
      <c r="B51" s="66" t="s">
        <v>316</v>
      </c>
      <c r="C51" s="66"/>
      <c r="D51" s="66"/>
      <c r="E51" s="66"/>
      <c r="F51" s="66"/>
      <c r="G51" s="66"/>
      <c r="H51" s="66"/>
      <c r="I51" s="66"/>
      <c r="J51" s="66">
        <v>350400000</v>
      </c>
      <c r="K51" s="66">
        <v>145236000</v>
      </c>
      <c r="L51" s="66">
        <v>101665200</v>
      </c>
      <c r="M51" s="66">
        <v>101665200</v>
      </c>
      <c r="N51" s="66">
        <v>251665200</v>
      </c>
      <c r="O51" s="66">
        <v>501665200</v>
      </c>
      <c r="P51" s="66">
        <v>1761665200</v>
      </c>
      <c r="Q51" s="66">
        <f t="shared" si="0"/>
        <v>1260000000</v>
      </c>
    </row>
    <row r="52" spans="1:17" ht="27" customHeight="1">
      <c r="A52" s="169"/>
      <c r="B52" s="106" t="s">
        <v>59</v>
      </c>
      <c r="C52" s="66"/>
      <c r="D52" s="66"/>
      <c r="E52" s="66"/>
      <c r="F52" s="66"/>
      <c r="G52" s="66"/>
      <c r="H52" s="66"/>
      <c r="I52" s="66"/>
      <c r="J52" s="106">
        <f>SUM(J51)</f>
        <v>350400000</v>
      </c>
      <c r="K52" s="106">
        <v>145236000</v>
      </c>
      <c r="L52" s="106">
        <f>L51</f>
        <v>101665200</v>
      </c>
      <c r="M52" s="106">
        <f>M51</f>
        <v>101665200</v>
      </c>
      <c r="N52" s="106">
        <f>N51</f>
        <v>251665200</v>
      </c>
      <c r="O52" s="106">
        <f>O51</f>
        <v>501665200</v>
      </c>
      <c r="P52" s="106">
        <f>P51</f>
        <v>1761665200</v>
      </c>
      <c r="Q52" s="106">
        <f t="shared" si="0"/>
        <v>1260000000</v>
      </c>
    </row>
    <row r="53" spans="1:17" ht="27" customHeight="1">
      <c r="A53" s="169"/>
      <c r="B53" s="106" t="s">
        <v>18</v>
      </c>
      <c r="C53" s="66"/>
      <c r="D53" s="66"/>
      <c r="E53" s="66"/>
      <c r="F53" s="66"/>
      <c r="G53" s="66"/>
      <c r="H53" s="66"/>
      <c r="I53" s="66"/>
      <c r="J53" s="66"/>
      <c r="K53" s="106">
        <f>K52+K46+K39+K34+K26+K13</f>
        <v>907223322</v>
      </c>
      <c r="L53" s="106" t="e">
        <f>L52+L46+L39+L34+L26+L13</f>
        <v>#REF!</v>
      </c>
      <c r="M53" s="106" t="e">
        <f>#REF!+M52+M39+M34+M26+M13+M46</f>
        <v>#REF!</v>
      </c>
      <c r="N53" s="106" t="e">
        <f>#REF!+N52+N39+N34+N26+N13+N46</f>
        <v>#REF!</v>
      </c>
      <c r="O53" s="106">
        <f>O13+O26+O34+O39+O46+O49+O52</f>
        <v>8332127845.3999996</v>
      </c>
      <c r="P53" s="106">
        <f>P52+P49+P46+P39+P34+P26+P13</f>
        <v>8490980645.3999996</v>
      </c>
      <c r="Q53" s="106">
        <f>P53-O53</f>
        <v>158852800</v>
      </c>
    </row>
    <row r="54" spans="1:17" ht="27" customHeight="1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7"/>
      <c r="L54" s="277"/>
      <c r="M54" s="277"/>
      <c r="N54" s="277"/>
      <c r="O54" s="277"/>
      <c r="P54" s="277"/>
    </row>
    <row r="61" spans="1:17" ht="27" customHeight="1">
      <c r="B61" s="299"/>
    </row>
  </sheetData>
  <phoneticPr fontId="0" type="noConversion"/>
  <printOptions gridLines="1"/>
  <pageMargins left="0.67" right="0.33" top="0.54" bottom="0.48" header="0.17" footer="0.17"/>
  <pageSetup scale="50" orientation="portrait" r:id="rId1"/>
  <headerFooter alignWithMargins="0">
    <oddHeader>&amp;C&amp;"Algerian,Bold"&amp;36HAY'ADDA SHAQAALAHA DAWLADA</oddHeader>
    <oddFooter>&amp;C&amp;"Algerian,Regular"&amp;18 &amp;R&amp;"Times New Roman,Bold"&amp;14 &amp;18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R52"/>
  <sheetViews>
    <sheetView view="pageBreakPreview" zoomScale="60" workbookViewId="0">
      <selection activeCell="V52" sqref="V52"/>
    </sheetView>
  </sheetViews>
  <sheetFormatPr defaultRowHeight="24.95" customHeight="1"/>
  <cols>
    <col min="1" max="1" width="18.1640625" style="301" bestFit="1" customWidth="1"/>
    <col min="2" max="2" width="86" style="301" customWidth="1"/>
    <col min="3" max="3" width="19" style="301" hidden="1" customWidth="1"/>
    <col min="4" max="4" width="15.83203125" style="301" hidden="1" customWidth="1"/>
    <col min="5" max="5" width="18" style="301" hidden="1" customWidth="1"/>
    <col min="6" max="6" width="2.1640625" style="301" hidden="1" customWidth="1"/>
    <col min="7" max="7" width="18.6640625" style="301" hidden="1" customWidth="1"/>
    <col min="8" max="8" width="0.1640625" style="301" hidden="1" customWidth="1"/>
    <col min="9" max="9" width="28.83203125" style="301" hidden="1" customWidth="1"/>
    <col min="10" max="11" width="14.33203125" style="301" hidden="1" customWidth="1"/>
    <col min="12" max="12" width="25" style="301" hidden="1" customWidth="1"/>
    <col min="13" max="13" width="24.33203125" style="301" hidden="1" customWidth="1"/>
    <col min="14" max="15" width="27.6640625" style="301" hidden="1" customWidth="1"/>
    <col min="16" max="16" width="27.6640625" style="301" bestFit="1" customWidth="1"/>
    <col min="17" max="17" width="27.6640625" style="301" customWidth="1"/>
    <col min="18" max="18" width="27.6640625" style="301" bestFit="1" customWidth="1"/>
    <col min="19" max="16384" width="9.33203125" style="301"/>
  </cols>
  <sheetData>
    <row r="1" spans="1:18" ht="24.95" customHeight="1">
      <c r="A1" s="249" t="s">
        <v>20</v>
      </c>
      <c r="B1" s="130" t="s">
        <v>765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06"/>
      <c r="O1" s="106"/>
      <c r="P1" s="106"/>
      <c r="Q1" s="106"/>
      <c r="R1" s="300"/>
    </row>
    <row r="2" spans="1:18" ht="24.95" customHeight="1">
      <c r="A2" s="249" t="s">
        <v>6</v>
      </c>
      <c r="B2" s="130" t="s">
        <v>7</v>
      </c>
      <c r="C2" s="106" t="s">
        <v>19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41</v>
      </c>
      <c r="I2" s="112" t="s">
        <v>66</v>
      </c>
      <c r="J2" s="112" t="s">
        <v>69</v>
      </c>
      <c r="K2" s="112" t="s">
        <v>96</v>
      </c>
      <c r="L2" s="112" t="s">
        <v>174</v>
      </c>
      <c r="M2" s="112" t="s">
        <v>168</v>
      </c>
      <c r="N2" s="112" t="s">
        <v>535</v>
      </c>
      <c r="O2" s="112" t="s">
        <v>534</v>
      </c>
      <c r="P2" s="112" t="s">
        <v>606</v>
      </c>
      <c r="Q2" s="112" t="s">
        <v>722</v>
      </c>
      <c r="R2" s="112" t="s">
        <v>34</v>
      </c>
    </row>
    <row r="3" spans="1:18" ht="24.95" customHeight="1">
      <c r="A3" s="249">
        <v>210</v>
      </c>
      <c r="B3" s="106" t="s">
        <v>95</v>
      </c>
      <c r="C3" s="66"/>
      <c r="D3" s="66"/>
      <c r="E3" s="66"/>
      <c r="F3" s="66"/>
      <c r="G3" s="66"/>
      <c r="H3" s="128"/>
      <c r="I3" s="128"/>
      <c r="J3" s="128"/>
      <c r="K3" s="128"/>
      <c r="L3" s="128"/>
      <c r="M3" s="128"/>
      <c r="N3" s="66"/>
      <c r="O3" s="66"/>
      <c r="P3" s="66"/>
      <c r="Q3" s="66"/>
      <c r="R3" s="66"/>
    </row>
    <row r="4" spans="1:18" ht="24.95" customHeight="1">
      <c r="A4" s="249">
        <v>2110</v>
      </c>
      <c r="B4" s="106" t="s">
        <v>155</v>
      </c>
      <c r="C4" s="66">
        <v>61545000</v>
      </c>
      <c r="D4" s="66">
        <v>74124000</v>
      </c>
      <c r="E4" s="66">
        <v>64128000</v>
      </c>
      <c r="F4" s="66">
        <v>72660000</v>
      </c>
      <c r="G4" s="66">
        <v>72660000</v>
      </c>
      <c r="H4" s="66">
        <f>72660000+42936000</f>
        <v>115596000</v>
      </c>
      <c r="I4" s="66">
        <f>150274800+4149600+13104000+3198000</f>
        <v>170726400</v>
      </c>
      <c r="J4" s="66">
        <f>170726400+3198000</f>
        <v>173924400</v>
      </c>
      <c r="K4" s="66"/>
      <c r="L4" s="66"/>
      <c r="M4" s="66"/>
      <c r="N4" s="66"/>
      <c r="O4" s="66"/>
      <c r="P4" s="66"/>
      <c r="Q4" s="66"/>
      <c r="R4" s="66"/>
    </row>
    <row r="5" spans="1:18" ht="24.95" customHeight="1">
      <c r="A5" s="169">
        <v>21101</v>
      </c>
      <c r="B5" s="66" t="s">
        <v>9</v>
      </c>
      <c r="C5" s="66">
        <v>1180900</v>
      </c>
      <c r="D5" s="66"/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197527200</v>
      </c>
      <c r="L5" s="66">
        <v>265824000</v>
      </c>
      <c r="M5" s="66" t="e">
        <f>#REF!+10171200+3744000</f>
        <v>#REF!</v>
      </c>
      <c r="N5" s="66">
        <v>410030400</v>
      </c>
      <c r="O5" s="66">
        <v>410030400</v>
      </c>
      <c r="P5" s="66">
        <v>695036160</v>
      </c>
      <c r="Q5" s="66">
        <v>763738560</v>
      </c>
      <c r="R5" s="66">
        <f>Q5-P5</f>
        <v>68702400</v>
      </c>
    </row>
    <row r="6" spans="1:18" ht="24.95" customHeight="1">
      <c r="A6" s="169">
        <v>21102</v>
      </c>
      <c r="B6" s="66" t="s">
        <v>470</v>
      </c>
      <c r="C6" s="66">
        <v>1123486000</v>
      </c>
      <c r="D6" s="66">
        <v>1227036000</v>
      </c>
      <c r="E6" s="66">
        <v>1192428000</v>
      </c>
      <c r="F6" s="66">
        <f>1935276000+1200000</f>
        <v>1936476000</v>
      </c>
      <c r="G6" s="66">
        <f>1936476000+600000000</f>
        <v>2536476000</v>
      </c>
      <c r="H6" s="66">
        <f>2529276000+54000000</f>
        <v>2583276000</v>
      </c>
      <c r="I6" s="66">
        <f>2530476000+4800000</f>
        <v>2535276000</v>
      </c>
      <c r="J6" s="66">
        <f>2535276000+2400000</f>
        <v>2537676000</v>
      </c>
      <c r="K6" s="66">
        <v>0</v>
      </c>
      <c r="L6" s="66">
        <v>11280000</v>
      </c>
      <c r="M6" s="66">
        <v>11280000</v>
      </c>
      <c r="N6" s="66">
        <v>89280000</v>
      </c>
      <c r="O6" s="66">
        <v>89280000</v>
      </c>
      <c r="P6" s="66">
        <v>121680000</v>
      </c>
      <c r="Q6" s="66">
        <v>121680000</v>
      </c>
      <c r="R6" s="66">
        <f t="shared" ref="R6:R52" si="0">Q6-P6</f>
        <v>0</v>
      </c>
    </row>
    <row r="7" spans="1:18" ht="24.95" customHeight="1">
      <c r="A7" s="169">
        <v>21103</v>
      </c>
      <c r="B7" s="66" t="s">
        <v>536</v>
      </c>
      <c r="C7" s="66"/>
      <c r="D7" s="66"/>
      <c r="E7" s="66"/>
      <c r="F7" s="66"/>
      <c r="G7" s="66"/>
      <c r="H7" s="66"/>
      <c r="I7" s="66"/>
      <c r="J7" s="66"/>
      <c r="K7" s="66">
        <v>191772000</v>
      </c>
      <c r="L7" s="66">
        <v>31776000</v>
      </c>
      <c r="M7" s="66">
        <v>31776000</v>
      </c>
      <c r="N7" s="66">
        <v>46176000</v>
      </c>
      <c r="O7" s="66">
        <v>64800000</v>
      </c>
      <c r="P7" s="66">
        <v>126000000</v>
      </c>
      <c r="Q7" s="66">
        <v>126000000</v>
      </c>
      <c r="R7" s="66">
        <f t="shared" si="0"/>
        <v>0</v>
      </c>
    </row>
    <row r="8" spans="1:18" ht="24.95" customHeight="1">
      <c r="A8" s="169">
        <v>21105</v>
      </c>
      <c r="B8" s="66" t="s">
        <v>430</v>
      </c>
      <c r="C8" s="66">
        <v>2500000</v>
      </c>
      <c r="D8" s="66">
        <v>2000000</v>
      </c>
      <c r="E8" s="66">
        <v>2000000</v>
      </c>
      <c r="F8" s="66">
        <v>2000000</v>
      </c>
      <c r="G8" s="66">
        <v>1600000</v>
      </c>
      <c r="H8" s="66">
        <v>41000000</v>
      </c>
      <c r="I8" s="66">
        <v>41000000</v>
      </c>
      <c r="J8" s="66"/>
      <c r="K8" s="66">
        <v>48000000</v>
      </c>
      <c r="L8" s="66">
        <v>337200000</v>
      </c>
      <c r="M8" s="66">
        <v>337200000</v>
      </c>
      <c r="N8" s="66">
        <v>698400000</v>
      </c>
      <c r="O8" s="66">
        <v>698400000</v>
      </c>
      <c r="P8" s="66">
        <v>1142400000</v>
      </c>
      <c r="Q8" s="66">
        <v>1243200000</v>
      </c>
      <c r="R8" s="66">
        <f t="shared" si="0"/>
        <v>100800000</v>
      </c>
    </row>
    <row r="9" spans="1:18" ht="24.95" customHeight="1">
      <c r="A9" s="249">
        <v>2120</v>
      </c>
      <c r="B9" s="106" t="s">
        <v>156</v>
      </c>
      <c r="C9" s="66"/>
      <c r="D9" s="66"/>
      <c r="E9" s="66"/>
      <c r="F9" s="66"/>
      <c r="G9" s="66"/>
      <c r="H9" s="66"/>
      <c r="I9" s="66"/>
      <c r="J9" s="66"/>
      <c r="K9" s="106"/>
      <c r="L9" s="66"/>
      <c r="M9" s="66"/>
      <c r="N9" s="66"/>
      <c r="O9" s="66"/>
      <c r="P9" s="66"/>
      <c r="Q9" s="66"/>
      <c r="R9" s="66">
        <f t="shared" si="0"/>
        <v>0</v>
      </c>
    </row>
    <row r="10" spans="1:18" ht="24.95" customHeight="1">
      <c r="A10" s="169">
        <v>21203</v>
      </c>
      <c r="B10" s="66" t="s">
        <v>158</v>
      </c>
      <c r="C10" s="66">
        <v>18000000</v>
      </c>
      <c r="D10" s="66">
        <f>25000000-2000000</f>
        <v>23000000</v>
      </c>
      <c r="E10" s="66">
        <v>23000000</v>
      </c>
      <c r="F10" s="66">
        <v>23000000</v>
      </c>
      <c r="G10" s="66">
        <v>18400000</v>
      </c>
      <c r="H10" s="66">
        <v>56000000</v>
      </c>
      <c r="I10" s="66">
        <v>100000000</v>
      </c>
      <c r="J10" s="66">
        <v>80000000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f t="shared" si="0"/>
        <v>0</v>
      </c>
    </row>
    <row r="11" spans="1:18" ht="24.95" customHeight="1">
      <c r="A11" s="169"/>
      <c r="B11" s="106" t="s">
        <v>59</v>
      </c>
      <c r="C11" s="66">
        <v>11878000</v>
      </c>
      <c r="D11" s="66">
        <f>2000000+2000000</f>
        <v>4000000</v>
      </c>
      <c r="E11" s="66">
        <v>2000000</v>
      </c>
      <c r="F11" s="66">
        <v>2000000</v>
      </c>
      <c r="G11" s="66">
        <v>1600000</v>
      </c>
      <c r="H11" s="66">
        <v>30000000</v>
      </c>
      <c r="I11" s="66">
        <v>60000000</v>
      </c>
      <c r="J11" s="66">
        <v>50000000</v>
      </c>
      <c r="K11" s="106">
        <f t="shared" ref="K11:P11" si="1">SUM(K5:K10)</f>
        <v>437299200</v>
      </c>
      <c r="L11" s="106">
        <f t="shared" si="1"/>
        <v>646080000</v>
      </c>
      <c r="M11" s="106" t="e">
        <f t="shared" si="1"/>
        <v>#REF!</v>
      </c>
      <c r="N11" s="106">
        <f t="shared" si="1"/>
        <v>1243886400</v>
      </c>
      <c r="O11" s="106">
        <f t="shared" si="1"/>
        <v>1262510400</v>
      </c>
      <c r="P11" s="106">
        <f t="shared" si="1"/>
        <v>2085116160</v>
      </c>
      <c r="Q11" s="106">
        <f>SUM(Q5:Q10)</f>
        <v>2254618560</v>
      </c>
      <c r="R11" s="66">
        <f t="shared" si="0"/>
        <v>169502400</v>
      </c>
    </row>
    <row r="12" spans="1:18" ht="24.95" customHeight="1">
      <c r="A12" s="249">
        <v>220</v>
      </c>
      <c r="B12" s="106" t="s">
        <v>159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200000000</v>
      </c>
      <c r="I12" s="66">
        <v>200000000</v>
      </c>
      <c r="J12" s="66">
        <v>280000000</v>
      </c>
      <c r="K12" s="66"/>
      <c r="L12" s="66"/>
      <c r="M12" s="66"/>
      <c r="N12" s="66"/>
      <c r="O12" s="66"/>
      <c r="P12" s="66"/>
      <c r="Q12" s="66"/>
      <c r="R12" s="66">
        <f t="shared" si="0"/>
        <v>0</v>
      </c>
    </row>
    <row r="13" spans="1:18" ht="24.95" customHeight="1">
      <c r="A13" s="249">
        <v>2210</v>
      </c>
      <c r="B13" s="106" t="s">
        <v>160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>
        <f t="shared" si="0"/>
        <v>0</v>
      </c>
    </row>
    <row r="14" spans="1:18" ht="24.95" customHeight="1">
      <c r="A14" s="169">
        <v>22101</v>
      </c>
      <c r="B14" s="66" t="s">
        <v>14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356850000</v>
      </c>
      <c r="I14" s="66">
        <v>0</v>
      </c>
      <c r="J14" s="66">
        <v>84000000</v>
      </c>
      <c r="K14" s="66">
        <v>13406400</v>
      </c>
      <c r="L14" s="66">
        <v>354239920</v>
      </c>
      <c r="M14" s="66">
        <f>354239920*70%-3744000</f>
        <v>244223943.99999997</v>
      </c>
      <c r="N14" s="66">
        <f>354239920*70%-3744000</f>
        <v>244223943.99999997</v>
      </c>
      <c r="O14" s="66">
        <v>294223944</v>
      </c>
      <c r="P14" s="66">
        <v>294223944</v>
      </c>
      <c r="Q14" s="66">
        <v>294223944</v>
      </c>
      <c r="R14" s="66">
        <f t="shared" si="0"/>
        <v>0</v>
      </c>
    </row>
    <row r="15" spans="1:18" ht="24.95" customHeight="1">
      <c r="A15" s="169">
        <v>22102</v>
      </c>
      <c r="B15" s="66" t="s">
        <v>82</v>
      </c>
      <c r="C15" s="66">
        <v>1500000</v>
      </c>
      <c r="D15" s="66">
        <v>5500000</v>
      </c>
      <c r="E15" s="66">
        <v>500000</v>
      </c>
      <c r="F15" s="66">
        <v>500000</v>
      </c>
      <c r="G15" s="66">
        <v>400000</v>
      </c>
      <c r="H15" s="66">
        <v>12000000</v>
      </c>
      <c r="I15" s="66">
        <v>20000000</v>
      </c>
      <c r="J15" s="66">
        <v>20000000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f t="shared" si="0"/>
        <v>0</v>
      </c>
    </row>
    <row r="16" spans="1:18" ht="24.95" customHeight="1">
      <c r="A16" s="169">
        <v>22103</v>
      </c>
      <c r="B16" s="66" t="s">
        <v>83</v>
      </c>
      <c r="C16" s="66"/>
      <c r="D16" s="66"/>
      <c r="E16" s="66"/>
      <c r="F16" s="66"/>
      <c r="G16" s="66"/>
      <c r="H16" s="66"/>
      <c r="I16" s="66"/>
      <c r="J16" s="66"/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f t="shared" si="0"/>
        <v>0</v>
      </c>
    </row>
    <row r="17" spans="1:18" ht="24.95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/>
      <c r="I17" s="66"/>
      <c r="J17" s="66"/>
      <c r="K17" s="66">
        <v>16000000</v>
      </c>
      <c r="L17" s="66">
        <v>43292000</v>
      </c>
      <c r="M17" s="66">
        <f>43292000*70%</f>
        <v>30304399.999999996</v>
      </c>
      <c r="N17" s="66">
        <f>43292000*70%</f>
        <v>30304399.999999996</v>
      </c>
      <c r="O17" s="66">
        <f>43292000*70%</f>
        <v>30304399.999999996</v>
      </c>
      <c r="P17" s="66">
        <f>43292000*70%</f>
        <v>30304399.999999996</v>
      </c>
      <c r="Q17" s="66">
        <f>43292000*70%</f>
        <v>30304399.999999996</v>
      </c>
      <c r="R17" s="66">
        <f t="shared" si="0"/>
        <v>0</v>
      </c>
    </row>
    <row r="18" spans="1:18" s="282" customFormat="1" ht="24.95" customHeight="1">
      <c r="A18" s="169">
        <v>22105</v>
      </c>
      <c r="B18" s="66" t="s">
        <v>93</v>
      </c>
      <c r="C18" s="66"/>
      <c r="D18" s="66"/>
      <c r="E18" s="66"/>
      <c r="F18" s="66"/>
      <c r="G18" s="66"/>
      <c r="H18" s="66"/>
      <c r="I18" s="66"/>
      <c r="J18" s="66"/>
      <c r="K18" s="66">
        <v>0</v>
      </c>
      <c r="L18" s="66"/>
      <c r="M18" s="66">
        <v>0</v>
      </c>
      <c r="N18" s="66">
        <v>0</v>
      </c>
      <c r="O18" s="66">
        <v>0</v>
      </c>
      <c r="P18" s="66">
        <v>50400000</v>
      </c>
      <c r="Q18" s="66">
        <v>0</v>
      </c>
      <c r="R18" s="66">
        <f t="shared" si="0"/>
        <v>-50400000</v>
      </c>
    </row>
    <row r="19" spans="1:18" ht="24.95" customHeight="1">
      <c r="A19" s="169">
        <v>22106</v>
      </c>
      <c r="B19" s="66" t="s">
        <v>84</v>
      </c>
      <c r="C19" s="66">
        <v>2500000</v>
      </c>
      <c r="D19" s="66">
        <v>2000000</v>
      </c>
      <c r="E19" s="66">
        <v>2000000</v>
      </c>
      <c r="F19" s="66">
        <v>2000000</v>
      </c>
      <c r="G19" s="66">
        <v>1600000</v>
      </c>
      <c r="H19" s="66">
        <v>41000000</v>
      </c>
      <c r="I19" s="66">
        <v>41000000</v>
      </c>
      <c r="J19" s="66">
        <v>31000000</v>
      </c>
      <c r="K19" s="66">
        <v>71417600</v>
      </c>
      <c r="L19" s="66">
        <v>11820400</v>
      </c>
      <c r="M19" s="66">
        <f>11820400*70%</f>
        <v>8274279.9999999991</v>
      </c>
      <c r="N19" s="66">
        <v>0</v>
      </c>
      <c r="O19" s="66">
        <v>0</v>
      </c>
      <c r="P19" s="66">
        <v>0</v>
      </c>
      <c r="Q19" s="66">
        <v>0</v>
      </c>
      <c r="R19" s="66">
        <f t="shared" si="0"/>
        <v>0</v>
      </c>
    </row>
    <row r="20" spans="1:18" ht="24.95" customHeight="1">
      <c r="A20" s="169">
        <v>22107</v>
      </c>
      <c r="B20" s="66" t="s">
        <v>30</v>
      </c>
      <c r="C20" s="66">
        <f t="shared" ref="C20:J20" si="2">SUM(C14:C19)</f>
        <v>4000000</v>
      </c>
      <c r="D20" s="66">
        <f t="shared" si="2"/>
        <v>7500000</v>
      </c>
      <c r="E20" s="66">
        <f t="shared" si="2"/>
        <v>2500000</v>
      </c>
      <c r="F20" s="66">
        <f t="shared" si="2"/>
        <v>2500000</v>
      </c>
      <c r="G20" s="66">
        <f t="shared" si="2"/>
        <v>2000000</v>
      </c>
      <c r="H20" s="66">
        <f t="shared" si="2"/>
        <v>409850000</v>
      </c>
      <c r="I20" s="106">
        <f t="shared" si="2"/>
        <v>61000000</v>
      </c>
      <c r="J20" s="106">
        <f t="shared" si="2"/>
        <v>135000000</v>
      </c>
      <c r="K20" s="6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66">
        <f t="shared" si="0"/>
        <v>0</v>
      </c>
    </row>
    <row r="21" spans="1:18" ht="24.95" customHeight="1">
      <c r="A21" s="169">
        <v>22108</v>
      </c>
      <c r="B21" s="66" t="s">
        <v>60</v>
      </c>
      <c r="C21" s="66"/>
      <c r="D21" s="66"/>
      <c r="E21" s="66"/>
      <c r="F21" s="66"/>
      <c r="G21" s="66"/>
      <c r="H21" s="66"/>
      <c r="I21" s="66"/>
      <c r="J21" s="66"/>
      <c r="K21" s="10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f t="shared" si="0"/>
        <v>0</v>
      </c>
    </row>
    <row r="22" spans="1:18" ht="24.95" customHeight="1">
      <c r="A22" s="169">
        <v>22109</v>
      </c>
      <c r="B22" s="66" t="s">
        <v>94</v>
      </c>
      <c r="C22" s="66">
        <v>23000000</v>
      </c>
      <c r="D22" s="66">
        <v>15000000</v>
      </c>
      <c r="E22" s="66">
        <v>8949700</v>
      </c>
      <c r="F22" s="66">
        <v>8949700</v>
      </c>
      <c r="G22" s="66">
        <v>12000000</v>
      </c>
      <c r="H22" s="66">
        <v>80000000</v>
      </c>
      <c r="I22" s="66">
        <v>80000000</v>
      </c>
      <c r="J22" s="66">
        <v>80000000</v>
      </c>
      <c r="K22" s="66">
        <v>3079200</v>
      </c>
      <c r="L22" s="66">
        <v>16500000</v>
      </c>
      <c r="M22" s="66">
        <f>16500000*70%</f>
        <v>11550000</v>
      </c>
      <c r="N22" s="66">
        <f>16500000*70%</f>
        <v>11550000</v>
      </c>
      <c r="O22" s="66">
        <f>16500000*70%</f>
        <v>11550000</v>
      </c>
      <c r="P22" s="66">
        <f>16500000*70%</f>
        <v>11550000</v>
      </c>
      <c r="Q22" s="66">
        <f>16500000*70%</f>
        <v>11550000</v>
      </c>
      <c r="R22" s="66">
        <f t="shared" si="0"/>
        <v>0</v>
      </c>
    </row>
    <row r="23" spans="1:18" ht="24.95" customHeight="1">
      <c r="A23" s="169">
        <v>22112</v>
      </c>
      <c r="B23" s="66" t="s">
        <v>16</v>
      </c>
      <c r="C23" s="66">
        <v>10061000</v>
      </c>
      <c r="D23" s="66">
        <v>2000000</v>
      </c>
      <c r="E23" s="66">
        <v>0</v>
      </c>
      <c r="F23" s="66">
        <v>0</v>
      </c>
      <c r="G23" s="66">
        <v>0</v>
      </c>
      <c r="H23" s="66">
        <v>30000000</v>
      </c>
      <c r="I23" s="66">
        <v>40000000</v>
      </c>
      <c r="J23" s="66">
        <v>30000000</v>
      </c>
      <c r="K23" s="66">
        <v>10586000</v>
      </c>
      <c r="L23" s="66">
        <v>21000000</v>
      </c>
      <c r="M23" s="66">
        <f>21000000*70%</f>
        <v>14699999.999999998</v>
      </c>
      <c r="N23" s="66">
        <f>21000000*70%</f>
        <v>14699999.999999998</v>
      </c>
      <c r="O23" s="66">
        <f>21000000*70%</f>
        <v>14699999.999999998</v>
      </c>
      <c r="P23" s="66">
        <f>21000000*70%</f>
        <v>14699999.999999998</v>
      </c>
      <c r="Q23" s="66">
        <f>21000000*70%</f>
        <v>14699999.999999998</v>
      </c>
      <c r="R23" s="66">
        <f t="shared" si="0"/>
        <v>0</v>
      </c>
    </row>
    <row r="24" spans="1:18" ht="24.95" customHeight="1">
      <c r="A24" s="169">
        <v>22113</v>
      </c>
      <c r="B24" s="66" t="s">
        <v>170</v>
      </c>
      <c r="C24" s="66"/>
      <c r="D24" s="66"/>
      <c r="E24" s="66"/>
      <c r="F24" s="66"/>
      <c r="G24" s="66"/>
      <c r="H24" s="66"/>
      <c r="I24" s="66"/>
      <c r="J24" s="66"/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f t="shared" si="0"/>
        <v>0</v>
      </c>
    </row>
    <row r="25" spans="1:18" ht="24.95" customHeight="1">
      <c r="A25" s="169">
        <v>22128</v>
      </c>
      <c r="B25" s="66" t="s">
        <v>663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>
        <v>100000000</v>
      </c>
      <c r="Q25" s="66">
        <v>100000000</v>
      </c>
      <c r="R25" s="66">
        <f t="shared" si="0"/>
        <v>0</v>
      </c>
    </row>
    <row r="26" spans="1:18" ht="24.95" customHeight="1">
      <c r="A26" s="169">
        <v>22132</v>
      </c>
      <c r="B26" s="66" t="s">
        <v>144</v>
      </c>
      <c r="C26" s="66">
        <v>3000000</v>
      </c>
      <c r="D26" s="66">
        <v>1500000</v>
      </c>
      <c r="E26" s="66">
        <v>0</v>
      </c>
      <c r="F26" s="66">
        <v>0</v>
      </c>
      <c r="G26" s="66">
        <v>0</v>
      </c>
      <c r="H26" s="66">
        <v>15000000</v>
      </c>
      <c r="I26" s="66">
        <v>20000000</v>
      </c>
      <c r="J26" s="66">
        <v>20000000</v>
      </c>
      <c r="K26" s="66">
        <v>120000000</v>
      </c>
      <c r="L26" s="66">
        <v>53267680</v>
      </c>
      <c r="M26" s="66">
        <f>53267680*70%</f>
        <v>37287376</v>
      </c>
      <c r="N26" s="66">
        <v>0</v>
      </c>
      <c r="O26" s="66">
        <v>0</v>
      </c>
      <c r="P26" s="66">
        <v>0</v>
      </c>
      <c r="Q26" s="66">
        <v>0</v>
      </c>
      <c r="R26" s="66">
        <f t="shared" si="0"/>
        <v>0</v>
      </c>
    </row>
    <row r="27" spans="1:18" ht="24.95" customHeight="1">
      <c r="A27" s="169">
        <v>22141</v>
      </c>
      <c r="B27" s="66" t="s">
        <v>423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>
        <v>60000000</v>
      </c>
      <c r="Q27" s="66">
        <v>0</v>
      </c>
      <c r="R27" s="66">
        <f t="shared" si="0"/>
        <v>-60000000</v>
      </c>
    </row>
    <row r="28" spans="1:18" ht="24.95" customHeight="1">
      <c r="A28" s="169"/>
      <c r="B28" s="106" t="s">
        <v>59</v>
      </c>
      <c r="C28" s="66">
        <v>0</v>
      </c>
      <c r="D28" s="66">
        <v>0</v>
      </c>
      <c r="E28" s="66">
        <v>0</v>
      </c>
      <c r="F28" s="66">
        <v>0</v>
      </c>
      <c r="G28" s="66">
        <v>16000000</v>
      </c>
      <c r="H28" s="66">
        <v>360113000</v>
      </c>
      <c r="I28" s="66">
        <v>208212162</v>
      </c>
      <c r="J28" s="66">
        <v>330000000</v>
      </c>
      <c r="K28" s="106">
        <f>SUM(K14:K26)</f>
        <v>234489200</v>
      </c>
      <c r="L28" s="106">
        <f>SUM(L14:L26)</f>
        <v>500120000</v>
      </c>
      <c r="M28" s="106">
        <f>SUM(M14:M26)</f>
        <v>346339999.99999994</v>
      </c>
      <c r="N28" s="106">
        <f>SUM(N14:N26)</f>
        <v>300778343.99999994</v>
      </c>
      <c r="O28" s="106">
        <f>SUM(O14:O26)</f>
        <v>350778344</v>
      </c>
      <c r="P28" s="106">
        <f>SUM(P14:P27)</f>
        <v>561178344</v>
      </c>
      <c r="Q28" s="106">
        <f>SUM(Q14:Q27)</f>
        <v>450778344</v>
      </c>
      <c r="R28" s="66">
        <f t="shared" si="0"/>
        <v>-110400000</v>
      </c>
    </row>
    <row r="29" spans="1:18" ht="24.95" customHeight="1">
      <c r="A29" s="249">
        <v>2220</v>
      </c>
      <c r="B29" s="106" t="s">
        <v>161</v>
      </c>
      <c r="C29" s="66"/>
      <c r="D29" s="66"/>
      <c r="E29" s="66"/>
      <c r="F29" s="66"/>
      <c r="G29" s="66"/>
      <c r="H29" s="66"/>
      <c r="I29" s="66">
        <v>0</v>
      </c>
      <c r="J29" s="66">
        <v>35000000</v>
      </c>
      <c r="K29" s="106"/>
      <c r="L29" s="66"/>
      <c r="M29" s="66"/>
      <c r="N29" s="66"/>
      <c r="O29" s="66"/>
      <c r="P29" s="66"/>
      <c r="Q29" s="66"/>
      <c r="R29" s="66">
        <f t="shared" si="0"/>
        <v>0</v>
      </c>
    </row>
    <row r="30" spans="1:18" ht="24.95" customHeight="1">
      <c r="A30" s="169">
        <v>22201</v>
      </c>
      <c r="B30" s="66" t="s">
        <v>90</v>
      </c>
      <c r="C30" s="106" t="e">
        <f>#REF!+#REF!+#REF!+#REF!+#REF!</f>
        <v>#REF!</v>
      </c>
      <c r="D30" s="106" t="e">
        <f>#REF!+#REF!+#REF!+#REF!+#REF!</f>
        <v>#REF!</v>
      </c>
      <c r="E30" s="106" t="e">
        <f>#REF!+#REF!+#REF!+#REF!+#REF!</f>
        <v>#REF!</v>
      </c>
      <c r="F30" s="106" t="e">
        <f>#REF!+#REF!+#REF!+#REF!+#REF!</f>
        <v>#REF!</v>
      </c>
      <c r="G30" s="106" t="e">
        <f>#REF!+#REF!+#REF!+#REF!+#REF!</f>
        <v>#REF!</v>
      </c>
      <c r="H30" s="106" t="e">
        <f>#REF!+#REF!+#REF!+#REF!+#REF!</f>
        <v>#REF!</v>
      </c>
      <c r="I30" s="106" t="e">
        <f>#REF!+#REF!+#REF!+#REF!+#REF!</f>
        <v>#REF!</v>
      </c>
      <c r="J30" s="106" t="e">
        <f>#REF!+#REF!+#REF!+#REF!+#REF!</f>
        <v>#REF!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f t="shared" si="0"/>
        <v>0</v>
      </c>
    </row>
    <row r="31" spans="1:18" s="282" customFormat="1" ht="24.95" customHeight="1">
      <c r="A31" s="169">
        <v>22202</v>
      </c>
      <c r="B31" s="66" t="s">
        <v>91</v>
      </c>
      <c r="C31" s="118"/>
      <c r="D31" s="118"/>
      <c r="E31" s="118"/>
      <c r="F31" s="100">
        <v>0</v>
      </c>
      <c r="G31" s="100" t="s">
        <v>4</v>
      </c>
      <c r="H31" s="100"/>
      <c r="I31" s="100"/>
      <c r="J31" s="100"/>
      <c r="K31" s="66">
        <v>69000000</v>
      </c>
      <c r="L31" s="66">
        <v>336960000</v>
      </c>
      <c r="M31" s="66">
        <f>336960000*70%</f>
        <v>235871999.99999997</v>
      </c>
      <c r="N31" s="66">
        <f>M31*80%</f>
        <v>188697600</v>
      </c>
      <c r="O31" s="66">
        <v>188697600</v>
      </c>
      <c r="P31" s="66">
        <v>188697600</v>
      </c>
      <c r="Q31" s="66">
        <v>188697600</v>
      </c>
      <c r="R31" s="66">
        <f t="shared" si="0"/>
        <v>0</v>
      </c>
    </row>
    <row r="32" spans="1:18" s="282" customFormat="1" ht="24.95" customHeight="1">
      <c r="A32" s="169">
        <v>22203</v>
      </c>
      <c r="B32" s="66" t="s">
        <v>85</v>
      </c>
      <c r="C32" s="118"/>
      <c r="D32" s="118"/>
      <c r="E32" s="118"/>
      <c r="F32" s="100"/>
      <c r="G32" s="100"/>
      <c r="H32" s="100"/>
      <c r="I32" s="100"/>
      <c r="J32" s="100"/>
      <c r="K32" s="66">
        <v>14151200</v>
      </c>
      <c r="L32" s="66">
        <v>50516000</v>
      </c>
      <c r="M32" s="66">
        <f>50516000*70%</f>
        <v>35361200</v>
      </c>
      <c r="N32" s="66">
        <f>50516000*70%</f>
        <v>35361200</v>
      </c>
      <c r="O32" s="66">
        <f>50516000*70%</f>
        <v>35361200</v>
      </c>
      <c r="P32" s="66">
        <f>50516000*70%</f>
        <v>35361200</v>
      </c>
      <c r="Q32" s="66">
        <f>50516000*70%</f>
        <v>35361200</v>
      </c>
      <c r="R32" s="66">
        <f t="shared" si="0"/>
        <v>0</v>
      </c>
    </row>
    <row r="33" spans="1:18" ht="24.95" customHeight="1">
      <c r="A33" s="169">
        <v>22204</v>
      </c>
      <c r="B33" s="66" t="s">
        <v>86</v>
      </c>
      <c r="C33" s="66"/>
      <c r="D33" s="66"/>
      <c r="E33" s="66"/>
      <c r="F33" s="66"/>
      <c r="G33" s="66"/>
      <c r="H33" s="66"/>
      <c r="I33" s="66"/>
      <c r="J33" s="66"/>
      <c r="K33" s="100">
        <v>1489600</v>
      </c>
      <c r="L33" s="66">
        <v>22661600</v>
      </c>
      <c r="M33" s="66">
        <f>22661600*70%</f>
        <v>15863119.999999998</v>
      </c>
      <c r="N33" s="66">
        <f>22661600*70%</f>
        <v>15863119.999999998</v>
      </c>
      <c r="O33" s="66">
        <f>22661600*70%</f>
        <v>15863119.999999998</v>
      </c>
      <c r="P33" s="66">
        <f>22661600*70%</f>
        <v>15863119.999999998</v>
      </c>
      <c r="Q33" s="66">
        <f>22661600*70%</f>
        <v>15863119.999999998</v>
      </c>
      <c r="R33" s="66">
        <f t="shared" si="0"/>
        <v>0</v>
      </c>
    </row>
    <row r="34" spans="1:18" ht="24.95" customHeight="1">
      <c r="A34" s="169">
        <v>22205</v>
      </c>
      <c r="B34" s="66" t="s">
        <v>92</v>
      </c>
      <c r="C34" s="66">
        <v>4000000</v>
      </c>
      <c r="D34" s="66">
        <v>2000000</v>
      </c>
      <c r="E34" s="66">
        <v>0</v>
      </c>
      <c r="F34" s="66">
        <v>0</v>
      </c>
      <c r="G34" s="66">
        <v>0</v>
      </c>
      <c r="H34" s="66">
        <v>200000000</v>
      </c>
      <c r="I34" s="66">
        <v>200000000</v>
      </c>
      <c r="J34" s="66">
        <v>200000000</v>
      </c>
      <c r="K34" s="105"/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f t="shared" si="0"/>
        <v>0</v>
      </c>
    </row>
    <row r="35" spans="1:18" ht="24.95" customHeight="1">
      <c r="A35" s="169">
        <v>22209</v>
      </c>
      <c r="B35" s="66" t="s">
        <v>145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150000000</v>
      </c>
      <c r="I35" s="66">
        <v>150000000</v>
      </c>
      <c r="J35" s="66">
        <v>150000000</v>
      </c>
      <c r="K35" s="66"/>
      <c r="L35" s="66">
        <v>8500000</v>
      </c>
      <c r="M35" s="66">
        <f>8500000*70%</f>
        <v>5950000</v>
      </c>
      <c r="N35" s="66">
        <v>0</v>
      </c>
      <c r="O35" s="66">
        <v>0</v>
      </c>
      <c r="P35" s="66">
        <v>0</v>
      </c>
      <c r="Q35" s="66">
        <v>0</v>
      </c>
      <c r="R35" s="66">
        <f t="shared" si="0"/>
        <v>0</v>
      </c>
    </row>
    <row r="36" spans="1:18" ht="24.95" customHeight="1">
      <c r="A36" s="169"/>
      <c r="B36" s="106" t="s">
        <v>59</v>
      </c>
      <c r="C36" s="66">
        <v>10089000</v>
      </c>
      <c r="D36" s="66">
        <v>10004000</v>
      </c>
      <c r="E36" s="66">
        <v>20004000</v>
      </c>
      <c r="F36" s="66">
        <v>20004000</v>
      </c>
      <c r="G36" s="66">
        <v>40003200</v>
      </c>
      <c r="H36" s="66">
        <v>100000000</v>
      </c>
      <c r="I36" s="66">
        <v>100000000</v>
      </c>
      <c r="J36" s="66">
        <v>100000000</v>
      </c>
      <c r="K36" s="106">
        <f t="shared" ref="K36:P36" si="3">SUM(K30:K35)</f>
        <v>84640800</v>
      </c>
      <c r="L36" s="106">
        <f t="shared" si="3"/>
        <v>418637600</v>
      </c>
      <c r="M36" s="106">
        <f t="shared" si="3"/>
        <v>293046320</v>
      </c>
      <c r="N36" s="106">
        <f t="shared" si="3"/>
        <v>239921920</v>
      </c>
      <c r="O36" s="106">
        <f t="shared" si="3"/>
        <v>239921920</v>
      </c>
      <c r="P36" s="106">
        <f t="shared" si="3"/>
        <v>239921920</v>
      </c>
      <c r="Q36" s="106">
        <f>SUM(Q30:Q35)</f>
        <v>239921920</v>
      </c>
      <c r="R36" s="66">
        <f t="shared" si="0"/>
        <v>0</v>
      </c>
    </row>
    <row r="37" spans="1:18" ht="24.95" customHeight="1">
      <c r="A37" s="249">
        <v>2230</v>
      </c>
      <c r="B37" s="106" t="s">
        <v>88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616200000</v>
      </c>
      <c r="I37" s="66">
        <v>616200000</v>
      </c>
      <c r="J37" s="66">
        <v>616200000</v>
      </c>
      <c r="K37" s="66"/>
      <c r="L37" s="66"/>
      <c r="M37" s="66"/>
      <c r="N37" s="66"/>
      <c r="O37" s="66"/>
      <c r="P37" s="66"/>
      <c r="Q37" s="66"/>
      <c r="R37" s="66">
        <f t="shared" si="0"/>
        <v>0</v>
      </c>
    </row>
    <row r="38" spans="1:18" ht="24.95" customHeight="1">
      <c r="A38" s="169">
        <v>22301</v>
      </c>
      <c r="B38" s="66" t="s">
        <v>31</v>
      </c>
      <c r="C38" s="66">
        <v>13333000</v>
      </c>
      <c r="D38" s="66">
        <v>5000000</v>
      </c>
      <c r="E38" s="66">
        <v>0</v>
      </c>
      <c r="F38" s="66">
        <v>0</v>
      </c>
      <c r="G38" s="66">
        <v>0</v>
      </c>
      <c r="H38" s="66">
        <v>100000000</v>
      </c>
      <c r="I38" s="66">
        <v>70000000</v>
      </c>
      <c r="J38" s="66">
        <v>70000000</v>
      </c>
      <c r="K38" s="66">
        <v>4000000</v>
      </c>
      <c r="L38" s="66">
        <v>65115200</v>
      </c>
      <c r="M38" s="66">
        <f>65115200*70%</f>
        <v>45580640</v>
      </c>
      <c r="N38" s="66">
        <f>65115200*70%</f>
        <v>45580640</v>
      </c>
      <c r="O38" s="66">
        <f>65115200*70%</f>
        <v>45580640</v>
      </c>
      <c r="P38" s="66">
        <f>65115200*70%</f>
        <v>45580640</v>
      </c>
      <c r="Q38" s="66">
        <f>65115200*70%</f>
        <v>45580640</v>
      </c>
      <c r="R38" s="66">
        <f t="shared" si="0"/>
        <v>0</v>
      </c>
    </row>
    <row r="39" spans="1:18" ht="24.95" customHeight="1">
      <c r="A39" s="169">
        <v>22302</v>
      </c>
      <c r="B39" s="66" t="s">
        <v>162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1558122</v>
      </c>
      <c r="L39" s="66">
        <v>1489600</v>
      </c>
      <c r="M39" s="66">
        <f>1489600*70%</f>
        <v>1042719.9999999999</v>
      </c>
      <c r="N39" s="66">
        <f>1489600*70%</f>
        <v>1042719.9999999999</v>
      </c>
      <c r="O39" s="66">
        <f>1489600*70%</f>
        <v>1042719.9999999999</v>
      </c>
      <c r="P39" s="66">
        <f>1489600*70%</f>
        <v>1042719.9999999999</v>
      </c>
      <c r="Q39" s="66">
        <f>1489600*70%</f>
        <v>1042719.9999999999</v>
      </c>
      <c r="R39" s="66">
        <f t="shared" si="0"/>
        <v>0</v>
      </c>
    </row>
    <row r="40" spans="1:18" ht="24.95" customHeight="1">
      <c r="A40" s="169">
        <v>22303</v>
      </c>
      <c r="B40" s="66" t="s">
        <v>163</v>
      </c>
      <c r="C40" s="106">
        <f t="shared" ref="C40:J40" si="4">SUM(C38:C39)</f>
        <v>13333000</v>
      </c>
      <c r="D40" s="106">
        <f t="shared" si="4"/>
        <v>5000000</v>
      </c>
      <c r="E40" s="106">
        <f t="shared" si="4"/>
        <v>0</v>
      </c>
      <c r="F40" s="106">
        <f t="shared" si="4"/>
        <v>0</v>
      </c>
      <c r="G40" s="106">
        <f t="shared" si="4"/>
        <v>0</v>
      </c>
      <c r="H40" s="106">
        <f t="shared" si="4"/>
        <v>100000000</v>
      </c>
      <c r="I40" s="106">
        <f t="shared" si="4"/>
        <v>70000000</v>
      </c>
      <c r="J40" s="106">
        <f t="shared" si="4"/>
        <v>70000000</v>
      </c>
      <c r="K40" s="66"/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f t="shared" si="0"/>
        <v>0</v>
      </c>
    </row>
    <row r="41" spans="1:18" ht="24.95" customHeight="1">
      <c r="A41" s="169"/>
      <c r="B41" s="106" t="s">
        <v>59</v>
      </c>
      <c r="C41" s="106" t="e">
        <f>C40+#REF!+C33+C20+#REF!</f>
        <v>#REF!</v>
      </c>
      <c r="D41" s="106" t="e">
        <f>D40+#REF!+D33+D20+#REF!</f>
        <v>#REF!</v>
      </c>
      <c r="E41" s="106" t="e">
        <f>E40+#REF!+E33+E20+#REF!</f>
        <v>#REF!</v>
      </c>
      <c r="F41" s="106" t="e">
        <f>F40+#REF!+F33+F20+#REF!</f>
        <v>#REF!</v>
      </c>
      <c r="G41" s="106" t="e">
        <f>G40+#REF!+G20+G33+#REF!</f>
        <v>#REF!</v>
      </c>
      <c r="H41" s="106" t="e">
        <f>H40+#REF!+H33+H20+#REF!</f>
        <v>#REF!</v>
      </c>
      <c r="I41" s="106" t="e">
        <f>I40+#REF!+I33+I20+#REF!</f>
        <v>#REF!</v>
      </c>
      <c r="J41" s="106" t="e">
        <f>SUM(#REF!+J20+J33+J40)</f>
        <v>#REF!</v>
      </c>
      <c r="K41" s="106">
        <f t="shared" ref="K41:P41" si="5">SUM(K38:K40)</f>
        <v>5558122</v>
      </c>
      <c r="L41" s="106">
        <f t="shared" si="5"/>
        <v>66604800</v>
      </c>
      <c r="M41" s="106">
        <f t="shared" si="5"/>
        <v>46623360</v>
      </c>
      <c r="N41" s="106">
        <f t="shared" si="5"/>
        <v>46623360</v>
      </c>
      <c r="O41" s="106">
        <f t="shared" si="5"/>
        <v>46623360</v>
      </c>
      <c r="P41" s="106">
        <f t="shared" si="5"/>
        <v>46623360</v>
      </c>
      <c r="Q41" s="106">
        <f>SUM(Q38:Q40)</f>
        <v>46623360</v>
      </c>
      <c r="R41" s="66">
        <f t="shared" si="0"/>
        <v>0</v>
      </c>
    </row>
    <row r="42" spans="1:18" ht="24.95" customHeight="1">
      <c r="A42" s="249">
        <v>230</v>
      </c>
      <c r="B42" s="106" t="s">
        <v>165</v>
      </c>
      <c r="C42" s="66"/>
      <c r="D42" s="66"/>
      <c r="E42" s="66"/>
      <c r="F42" s="66"/>
      <c r="G42" s="66"/>
      <c r="H42" s="66"/>
      <c r="I42" s="66"/>
      <c r="J42" s="66"/>
      <c r="K42" s="106"/>
      <c r="L42" s="66"/>
      <c r="M42" s="66"/>
      <c r="N42" s="66"/>
      <c r="O42" s="66"/>
      <c r="P42" s="66"/>
      <c r="Q42" s="66"/>
      <c r="R42" s="66">
        <f t="shared" si="0"/>
        <v>0</v>
      </c>
    </row>
    <row r="43" spans="1:18" ht="24.95" customHeight="1">
      <c r="A43" s="249">
        <v>2310</v>
      </c>
      <c r="B43" s="106" t="s">
        <v>164</v>
      </c>
      <c r="C43" s="66"/>
      <c r="D43" s="66"/>
      <c r="E43" s="66"/>
      <c r="F43" s="66"/>
      <c r="G43" s="66"/>
      <c r="H43" s="66"/>
      <c r="I43" s="66"/>
      <c r="J43" s="66"/>
      <c r="K43" s="106"/>
      <c r="L43" s="66"/>
      <c r="M43" s="66"/>
      <c r="N43" s="66"/>
      <c r="O43" s="66"/>
      <c r="P43" s="66"/>
      <c r="Q43" s="66"/>
      <c r="R43" s="66">
        <f t="shared" si="0"/>
        <v>0</v>
      </c>
    </row>
    <row r="44" spans="1:18" ht="24.95" customHeight="1">
      <c r="A44" s="169">
        <v>23101</v>
      </c>
      <c r="B44" s="66" t="s">
        <v>172</v>
      </c>
      <c r="C44" s="66"/>
      <c r="D44" s="66"/>
      <c r="E44" s="66"/>
      <c r="F44" s="66"/>
      <c r="G44" s="66"/>
      <c r="H44" s="66"/>
      <c r="I44" s="66"/>
      <c r="J44" s="66"/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300000000</v>
      </c>
      <c r="R44" s="66">
        <f t="shared" si="0"/>
        <v>300000000</v>
      </c>
    </row>
    <row r="45" spans="1:18" ht="24.95" customHeight="1">
      <c r="A45" s="169">
        <v>23102</v>
      </c>
      <c r="B45" s="66" t="s">
        <v>173</v>
      </c>
      <c r="C45" s="66"/>
      <c r="D45" s="66"/>
      <c r="E45" s="66"/>
      <c r="F45" s="66"/>
      <c r="G45" s="66"/>
      <c r="H45" s="66"/>
      <c r="I45" s="66"/>
      <c r="J45" s="66"/>
      <c r="K45" s="106">
        <v>0</v>
      </c>
      <c r="L45" s="66">
        <v>120000000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f t="shared" si="0"/>
        <v>0</v>
      </c>
    </row>
    <row r="46" spans="1:18" ht="24.95" customHeight="1">
      <c r="A46" s="169">
        <v>23103</v>
      </c>
      <c r="B46" s="66" t="s">
        <v>106</v>
      </c>
      <c r="C46" s="66"/>
      <c r="D46" s="66"/>
      <c r="E46" s="66"/>
      <c r="F46" s="66"/>
      <c r="G46" s="66"/>
      <c r="H46" s="66"/>
      <c r="I46" s="66"/>
      <c r="J46" s="66"/>
      <c r="K46" s="66">
        <v>0</v>
      </c>
      <c r="L46" s="66">
        <v>5000000</v>
      </c>
      <c r="M46" s="66">
        <f>5000000*70%</f>
        <v>3500000</v>
      </c>
      <c r="N46" s="66">
        <v>0</v>
      </c>
      <c r="O46" s="66">
        <v>0</v>
      </c>
      <c r="P46" s="66">
        <v>0</v>
      </c>
      <c r="Q46" s="66">
        <v>0</v>
      </c>
      <c r="R46" s="66">
        <f t="shared" si="0"/>
        <v>0</v>
      </c>
    </row>
    <row r="47" spans="1:18" ht="24.95" customHeight="1">
      <c r="A47" s="169">
        <v>23104</v>
      </c>
      <c r="B47" s="66" t="s">
        <v>107</v>
      </c>
      <c r="C47" s="66"/>
      <c r="D47" s="66"/>
      <c r="E47" s="66"/>
      <c r="F47" s="66"/>
      <c r="G47" s="66"/>
      <c r="H47" s="66"/>
      <c r="I47" s="66"/>
      <c r="J47" s="66"/>
      <c r="K47" s="66">
        <v>0</v>
      </c>
      <c r="L47" s="66">
        <v>2524000</v>
      </c>
      <c r="M47" s="66">
        <f>2524000*70%</f>
        <v>1766800</v>
      </c>
      <c r="N47" s="66">
        <v>0</v>
      </c>
      <c r="O47" s="66">
        <v>0</v>
      </c>
      <c r="P47" s="66">
        <v>0</v>
      </c>
      <c r="Q47" s="66">
        <v>0</v>
      </c>
      <c r="R47" s="66">
        <f t="shared" si="0"/>
        <v>0</v>
      </c>
    </row>
    <row r="48" spans="1:18" ht="24.95" customHeight="1">
      <c r="A48" s="169"/>
      <c r="B48" s="106" t="s">
        <v>59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106">
        <f>SUM(Q44:Q47)</f>
        <v>300000000</v>
      </c>
      <c r="R48" s="66"/>
    </row>
    <row r="49" spans="1:18" ht="24.95" customHeight="1">
      <c r="A49" s="249">
        <v>2320</v>
      </c>
      <c r="B49" s="106" t="s">
        <v>616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>
        <f t="shared" si="0"/>
        <v>0</v>
      </c>
    </row>
    <row r="50" spans="1:18" ht="24.95" customHeight="1">
      <c r="A50" s="169">
        <v>23201</v>
      </c>
      <c r="B50" s="66" t="s">
        <v>617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>
        <v>0</v>
      </c>
      <c r="P50" s="66">
        <v>1400000000</v>
      </c>
      <c r="Q50" s="66">
        <v>702000000</v>
      </c>
      <c r="R50" s="66">
        <f t="shared" si="0"/>
        <v>-698000000</v>
      </c>
    </row>
    <row r="51" spans="1:18" ht="24.95" customHeight="1">
      <c r="A51" s="169"/>
      <c r="B51" s="106" t="s">
        <v>59</v>
      </c>
      <c r="C51" s="66"/>
      <c r="D51" s="66"/>
      <c r="E51" s="66"/>
      <c r="F51" s="66"/>
      <c r="G51" s="66"/>
      <c r="H51" s="66"/>
      <c r="I51" s="66"/>
      <c r="J51" s="66"/>
      <c r="K51" s="106">
        <f>SUM(K44:K47)</f>
        <v>0</v>
      </c>
      <c r="L51" s="106">
        <f>SUM(L44:L47)</f>
        <v>127524000</v>
      </c>
      <c r="M51" s="106">
        <f>SUM(M44:M47)</f>
        <v>5266800</v>
      </c>
      <c r="N51" s="106">
        <f>SUM(N44:N47)</f>
        <v>0</v>
      </c>
      <c r="O51" s="106">
        <f>SUM(O44:O47)</f>
        <v>0</v>
      </c>
      <c r="P51" s="106">
        <f>SUM(P50)</f>
        <v>1400000000</v>
      </c>
      <c r="Q51" s="106">
        <f>SUM(Q50)</f>
        <v>702000000</v>
      </c>
      <c r="R51" s="106">
        <f t="shared" si="0"/>
        <v>-698000000</v>
      </c>
    </row>
    <row r="52" spans="1:18" ht="24.95" customHeight="1">
      <c r="A52" s="169"/>
      <c r="B52" s="106" t="s">
        <v>18</v>
      </c>
      <c r="C52" s="66"/>
      <c r="D52" s="66"/>
      <c r="E52" s="66"/>
      <c r="F52" s="66"/>
      <c r="G52" s="66"/>
      <c r="H52" s="66"/>
      <c r="I52" s="66"/>
      <c r="J52" s="66"/>
      <c r="K52" s="106">
        <f t="shared" ref="K52:P52" si="6">K11+K28+K36+K41+K51</f>
        <v>761987322</v>
      </c>
      <c r="L52" s="106">
        <f t="shared" si="6"/>
        <v>1758966400</v>
      </c>
      <c r="M52" s="106" t="e">
        <f t="shared" si="6"/>
        <v>#REF!</v>
      </c>
      <c r="N52" s="106">
        <f t="shared" si="6"/>
        <v>1831210024</v>
      </c>
      <c r="O52" s="106">
        <f t="shared" si="6"/>
        <v>1899834024</v>
      </c>
      <c r="P52" s="106">
        <f t="shared" si="6"/>
        <v>4332839784</v>
      </c>
      <c r="Q52" s="106">
        <f>Q51+Q48+Q41+Q36+Q28+Q11</f>
        <v>3993942184</v>
      </c>
      <c r="R52" s="106">
        <f t="shared" si="0"/>
        <v>-338897600</v>
      </c>
    </row>
  </sheetData>
  <phoneticPr fontId="0" type="noConversion"/>
  <printOptions gridLines="1"/>
  <pageMargins left="0.79" right="0.25" top="0.72" bottom="0.3" header="0.24" footer="0.17"/>
  <pageSetup scale="55" orientation="portrait" r:id="rId1"/>
  <headerFooter alignWithMargins="0">
    <oddHeader>&amp;C&amp;"Algerian,Bold"&amp;36Hanti-dhawrka Guud ee Qaranka</oddHeader>
    <oddFooter>&amp;R&amp;"Times New Roman,Bold"&amp;14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8"/>
  </sheetPr>
  <dimension ref="A1:P54"/>
  <sheetViews>
    <sheetView view="pageBreakPreview" zoomScale="60" workbookViewId="0">
      <selection activeCell="O55" sqref="O55"/>
    </sheetView>
  </sheetViews>
  <sheetFormatPr defaultRowHeight="25.5" customHeight="1"/>
  <cols>
    <col min="1" max="1" width="19.83203125" style="307" bestFit="1" customWidth="1"/>
    <col min="2" max="2" width="94.5" style="308" customWidth="1"/>
    <col min="3" max="3" width="18.6640625" style="308" hidden="1" customWidth="1"/>
    <col min="4" max="4" width="0.83203125" style="308" hidden="1" customWidth="1"/>
    <col min="5" max="5" width="7.83203125" style="308" hidden="1" customWidth="1"/>
    <col min="6" max="6" width="0.1640625" style="308" hidden="1" customWidth="1"/>
    <col min="7" max="7" width="22.6640625" style="308" hidden="1" customWidth="1"/>
    <col min="8" max="8" width="23" style="308" hidden="1" customWidth="1"/>
    <col min="9" max="9" width="0.33203125" style="308" hidden="1" customWidth="1"/>
    <col min="10" max="10" width="24.6640625" style="304" hidden="1" customWidth="1"/>
    <col min="11" max="11" width="29.83203125" style="304" hidden="1" customWidth="1"/>
    <col min="12" max="13" width="0.1640625" style="304" customWidth="1"/>
    <col min="14" max="14" width="29.83203125" style="304" bestFit="1" customWidth="1"/>
    <col min="15" max="15" width="29.83203125" style="304" customWidth="1"/>
    <col min="16" max="16" width="30.5" style="304" customWidth="1"/>
    <col min="17" max="16384" width="9.33203125" style="304"/>
  </cols>
  <sheetData>
    <row r="1" spans="1:16" ht="25.5" customHeight="1">
      <c r="A1" s="302" t="s">
        <v>20</v>
      </c>
      <c r="B1" s="250" t="s">
        <v>766</v>
      </c>
      <c r="C1" s="66"/>
      <c r="D1" s="66"/>
      <c r="E1" s="66"/>
      <c r="F1" s="66"/>
      <c r="G1" s="66"/>
      <c r="H1" s="66"/>
      <c r="I1" s="66"/>
      <c r="J1" s="66"/>
      <c r="K1" s="66"/>
      <c r="L1" s="106"/>
      <c r="M1" s="106"/>
      <c r="N1" s="106"/>
      <c r="O1" s="106"/>
      <c r="P1" s="303"/>
    </row>
    <row r="2" spans="1:16" s="305" customFormat="1" ht="25.5" customHeight="1">
      <c r="A2" s="249">
        <v>210</v>
      </c>
      <c r="B2" s="106" t="s">
        <v>95</v>
      </c>
      <c r="C2" s="66"/>
      <c r="D2" s="66"/>
      <c r="E2" s="66"/>
      <c r="F2" s="66"/>
      <c r="G2" s="66"/>
      <c r="H2" s="128"/>
      <c r="I2" s="128"/>
      <c r="J2" s="128" t="s">
        <v>110</v>
      </c>
      <c r="K2" s="128" t="s">
        <v>166</v>
      </c>
      <c r="L2" s="106" t="s">
        <v>318</v>
      </c>
      <c r="M2" s="106" t="s">
        <v>530</v>
      </c>
      <c r="N2" s="106" t="s">
        <v>605</v>
      </c>
      <c r="O2" s="106" t="s">
        <v>721</v>
      </c>
      <c r="P2" s="112" t="s">
        <v>34</v>
      </c>
    </row>
    <row r="3" spans="1:16" ht="25.5" customHeight="1">
      <c r="A3" s="249">
        <v>2110</v>
      </c>
      <c r="B3" s="106" t="s">
        <v>155</v>
      </c>
      <c r="C3" s="66">
        <v>61545000</v>
      </c>
      <c r="D3" s="66">
        <v>74124000</v>
      </c>
      <c r="E3" s="66">
        <v>64128000</v>
      </c>
      <c r="F3" s="66">
        <v>72660000</v>
      </c>
      <c r="G3" s="66">
        <v>72660000</v>
      </c>
      <c r="H3" s="66">
        <f>72660000+42936000</f>
        <v>115596000</v>
      </c>
      <c r="I3" s="66">
        <f>150274800+4149600+13104000+3198000</f>
        <v>170726400</v>
      </c>
      <c r="J3" s="66"/>
      <c r="K3" s="66"/>
      <c r="L3" s="66"/>
      <c r="M3" s="66"/>
      <c r="N3" s="66"/>
      <c r="O3" s="66"/>
      <c r="P3" s="272"/>
    </row>
    <row r="4" spans="1:16" ht="25.5" customHeight="1">
      <c r="A4" s="169">
        <v>21101</v>
      </c>
      <c r="B4" s="66" t="s">
        <v>267</v>
      </c>
      <c r="C4" s="66">
        <v>1180900</v>
      </c>
      <c r="D4" s="66"/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305572400</v>
      </c>
      <c r="K4" s="66">
        <f>539449200+174686000+80800</f>
        <v>714216000</v>
      </c>
      <c r="L4" s="66">
        <v>636043200</v>
      </c>
      <c r="M4" s="66">
        <v>733075200</v>
      </c>
      <c r="N4" s="66">
        <v>1074752640</v>
      </c>
      <c r="O4" s="66">
        <v>1115075520</v>
      </c>
      <c r="P4" s="66">
        <f>O4-N4</f>
        <v>40322880</v>
      </c>
    </row>
    <row r="5" spans="1:16" ht="25.5" customHeight="1">
      <c r="A5" s="169">
        <v>21102</v>
      </c>
      <c r="B5" s="66" t="s">
        <v>266</v>
      </c>
      <c r="C5" s="66">
        <v>1123486000</v>
      </c>
      <c r="D5" s="66">
        <v>1227036000</v>
      </c>
      <c r="E5" s="66">
        <v>1192428000</v>
      </c>
      <c r="F5" s="66">
        <f>1935276000+1200000</f>
        <v>1936476000</v>
      </c>
      <c r="G5" s="66">
        <f>1936476000+600000000</f>
        <v>2536476000</v>
      </c>
      <c r="H5" s="66">
        <f>2529276000+54000000</f>
        <v>2583276000</v>
      </c>
      <c r="I5" s="66">
        <f>2530476000+4800000</f>
        <v>2535276000</v>
      </c>
      <c r="J5" s="66">
        <v>0</v>
      </c>
      <c r="K5" s="66">
        <v>61320000</v>
      </c>
      <c r="L5" s="66">
        <v>194520000</v>
      </c>
      <c r="M5" s="66">
        <v>158520000</v>
      </c>
      <c r="N5" s="66">
        <v>352920000</v>
      </c>
      <c r="O5" s="66">
        <v>376920000</v>
      </c>
      <c r="P5" s="66">
        <f t="shared" ref="P5:P54" si="0">O5-N5</f>
        <v>24000000</v>
      </c>
    </row>
    <row r="6" spans="1:16" ht="25.5" customHeight="1">
      <c r="A6" s="169">
        <v>21103</v>
      </c>
      <c r="B6" s="66" t="s">
        <v>533</v>
      </c>
      <c r="C6" s="66"/>
      <c r="D6" s="66"/>
      <c r="E6" s="66"/>
      <c r="F6" s="66"/>
      <c r="G6" s="66"/>
      <c r="H6" s="66"/>
      <c r="I6" s="66"/>
      <c r="J6" s="66">
        <v>338400000</v>
      </c>
      <c r="K6" s="66">
        <v>828000000</v>
      </c>
      <c r="L6" s="66">
        <v>644400000</v>
      </c>
      <c r="M6" s="66">
        <v>766800000</v>
      </c>
      <c r="N6" s="66">
        <v>1428000000</v>
      </c>
      <c r="O6" s="66">
        <v>1578000000</v>
      </c>
      <c r="P6" s="66">
        <f t="shared" si="0"/>
        <v>150000000</v>
      </c>
    </row>
    <row r="7" spans="1:16" ht="25.5" customHeight="1">
      <c r="A7" s="169">
        <v>21105</v>
      </c>
      <c r="B7" s="66" t="s">
        <v>399</v>
      </c>
      <c r="C7" s="66">
        <v>2500000</v>
      </c>
      <c r="D7" s="66">
        <v>2000000</v>
      </c>
      <c r="E7" s="66">
        <v>2000000</v>
      </c>
      <c r="F7" s="66">
        <v>2000000</v>
      </c>
      <c r="G7" s="66">
        <v>1600000</v>
      </c>
      <c r="H7" s="66">
        <v>41000000</v>
      </c>
      <c r="I7" s="66">
        <v>41000000</v>
      </c>
      <c r="J7" s="66">
        <v>0</v>
      </c>
      <c r="K7" s="66">
        <v>827864000</v>
      </c>
      <c r="L7" s="66">
        <f>K7</f>
        <v>827864000</v>
      </c>
      <c r="M7" s="66">
        <f>L7</f>
        <v>827864000</v>
      </c>
      <c r="N7" s="66">
        <v>967864000</v>
      </c>
      <c r="O7" s="66">
        <v>1161436800</v>
      </c>
      <c r="P7" s="66">
        <f t="shared" si="0"/>
        <v>193572800</v>
      </c>
    </row>
    <row r="8" spans="1:16" s="306" customFormat="1" ht="25.5" customHeight="1">
      <c r="A8" s="249">
        <v>2120</v>
      </c>
      <c r="B8" s="106" t="s">
        <v>156</v>
      </c>
      <c r="C8" s="66"/>
      <c r="D8" s="66"/>
      <c r="E8" s="66"/>
      <c r="F8" s="66"/>
      <c r="G8" s="66"/>
      <c r="H8" s="66"/>
      <c r="I8" s="66"/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f t="shared" si="0"/>
        <v>0</v>
      </c>
    </row>
    <row r="9" spans="1:16" ht="25.5" customHeight="1">
      <c r="A9" s="169">
        <v>21201</v>
      </c>
      <c r="B9" s="66" t="s">
        <v>265</v>
      </c>
      <c r="C9" s="66">
        <v>0</v>
      </c>
      <c r="D9" s="66">
        <v>0</v>
      </c>
      <c r="E9" s="66">
        <v>0</v>
      </c>
      <c r="F9" s="66">
        <v>0</v>
      </c>
      <c r="G9" s="66"/>
      <c r="H9" s="66">
        <v>0</v>
      </c>
      <c r="I9" s="66">
        <v>0</v>
      </c>
      <c r="J9" s="66">
        <v>0</v>
      </c>
      <c r="K9" s="66">
        <v>216000000</v>
      </c>
      <c r="L9" s="66">
        <v>238410000</v>
      </c>
      <c r="M9" s="66">
        <v>238410000</v>
      </c>
      <c r="N9" s="66">
        <v>238410000</v>
      </c>
      <c r="O9" s="66">
        <v>238410000</v>
      </c>
      <c r="P9" s="66">
        <f t="shared" si="0"/>
        <v>0</v>
      </c>
    </row>
    <row r="10" spans="1:16" ht="25.5" customHeight="1">
      <c r="A10" s="169">
        <v>21202</v>
      </c>
      <c r="B10" s="66" t="s">
        <v>139</v>
      </c>
      <c r="C10" s="66">
        <v>56250000</v>
      </c>
      <c r="D10" s="66">
        <v>65000000</v>
      </c>
      <c r="E10" s="66">
        <v>65000000</v>
      </c>
      <c r="F10" s="66">
        <v>65000000</v>
      </c>
      <c r="G10" s="66">
        <v>86788800</v>
      </c>
      <c r="H10" s="66">
        <v>141500000</v>
      </c>
      <c r="I10" s="66">
        <v>200000000</v>
      </c>
      <c r="J10" s="66">
        <v>6869200</v>
      </c>
      <c r="K10" s="66">
        <v>35612200</v>
      </c>
      <c r="L10" s="66">
        <v>0</v>
      </c>
      <c r="M10" s="66">
        <v>0</v>
      </c>
      <c r="N10" s="66">
        <v>0</v>
      </c>
      <c r="O10" s="66">
        <v>0</v>
      </c>
      <c r="P10" s="66">
        <f t="shared" si="0"/>
        <v>0</v>
      </c>
    </row>
    <row r="11" spans="1:16" ht="25.5" customHeight="1">
      <c r="A11" s="169">
        <v>21203</v>
      </c>
      <c r="B11" s="66" t="s">
        <v>158</v>
      </c>
      <c r="C11" s="66">
        <v>18000000</v>
      </c>
      <c r="D11" s="66">
        <f>25000000-2000000</f>
        <v>23000000</v>
      </c>
      <c r="E11" s="66">
        <v>23000000</v>
      </c>
      <c r="F11" s="66">
        <v>23000000</v>
      </c>
      <c r="G11" s="66">
        <v>18400000</v>
      </c>
      <c r="H11" s="66">
        <v>56000000</v>
      </c>
      <c r="I11" s="66">
        <v>100000000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f t="shared" si="0"/>
        <v>0</v>
      </c>
    </row>
    <row r="12" spans="1:16" ht="25.5" customHeight="1">
      <c r="A12" s="169"/>
      <c r="B12" s="106" t="s">
        <v>59</v>
      </c>
      <c r="C12" s="66">
        <v>11878000</v>
      </c>
      <c r="D12" s="66">
        <f>2000000+2000000</f>
        <v>4000000</v>
      </c>
      <c r="E12" s="66">
        <v>2000000</v>
      </c>
      <c r="F12" s="66">
        <v>2000000</v>
      </c>
      <c r="G12" s="66">
        <v>1600000</v>
      </c>
      <c r="H12" s="66">
        <v>30000000</v>
      </c>
      <c r="I12" s="66">
        <v>60000000</v>
      </c>
      <c r="J12" s="106">
        <f t="shared" ref="J12:N12" si="1">SUM(J4:J11)</f>
        <v>650841600</v>
      </c>
      <c r="K12" s="106">
        <f t="shared" si="1"/>
        <v>2683012200</v>
      </c>
      <c r="L12" s="106">
        <f t="shared" si="1"/>
        <v>2541237200</v>
      </c>
      <c r="M12" s="106">
        <f t="shared" si="1"/>
        <v>2724669200</v>
      </c>
      <c r="N12" s="106">
        <f t="shared" si="1"/>
        <v>4061946640</v>
      </c>
      <c r="O12" s="106">
        <f>SUM(O4:O11)</f>
        <v>4469842320</v>
      </c>
      <c r="P12" s="66">
        <f>O12-N12</f>
        <v>407895680</v>
      </c>
    </row>
    <row r="13" spans="1:16" ht="25.5" customHeight="1">
      <c r="A13" s="249">
        <v>220</v>
      </c>
      <c r="B13" s="106" t="s">
        <v>159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200000000</v>
      </c>
      <c r="I13" s="66">
        <v>200000000</v>
      </c>
      <c r="J13" s="66"/>
      <c r="K13" s="66"/>
      <c r="L13" s="66"/>
      <c r="M13" s="66"/>
      <c r="N13" s="66"/>
      <c r="O13" s="66"/>
      <c r="P13" s="66">
        <f t="shared" si="0"/>
        <v>0</v>
      </c>
    </row>
    <row r="14" spans="1:16" ht="25.5" customHeight="1">
      <c r="A14" s="249">
        <v>2210</v>
      </c>
      <c r="B14" s="106" t="s">
        <v>160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>
        <f t="shared" si="0"/>
        <v>0</v>
      </c>
    </row>
    <row r="15" spans="1:16" ht="25.5" customHeight="1">
      <c r="A15" s="169">
        <v>22101</v>
      </c>
      <c r="B15" s="66" t="s">
        <v>14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356850000</v>
      </c>
      <c r="I15" s="66">
        <v>0</v>
      </c>
      <c r="J15" s="66">
        <v>11479200</v>
      </c>
      <c r="K15" s="66">
        <f>39500000*70%</f>
        <v>27650000</v>
      </c>
      <c r="L15" s="66">
        <f>39500000*70%</f>
        <v>27650000</v>
      </c>
      <c r="M15" s="66">
        <f>L15</f>
        <v>27650000</v>
      </c>
      <c r="N15" s="66">
        <f>M15</f>
        <v>27650000</v>
      </c>
      <c r="O15" s="66">
        <f>N15</f>
        <v>27650000</v>
      </c>
      <c r="P15" s="66">
        <f t="shared" si="0"/>
        <v>0</v>
      </c>
    </row>
    <row r="16" spans="1:16" ht="25.5" customHeight="1">
      <c r="A16" s="169">
        <v>22102</v>
      </c>
      <c r="B16" s="66" t="s">
        <v>82</v>
      </c>
      <c r="C16" s="66">
        <v>1500000</v>
      </c>
      <c r="D16" s="66">
        <v>5500000</v>
      </c>
      <c r="E16" s="66">
        <v>500000</v>
      </c>
      <c r="F16" s="66">
        <v>500000</v>
      </c>
      <c r="G16" s="66">
        <v>400000</v>
      </c>
      <c r="H16" s="66">
        <v>12000000</v>
      </c>
      <c r="I16" s="66">
        <v>20000000</v>
      </c>
      <c r="J16" s="66">
        <v>0</v>
      </c>
      <c r="K16" s="66">
        <f>693900000*70%</f>
        <v>485729999.99999994</v>
      </c>
      <c r="L16" s="66">
        <f>693900000*70%</f>
        <v>485729999.99999994</v>
      </c>
      <c r="M16" s="66">
        <f>L16</f>
        <v>485729999.99999994</v>
      </c>
      <c r="N16" s="66">
        <v>285730000</v>
      </c>
      <c r="O16" s="66">
        <v>285730000</v>
      </c>
      <c r="P16" s="66">
        <f t="shared" si="0"/>
        <v>0</v>
      </c>
    </row>
    <row r="17" spans="1:16" ht="25.5" customHeight="1">
      <c r="A17" s="169">
        <v>22103</v>
      </c>
      <c r="B17" s="66" t="s">
        <v>83</v>
      </c>
      <c r="C17" s="66"/>
      <c r="D17" s="66"/>
      <c r="E17" s="66"/>
      <c r="F17" s="66"/>
      <c r="G17" s="66"/>
      <c r="H17" s="66"/>
      <c r="I17" s="66"/>
      <c r="J17" s="66">
        <v>8500000</v>
      </c>
      <c r="K17" s="66">
        <f>2340000000*70%</f>
        <v>1638000000</v>
      </c>
      <c r="L17" s="66">
        <f>K17</f>
        <v>1638000000</v>
      </c>
      <c r="M17" s="66">
        <v>1878000000</v>
      </c>
      <c r="N17" s="66">
        <v>1878000000</v>
      </c>
      <c r="O17" s="66">
        <v>1768000000</v>
      </c>
      <c r="P17" s="66">
        <f t="shared" si="0"/>
        <v>-110000000</v>
      </c>
    </row>
    <row r="18" spans="1:16" s="306" customFormat="1" ht="25.5" customHeight="1">
      <c r="A18" s="169">
        <v>22104</v>
      </c>
      <c r="B18" s="66" t="s">
        <v>116</v>
      </c>
      <c r="C18" s="66"/>
      <c r="D18" s="66"/>
      <c r="E18" s="66"/>
      <c r="F18" s="66"/>
      <c r="G18" s="66"/>
      <c r="H18" s="66"/>
      <c r="I18" s="66"/>
      <c r="J18" s="66">
        <v>32726886</v>
      </c>
      <c r="K18" s="66">
        <f>275160000*70%</f>
        <v>192612000</v>
      </c>
      <c r="L18" s="66">
        <f>275160000*70%</f>
        <v>192612000</v>
      </c>
      <c r="M18" s="66">
        <f>L18</f>
        <v>192612000</v>
      </c>
      <c r="N18" s="66">
        <v>282612000</v>
      </c>
      <c r="O18" s="66">
        <v>282612000</v>
      </c>
      <c r="P18" s="66">
        <f t="shared" si="0"/>
        <v>0</v>
      </c>
    </row>
    <row r="19" spans="1:16" ht="25.5" customHeight="1">
      <c r="A19" s="169">
        <v>21105</v>
      </c>
      <c r="B19" s="66" t="s">
        <v>297</v>
      </c>
      <c r="C19" s="66"/>
      <c r="D19" s="66"/>
      <c r="E19" s="66"/>
      <c r="F19" s="66"/>
      <c r="G19" s="66"/>
      <c r="H19" s="66"/>
      <c r="I19" s="66"/>
      <c r="J19" s="66">
        <v>136500000</v>
      </c>
      <c r="K19" s="66">
        <f>136500000*70%+400000000</f>
        <v>495550000</v>
      </c>
      <c r="L19" s="66">
        <f>136500000*70%+400000000</f>
        <v>495550000</v>
      </c>
      <c r="M19" s="66">
        <f>L19</f>
        <v>495550000</v>
      </c>
      <c r="N19" s="66">
        <v>0</v>
      </c>
      <c r="O19" s="66">
        <v>0</v>
      </c>
      <c r="P19" s="66">
        <f t="shared" si="0"/>
        <v>0</v>
      </c>
    </row>
    <row r="20" spans="1:16" ht="25.5" customHeight="1">
      <c r="A20" s="169">
        <v>22106</v>
      </c>
      <c r="B20" s="66" t="s">
        <v>84</v>
      </c>
      <c r="C20" s="66">
        <v>2500000</v>
      </c>
      <c r="D20" s="66">
        <v>2000000</v>
      </c>
      <c r="E20" s="66">
        <v>2000000</v>
      </c>
      <c r="F20" s="66">
        <v>2000000</v>
      </c>
      <c r="G20" s="66">
        <v>1600000</v>
      </c>
      <c r="H20" s="66">
        <v>41000000</v>
      </c>
      <c r="I20" s="66">
        <v>41000000</v>
      </c>
      <c r="J20" s="66">
        <v>15735744</v>
      </c>
      <c r="K20" s="66">
        <f>40400000*70%</f>
        <v>28280000</v>
      </c>
      <c r="L20" s="66">
        <v>20000000</v>
      </c>
      <c r="M20" s="66">
        <v>20000000</v>
      </c>
      <c r="N20" s="66">
        <v>15000000</v>
      </c>
      <c r="O20" s="66">
        <v>15000000</v>
      </c>
      <c r="P20" s="66">
        <f t="shared" si="0"/>
        <v>0</v>
      </c>
    </row>
    <row r="21" spans="1:16" ht="25.5" customHeight="1">
      <c r="A21" s="169">
        <v>22107</v>
      </c>
      <c r="B21" s="66" t="s">
        <v>30</v>
      </c>
      <c r="C21" s="66">
        <f t="shared" ref="C21:I21" si="2">SUM(C15:C20)</f>
        <v>4000000</v>
      </c>
      <c r="D21" s="66">
        <f t="shared" si="2"/>
        <v>7500000</v>
      </c>
      <c r="E21" s="66">
        <f t="shared" si="2"/>
        <v>2500000</v>
      </c>
      <c r="F21" s="66">
        <f t="shared" si="2"/>
        <v>2500000</v>
      </c>
      <c r="G21" s="66">
        <f t="shared" si="2"/>
        <v>2000000</v>
      </c>
      <c r="H21" s="66">
        <f t="shared" si="2"/>
        <v>409850000</v>
      </c>
      <c r="I21" s="106">
        <f t="shared" si="2"/>
        <v>61000000</v>
      </c>
      <c r="J21" s="66">
        <v>19737600</v>
      </c>
      <c r="K21" s="66">
        <v>1447754000</v>
      </c>
      <c r="L21" s="66">
        <f>K21</f>
        <v>1447754000</v>
      </c>
      <c r="M21" s="66">
        <v>1647754000</v>
      </c>
      <c r="N21" s="66">
        <v>1647754000</v>
      </c>
      <c r="O21" s="66">
        <v>1647754000</v>
      </c>
      <c r="P21" s="66">
        <f t="shared" si="0"/>
        <v>0</v>
      </c>
    </row>
    <row r="22" spans="1:16" s="306" customFormat="1" ht="25.5" customHeight="1">
      <c r="A22" s="169">
        <v>22108</v>
      </c>
      <c r="B22" s="66" t="s">
        <v>60</v>
      </c>
      <c r="C22" s="66"/>
      <c r="D22" s="66"/>
      <c r="E22" s="66"/>
      <c r="F22" s="66"/>
      <c r="G22" s="66"/>
      <c r="H22" s="66"/>
      <c r="I22" s="66"/>
      <c r="J22" s="66">
        <v>0</v>
      </c>
      <c r="K22" s="66">
        <v>2527600000</v>
      </c>
      <c r="L22" s="66">
        <f>K22</f>
        <v>2527600000</v>
      </c>
      <c r="M22" s="66">
        <v>3307600000</v>
      </c>
      <c r="N22" s="66">
        <v>4307600000</v>
      </c>
      <c r="O22" s="66">
        <v>4207600000</v>
      </c>
      <c r="P22" s="66">
        <f t="shared" si="0"/>
        <v>-100000000</v>
      </c>
    </row>
    <row r="23" spans="1:16" s="306" customFormat="1" ht="25.5" customHeight="1">
      <c r="A23" s="169">
        <v>22109</v>
      </c>
      <c r="B23" s="66" t="s">
        <v>94</v>
      </c>
      <c r="C23" s="66">
        <v>23000000</v>
      </c>
      <c r="D23" s="66">
        <v>15000000</v>
      </c>
      <c r="E23" s="66">
        <v>8949700</v>
      </c>
      <c r="F23" s="66">
        <v>8949700</v>
      </c>
      <c r="G23" s="66">
        <v>12000000</v>
      </c>
      <c r="H23" s="66">
        <v>80000000</v>
      </c>
      <c r="I23" s="66">
        <v>80000000</v>
      </c>
      <c r="J23" s="66">
        <v>25610000</v>
      </c>
      <c r="K23" s="66">
        <f>127605000*70%</f>
        <v>89323500</v>
      </c>
      <c r="L23" s="66">
        <f>127605000*70%</f>
        <v>89323500</v>
      </c>
      <c r="M23" s="66">
        <f t="shared" ref="M23:O27" si="3">L23</f>
        <v>89323500</v>
      </c>
      <c r="N23" s="66">
        <f t="shared" si="3"/>
        <v>89323500</v>
      </c>
      <c r="O23" s="66">
        <f t="shared" si="3"/>
        <v>89323500</v>
      </c>
      <c r="P23" s="66">
        <f t="shared" si="0"/>
        <v>0</v>
      </c>
    </row>
    <row r="24" spans="1:16" ht="25.5" customHeight="1">
      <c r="A24" s="169">
        <v>22112</v>
      </c>
      <c r="B24" s="66" t="s">
        <v>16</v>
      </c>
      <c r="C24" s="66">
        <v>10061000</v>
      </c>
      <c r="D24" s="66">
        <v>2000000</v>
      </c>
      <c r="E24" s="66">
        <v>0</v>
      </c>
      <c r="F24" s="66">
        <v>0</v>
      </c>
      <c r="G24" s="66">
        <v>0</v>
      </c>
      <c r="H24" s="66">
        <v>30000000</v>
      </c>
      <c r="I24" s="66">
        <v>40000000</v>
      </c>
      <c r="J24" s="66">
        <v>3038784</v>
      </c>
      <c r="K24" s="66">
        <v>70800000</v>
      </c>
      <c r="L24" s="66">
        <v>70800000</v>
      </c>
      <c r="M24" s="66">
        <f t="shared" si="3"/>
        <v>70800000</v>
      </c>
      <c r="N24" s="66">
        <v>100800000</v>
      </c>
      <c r="O24" s="66">
        <v>100800000</v>
      </c>
      <c r="P24" s="66">
        <f t="shared" si="0"/>
        <v>0</v>
      </c>
    </row>
    <row r="25" spans="1:16" ht="25.5" customHeight="1">
      <c r="A25" s="169">
        <v>22118</v>
      </c>
      <c r="B25" s="66" t="s">
        <v>273</v>
      </c>
      <c r="C25" s="66"/>
      <c r="D25" s="66"/>
      <c r="E25" s="66"/>
      <c r="F25" s="66"/>
      <c r="G25" s="66"/>
      <c r="H25" s="66"/>
      <c r="I25" s="66"/>
      <c r="J25" s="66">
        <v>0</v>
      </c>
      <c r="K25" s="66">
        <f>315450000*70%</f>
        <v>220815000</v>
      </c>
      <c r="L25" s="66">
        <f>315450000*70%</f>
        <v>220815000</v>
      </c>
      <c r="M25" s="66">
        <f t="shared" si="3"/>
        <v>220815000</v>
      </c>
      <c r="N25" s="66">
        <v>0</v>
      </c>
      <c r="O25" s="66">
        <v>0</v>
      </c>
      <c r="P25" s="66">
        <f t="shared" si="0"/>
        <v>0</v>
      </c>
    </row>
    <row r="26" spans="1:16" ht="25.5" customHeight="1">
      <c r="A26" s="169">
        <v>22130</v>
      </c>
      <c r="B26" s="66" t="s">
        <v>175</v>
      </c>
      <c r="C26" s="66"/>
      <c r="D26" s="66"/>
      <c r="E26" s="66"/>
      <c r="F26" s="66"/>
      <c r="G26" s="66"/>
      <c r="H26" s="66"/>
      <c r="I26" s="66"/>
      <c r="J26" s="66">
        <v>9256033256</v>
      </c>
      <c r="K26" s="66">
        <f>16005243233</f>
        <v>16005243233</v>
      </c>
      <c r="L26" s="66">
        <f>K26</f>
        <v>16005243233</v>
      </c>
      <c r="M26" s="66">
        <f t="shared" si="3"/>
        <v>16005243233</v>
      </c>
      <c r="N26" s="66">
        <f t="shared" si="3"/>
        <v>16005243233</v>
      </c>
      <c r="O26" s="66">
        <f>N26</f>
        <v>16005243233</v>
      </c>
      <c r="P26" s="66">
        <f t="shared" si="0"/>
        <v>0</v>
      </c>
    </row>
    <row r="27" spans="1:16" ht="25.5" customHeight="1">
      <c r="A27" s="169">
        <v>22132</v>
      </c>
      <c r="B27" s="66" t="s">
        <v>144</v>
      </c>
      <c r="C27" s="66">
        <v>3000000</v>
      </c>
      <c r="D27" s="66">
        <v>1500000</v>
      </c>
      <c r="E27" s="66">
        <v>0</v>
      </c>
      <c r="F27" s="66">
        <v>0</v>
      </c>
      <c r="G27" s="66">
        <v>0</v>
      </c>
      <c r="H27" s="66">
        <v>15000000</v>
      </c>
      <c r="I27" s="66">
        <v>20000000</v>
      </c>
      <c r="J27" s="66">
        <v>1355821960</v>
      </c>
      <c r="K27" s="66">
        <v>2306215372</v>
      </c>
      <c r="L27" s="66">
        <v>2283805372</v>
      </c>
      <c r="M27" s="66">
        <f t="shared" si="3"/>
        <v>2283805372</v>
      </c>
      <c r="N27" s="66">
        <v>2543805372</v>
      </c>
      <c r="O27" s="66">
        <v>2543805372</v>
      </c>
      <c r="P27" s="66">
        <f t="shared" si="0"/>
        <v>0</v>
      </c>
    </row>
    <row r="28" spans="1:16" ht="25.5" customHeight="1">
      <c r="A28" s="169">
        <v>22132</v>
      </c>
      <c r="B28" s="66" t="s">
        <v>736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>
        <v>2200000000</v>
      </c>
      <c r="N28" s="66">
        <v>3018013000</v>
      </c>
      <c r="O28" s="66">
        <v>3500000000</v>
      </c>
      <c r="P28" s="66">
        <f t="shared" si="0"/>
        <v>481987000</v>
      </c>
    </row>
    <row r="29" spans="1:16" ht="25.5" customHeight="1">
      <c r="A29" s="169">
        <v>22132</v>
      </c>
      <c r="B29" s="66" t="s">
        <v>737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>
        <v>0</v>
      </c>
      <c r="N29" s="66">
        <v>875800000</v>
      </c>
      <c r="O29" s="66">
        <v>1145800000</v>
      </c>
      <c r="P29" s="66">
        <f t="shared" si="0"/>
        <v>270000000</v>
      </c>
    </row>
    <row r="30" spans="1:16" ht="25.5" customHeight="1">
      <c r="A30" s="169">
        <v>22141</v>
      </c>
      <c r="B30" s="66" t="s">
        <v>381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>
        <v>1000000000</v>
      </c>
      <c r="N30" s="66">
        <v>3000000000</v>
      </c>
      <c r="O30" s="66">
        <v>0</v>
      </c>
      <c r="P30" s="66">
        <f t="shared" si="0"/>
        <v>-3000000000</v>
      </c>
    </row>
    <row r="31" spans="1:16" s="306" customFormat="1" ht="25.5" customHeight="1">
      <c r="A31" s="169"/>
      <c r="B31" s="106" t="s">
        <v>59</v>
      </c>
      <c r="C31" s="66">
        <v>0</v>
      </c>
      <c r="D31" s="66">
        <v>0</v>
      </c>
      <c r="E31" s="66">
        <v>0</v>
      </c>
      <c r="F31" s="66">
        <v>0</v>
      </c>
      <c r="G31" s="66">
        <v>16000000</v>
      </c>
      <c r="H31" s="66">
        <v>360113000</v>
      </c>
      <c r="I31" s="66">
        <v>208212162</v>
      </c>
      <c r="J31" s="106">
        <f>SUM(J15:J28)</f>
        <v>10865183430</v>
      </c>
      <c r="K31" s="106">
        <f>SUM(K15:K28)</f>
        <v>25535573105</v>
      </c>
      <c r="L31" s="106">
        <f>SUM(L15:L28)</f>
        <v>25504883105</v>
      </c>
      <c r="M31" s="106">
        <f>SUM(M15:M30)</f>
        <v>29924883105</v>
      </c>
      <c r="N31" s="106">
        <f>SUM(N15:N30)</f>
        <v>34077331105</v>
      </c>
      <c r="O31" s="106">
        <f>SUM(O15:O30)</f>
        <v>31619318105</v>
      </c>
      <c r="P31" s="106">
        <f t="shared" si="0"/>
        <v>-2458013000</v>
      </c>
    </row>
    <row r="32" spans="1:16" ht="25.5" customHeight="1">
      <c r="A32" s="249">
        <v>2220</v>
      </c>
      <c r="B32" s="106" t="s">
        <v>161</v>
      </c>
      <c r="C32" s="66"/>
      <c r="D32" s="66"/>
      <c r="E32" s="66"/>
      <c r="F32" s="66"/>
      <c r="G32" s="66"/>
      <c r="H32" s="66"/>
      <c r="I32" s="66">
        <v>0</v>
      </c>
      <c r="J32" s="66"/>
      <c r="K32" s="66"/>
      <c r="L32" s="66"/>
      <c r="M32" s="66"/>
      <c r="N32" s="66"/>
      <c r="O32" s="66"/>
      <c r="P32" s="66">
        <f t="shared" si="0"/>
        <v>0</v>
      </c>
    </row>
    <row r="33" spans="1:16" ht="25.5" customHeight="1">
      <c r="A33" s="169">
        <v>22201</v>
      </c>
      <c r="B33" s="66" t="s">
        <v>90</v>
      </c>
      <c r="C33" s="106" t="e">
        <f>#REF!+#REF!+#REF!+#REF!+#REF!</f>
        <v>#REF!</v>
      </c>
      <c r="D33" s="106" t="e">
        <f>#REF!+#REF!+#REF!+#REF!+#REF!</f>
        <v>#REF!</v>
      </c>
      <c r="E33" s="106" t="e">
        <f>#REF!+#REF!+#REF!+#REF!+#REF!</f>
        <v>#REF!</v>
      </c>
      <c r="F33" s="106" t="e">
        <f>#REF!+#REF!+#REF!+#REF!+#REF!</f>
        <v>#REF!</v>
      </c>
      <c r="G33" s="106" t="e">
        <f>#REF!+#REF!+#REF!+#REF!+#REF!</f>
        <v>#REF!</v>
      </c>
      <c r="H33" s="106" t="e">
        <f>#REF!+#REF!+#REF!+#REF!+#REF!</f>
        <v>#REF!</v>
      </c>
      <c r="I33" s="106" t="e">
        <f>#REF!+#REF!+#REF!+#REF!+#REF!</f>
        <v>#REF!</v>
      </c>
      <c r="J33" s="66">
        <v>7800000</v>
      </c>
      <c r="K33" s="66">
        <f>7800000*70%</f>
        <v>5460000</v>
      </c>
      <c r="L33" s="66">
        <f>7800000*70%</f>
        <v>5460000</v>
      </c>
      <c r="M33" s="66">
        <f>7800000*70%</f>
        <v>5460000</v>
      </c>
      <c r="N33" s="66">
        <f>7800000*70%</f>
        <v>5460000</v>
      </c>
      <c r="O33" s="66">
        <f>7800000*70%</f>
        <v>5460000</v>
      </c>
      <c r="P33" s="66">
        <f t="shared" si="0"/>
        <v>0</v>
      </c>
    </row>
    <row r="34" spans="1:16" ht="25.5" customHeight="1">
      <c r="A34" s="169">
        <v>22202</v>
      </c>
      <c r="B34" s="66" t="s">
        <v>91</v>
      </c>
      <c r="C34" s="118"/>
      <c r="D34" s="118"/>
      <c r="E34" s="118"/>
      <c r="F34" s="100">
        <v>0</v>
      </c>
      <c r="G34" s="100" t="s">
        <v>4</v>
      </c>
      <c r="H34" s="100"/>
      <c r="I34" s="100"/>
      <c r="J34" s="66">
        <v>660119248</v>
      </c>
      <c r="K34" s="66">
        <v>1334950874</v>
      </c>
      <c r="L34" s="66">
        <f>K34</f>
        <v>1334950874</v>
      </c>
      <c r="M34" s="66">
        <v>1134950874</v>
      </c>
      <c r="N34" s="66">
        <v>1100000000</v>
      </c>
      <c r="O34" s="66">
        <v>1100000000</v>
      </c>
      <c r="P34" s="66">
        <f t="shared" si="0"/>
        <v>0</v>
      </c>
    </row>
    <row r="35" spans="1:16" ht="25.5" customHeight="1">
      <c r="A35" s="169">
        <v>22203</v>
      </c>
      <c r="B35" s="66" t="s">
        <v>85</v>
      </c>
      <c r="C35" s="118"/>
      <c r="D35" s="118"/>
      <c r="E35" s="118"/>
      <c r="F35" s="100"/>
      <c r="G35" s="100"/>
      <c r="H35" s="100"/>
      <c r="I35" s="100"/>
      <c r="J35" s="66">
        <v>38304400</v>
      </c>
      <c r="K35" s="66">
        <v>120715500</v>
      </c>
      <c r="L35" s="66">
        <v>120715500</v>
      </c>
      <c r="M35" s="66">
        <f>L35</f>
        <v>120715500</v>
      </c>
      <c r="N35" s="66">
        <v>140715500</v>
      </c>
      <c r="O35" s="66">
        <v>140715500</v>
      </c>
      <c r="P35" s="66">
        <f t="shared" si="0"/>
        <v>0</v>
      </c>
    </row>
    <row r="36" spans="1:16" ht="25.5" customHeight="1">
      <c r="A36" s="169">
        <v>22204</v>
      </c>
      <c r="B36" s="66" t="s">
        <v>86</v>
      </c>
      <c r="C36" s="66"/>
      <c r="D36" s="66"/>
      <c r="E36" s="66"/>
      <c r="F36" s="66"/>
      <c r="G36" s="66"/>
      <c r="H36" s="66"/>
      <c r="I36" s="66"/>
      <c r="J36" s="66">
        <v>6017984</v>
      </c>
      <c r="K36" s="66">
        <f>72185000*70%</f>
        <v>50529500</v>
      </c>
      <c r="L36" s="66">
        <f>72185000*70%</f>
        <v>50529500</v>
      </c>
      <c r="M36" s="66">
        <f>L36</f>
        <v>50529500</v>
      </c>
      <c r="N36" s="66">
        <v>480000000</v>
      </c>
      <c r="O36" s="66">
        <v>580000000</v>
      </c>
      <c r="P36" s="66">
        <f t="shared" si="0"/>
        <v>100000000</v>
      </c>
    </row>
    <row r="37" spans="1:16" ht="25.5" customHeight="1">
      <c r="A37" s="169">
        <v>22205</v>
      </c>
      <c r="B37" s="66" t="s">
        <v>92</v>
      </c>
      <c r="C37" s="66">
        <v>4000000</v>
      </c>
      <c r="D37" s="66">
        <v>2000000</v>
      </c>
      <c r="E37" s="66">
        <v>0</v>
      </c>
      <c r="F37" s="66">
        <v>0</v>
      </c>
      <c r="G37" s="66">
        <v>0</v>
      </c>
      <c r="H37" s="66">
        <v>200000000</v>
      </c>
      <c r="I37" s="66">
        <v>200000000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f t="shared" si="0"/>
        <v>0</v>
      </c>
    </row>
    <row r="38" spans="1:16" ht="25.5" customHeight="1">
      <c r="A38" s="169">
        <v>22209</v>
      </c>
      <c r="B38" s="66" t="s">
        <v>145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150000000</v>
      </c>
      <c r="I38" s="66">
        <v>150000000</v>
      </c>
      <c r="J38" s="66">
        <v>21501800</v>
      </c>
      <c r="K38" s="66">
        <f>1385605000*70%</f>
        <v>969923499.99999988</v>
      </c>
      <c r="L38" s="66">
        <v>300000000</v>
      </c>
      <c r="M38" s="66">
        <f>L38</f>
        <v>300000000</v>
      </c>
      <c r="N38" s="66">
        <f>M38</f>
        <v>300000000</v>
      </c>
      <c r="O38" s="66">
        <v>150000000</v>
      </c>
      <c r="P38" s="66">
        <f t="shared" si="0"/>
        <v>-150000000</v>
      </c>
    </row>
    <row r="39" spans="1:16" ht="25.5" customHeight="1">
      <c r="A39" s="169"/>
      <c r="B39" s="106" t="s">
        <v>59</v>
      </c>
      <c r="C39" s="66">
        <v>10089000</v>
      </c>
      <c r="D39" s="66">
        <v>10004000</v>
      </c>
      <c r="E39" s="66">
        <v>20004000</v>
      </c>
      <c r="F39" s="66">
        <v>20004000</v>
      </c>
      <c r="G39" s="66">
        <v>40003200</v>
      </c>
      <c r="H39" s="66">
        <v>100000000</v>
      </c>
      <c r="I39" s="66">
        <v>100000000</v>
      </c>
      <c r="J39" s="106">
        <f t="shared" ref="J39:N39" si="4">SUM(J33:J38)</f>
        <v>733743432</v>
      </c>
      <c r="K39" s="106">
        <f t="shared" si="4"/>
        <v>2481579374</v>
      </c>
      <c r="L39" s="106">
        <f t="shared" si="4"/>
        <v>1811655874</v>
      </c>
      <c r="M39" s="106">
        <f t="shared" si="4"/>
        <v>1611655874</v>
      </c>
      <c r="N39" s="106">
        <f t="shared" si="4"/>
        <v>2026175500</v>
      </c>
      <c r="O39" s="106">
        <f>SUM(O33:O38)</f>
        <v>1976175500</v>
      </c>
      <c r="P39" s="66">
        <f t="shared" si="0"/>
        <v>-50000000</v>
      </c>
    </row>
    <row r="40" spans="1:16" ht="25.5" customHeight="1">
      <c r="A40" s="249">
        <v>2230</v>
      </c>
      <c r="B40" s="106" t="s">
        <v>88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616200000</v>
      </c>
      <c r="I40" s="66">
        <v>616200000</v>
      </c>
      <c r="J40" s="66"/>
      <c r="K40" s="66"/>
      <c r="L40" s="66"/>
      <c r="M40" s="66"/>
      <c r="N40" s="66"/>
      <c r="O40" s="66"/>
      <c r="P40" s="66">
        <f t="shared" si="0"/>
        <v>0</v>
      </c>
    </row>
    <row r="41" spans="1:16" ht="25.5" customHeight="1">
      <c r="A41" s="169">
        <v>22301</v>
      </c>
      <c r="B41" s="66" t="s">
        <v>31</v>
      </c>
      <c r="C41" s="66">
        <v>13333000</v>
      </c>
      <c r="D41" s="66">
        <v>5000000</v>
      </c>
      <c r="E41" s="66">
        <v>0</v>
      </c>
      <c r="F41" s="66">
        <v>0</v>
      </c>
      <c r="G41" s="66">
        <v>0</v>
      </c>
      <c r="H41" s="66">
        <v>100000000</v>
      </c>
      <c r="I41" s="66">
        <v>70000000</v>
      </c>
      <c r="J41" s="66">
        <v>59340500</v>
      </c>
      <c r="K41" s="66">
        <v>117060845</v>
      </c>
      <c r="L41" s="66">
        <v>117060845</v>
      </c>
      <c r="M41" s="66">
        <f t="shared" ref="M41:O42" si="5">L41</f>
        <v>117060845</v>
      </c>
      <c r="N41" s="66">
        <f t="shared" si="5"/>
        <v>117060845</v>
      </c>
      <c r="O41" s="66">
        <f t="shared" si="5"/>
        <v>117060845</v>
      </c>
      <c r="P41" s="66">
        <f t="shared" si="0"/>
        <v>0</v>
      </c>
    </row>
    <row r="42" spans="1:16" ht="25.5" customHeight="1">
      <c r="A42" s="169">
        <v>22302</v>
      </c>
      <c r="B42" s="66" t="s">
        <v>162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4424000</v>
      </c>
      <c r="K42" s="66">
        <f>36424000*70%</f>
        <v>25496800</v>
      </c>
      <c r="L42" s="66">
        <f>36424000*70%</f>
        <v>25496800</v>
      </c>
      <c r="M42" s="66">
        <f t="shared" si="5"/>
        <v>25496800</v>
      </c>
      <c r="N42" s="66">
        <f t="shared" si="5"/>
        <v>25496800</v>
      </c>
      <c r="O42" s="66">
        <f t="shared" si="5"/>
        <v>25496800</v>
      </c>
      <c r="P42" s="66">
        <f t="shared" si="0"/>
        <v>0</v>
      </c>
    </row>
    <row r="43" spans="1:16" ht="25.5" customHeight="1">
      <c r="A43" s="169"/>
      <c r="B43" s="106" t="s">
        <v>59</v>
      </c>
      <c r="C43" s="106" t="e">
        <f>#REF!+#REF!+C36+C21+#REF!</f>
        <v>#REF!</v>
      </c>
      <c r="D43" s="106" t="e">
        <f>#REF!+#REF!+D36+D21+#REF!</f>
        <v>#REF!</v>
      </c>
      <c r="E43" s="106" t="e">
        <f>#REF!+#REF!+E36+E21+#REF!</f>
        <v>#REF!</v>
      </c>
      <c r="F43" s="106" t="e">
        <f>#REF!+#REF!+F36+F21+#REF!</f>
        <v>#REF!</v>
      </c>
      <c r="G43" s="106" t="e">
        <f>#REF!+#REF!+G21+G36+#REF!</f>
        <v>#REF!</v>
      </c>
      <c r="H43" s="106" t="e">
        <f>#REF!+#REF!+H36+H21+#REF!</f>
        <v>#REF!</v>
      </c>
      <c r="I43" s="106" t="e">
        <f>#REF!+#REF!+I36+I21+#REF!</f>
        <v>#REF!</v>
      </c>
      <c r="J43" s="106">
        <f t="shared" ref="J43:N43" si="6">SUM(J41:J42)</f>
        <v>63764500</v>
      </c>
      <c r="K43" s="106">
        <f t="shared" si="6"/>
        <v>142557645</v>
      </c>
      <c r="L43" s="106">
        <f t="shared" si="6"/>
        <v>142557645</v>
      </c>
      <c r="M43" s="106">
        <f t="shared" si="6"/>
        <v>142557645</v>
      </c>
      <c r="N43" s="106">
        <f t="shared" si="6"/>
        <v>142557645</v>
      </c>
      <c r="O43" s="106">
        <f>SUM(O41:O42)</f>
        <v>142557645</v>
      </c>
      <c r="P43" s="66">
        <f t="shared" si="0"/>
        <v>0</v>
      </c>
    </row>
    <row r="44" spans="1:16" ht="25.5" customHeight="1">
      <c r="A44" s="249">
        <v>230</v>
      </c>
      <c r="B44" s="106" t="s">
        <v>165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>
        <f t="shared" si="0"/>
        <v>0</v>
      </c>
    </row>
    <row r="45" spans="1:16" ht="25.5" customHeight="1">
      <c r="A45" s="249">
        <v>2310</v>
      </c>
      <c r="B45" s="106" t="s">
        <v>164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>
        <f t="shared" si="0"/>
        <v>0</v>
      </c>
    </row>
    <row r="46" spans="1:16" ht="25.5" customHeight="1">
      <c r="A46" s="169">
        <v>23101</v>
      </c>
      <c r="B46" s="66" t="s">
        <v>172</v>
      </c>
      <c r="C46" s="66"/>
      <c r="D46" s="66"/>
      <c r="E46" s="66"/>
      <c r="F46" s="66"/>
      <c r="G46" s="66"/>
      <c r="H46" s="66"/>
      <c r="I46" s="66"/>
      <c r="J46" s="66">
        <v>7480000</v>
      </c>
      <c r="K46" s="66">
        <f>146040000*70%</f>
        <v>102228000</v>
      </c>
      <c r="L46" s="66">
        <f>K46</f>
        <v>102228000</v>
      </c>
      <c r="M46" s="66">
        <f>L46</f>
        <v>102228000</v>
      </c>
      <c r="N46" s="66">
        <f>M46</f>
        <v>102228000</v>
      </c>
      <c r="O46" s="66">
        <f>N46</f>
        <v>102228000</v>
      </c>
      <c r="P46" s="66">
        <f t="shared" si="0"/>
        <v>0</v>
      </c>
    </row>
    <row r="47" spans="1:16" ht="25.5" customHeight="1">
      <c r="A47" s="169">
        <v>23102</v>
      </c>
      <c r="B47" s="66" t="s">
        <v>898</v>
      </c>
      <c r="C47" s="66"/>
      <c r="D47" s="66"/>
      <c r="E47" s="66"/>
      <c r="F47" s="66"/>
      <c r="G47" s="66"/>
      <c r="H47" s="66"/>
      <c r="I47" s="66"/>
      <c r="J47" s="66">
        <v>524149920</v>
      </c>
      <c r="K47" s="66">
        <v>599475000</v>
      </c>
      <c r="L47" s="66">
        <v>126000000</v>
      </c>
      <c r="M47" s="66">
        <v>708000000</v>
      </c>
      <c r="N47" s="66">
        <v>918000000</v>
      </c>
      <c r="O47" s="66">
        <v>168000000</v>
      </c>
      <c r="P47" s="66">
        <f t="shared" si="0"/>
        <v>-750000000</v>
      </c>
    </row>
    <row r="48" spans="1:16" ht="25.5" customHeight="1">
      <c r="A48" s="169">
        <v>23103</v>
      </c>
      <c r="B48" s="66" t="s">
        <v>106</v>
      </c>
      <c r="C48" s="66"/>
      <c r="D48" s="66"/>
      <c r="E48" s="66"/>
      <c r="F48" s="66"/>
      <c r="G48" s="66"/>
      <c r="H48" s="66"/>
      <c r="I48" s="66"/>
      <c r="J48" s="66">
        <v>0</v>
      </c>
      <c r="K48" s="66">
        <f>40085000*70%</f>
        <v>28059500</v>
      </c>
      <c r="L48" s="66">
        <f t="shared" ref="L48:O49" si="7">K48</f>
        <v>28059500</v>
      </c>
      <c r="M48" s="66">
        <f t="shared" si="7"/>
        <v>28059500</v>
      </c>
      <c r="N48" s="66">
        <f t="shared" si="7"/>
        <v>28059500</v>
      </c>
      <c r="O48" s="66">
        <f t="shared" si="7"/>
        <v>28059500</v>
      </c>
      <c r="P48" s="66">
        <f t="shared" si="0"/>
        <v>0</v>
      </c>
    </row>
    <row r="49" spans="1:16" ht="25.5" customHeight="1">
      <c r="A49" s="169">
        <v>23105</v>
      </c>
      <c r="B49" s="66" t="s">
        <v>738</v>
      </c>
      <c r="C49" s="66"/>
      <c r="D49" s="66"/>
      <c r="E49" s="66"/>
      <c r="F49" s="66"/>
      <c r="G49" s="66"/>
      <c r="H49" s="66"/>
      <c r="I49" s="66"/>
      <c r="J49" s="66">
        <v>0</v>
      </c>
      <c r="K49" s="66">
        <f>14085000*70%</f>
        <v>9859500</v>
      </c>
      <c r="L49" s="66">
        <f t="shared" si="7"/>
        <v>9859500</v>
      </c>
      <c r="M49" s="66">
        <f t="shared" si="7"/>
        <v>9859500</v>
      </c>
      <c r="N49" s="66">
        <f t="shared" si="7"/>
        <v>9859500</v>
      </c>
      <c r="O49" s="66">
        <f t="shared" si="7"/>
        <v>9859500</v>
      </c>
      <c r="P49" s="66">
        <f t="shared" si="0"/>
        <v>0</v>
      </c>
    </row>
    <row r="50" spans="1:16" ht="25.5" customHeight="1">
      <c r="A50" s="169"/>
      <c r="B50" s="106" t="s">
        <v>59</v>
      </c>
      <c r="C50" s="66"/>
      <c r="D50" s="66"/>
      <c r="E50" s="66"/>
      <c r="F50" s="66"/>
      <c r="G50" s="66"/>
      <c r="H50" s="66"/>
      <c r="I50" s="66"/>
      <c r="J50" s="106">
        <f t="shared" ref="J50:N50" si="8">SUM(J46:J49)</f>
        <v>531629920</v>
      </c>
      <c r="K50" s="106">
        <f t="shared" si="8"/>
        <v>739622000</v>
      </c>
      <c r="L50" s="106">
        <f t="shared" si="8"/>
        <v>266147000</v>
      </c>
      <c r="M50" s="106">
        <f t="shared" si="8"/>
        <v>848147000</v>
      </c>
      <c r="N50" s="106">
        <f t="shared" si="8"/>
        <v>1058147000</v>
      </c>
      <c r="O50" s="106">
        <f>SUM(O46:O49)</f>
        <v>308147000</v>
      </c>
      <c r="P50" s="106">
        <f t="shared" si="0"/>
        <v>-750000000</v>
      </c>
    </row>
    <row r="51" spans="1:16" ht="25.5" customHeight="1">
      <c r="A51" s="249">
        <v>2320</v>
      </c>
      <c r="B51" s="106" t="s">
        <v>342</v>
      </c>
      <c r="C51" s="66"/>
      <c r="D51" s="66"/>
      <c r="E51" s="66"/>
      <c r="F51" s="66"/>
      <c r="G51" s="66"/>
      <c r="H51" s="66"/>
      <c r="I51" s="66"/>
      <c r="J51" s="106"/>
      <c r="K51" s="106"/>
      <c r="L51" s="106"/>
      <c r="M51" s="106"/>
      <c r="N51" s="106"/>
      <c r="O51" s="106"/>
      <c r="P51" s="66">
        <f t="shared" si="0"/>
        <v>0</v>
      </c>
    </row>
    <row r="52" spans="1:16" ht="25.5" customHeight="1">
      <c r="A52" s="169">
        <v>23201</v>
      </c>
      <c r="B52" s="66" t="s">
        <v>683</v>
      </c>
      <c r="C52" s="66"/>
      <c r="D52" s="66"/>
      <c r="E52" s="66"/>
      <c r="F52" s="66"/>
      <c r="G52" s="66"/>
      <c r="H52" s="66"/>
      <c r="I52" s="66"/>
      <c r="J52" s="106"/>
      <c r="K52" s="106"/>
      <c r="L52" s="66"/>
      <c r="M52" s="66">
        <v>0</v>
      </c>
      <c r="N52" s="66">
        <v>300000000</v>
      </c>
      <c r="O52" s="66">
        <v>0</v>
      </c>
      <c r="P52" s="66">
        <f t="shared" si="0"/>
        <v>-300000000</v>
      </c>
    </row>
    <row r="53" spans="1:16" ht="25.5" customHeight="1">
      <c r="A53" s="169"/>
      <c r="B53" s="106" t="s">
        <v>59</v>
      </c>
      <c r="C53" s="66"/>
      <c r="D53" s="66"/>
      <c r="E53" s="66"/>
      <c r="F53" s="66"/>
      <c r="G53" s="66"/>
      <c r="H53" s="66"/>
      <c r="I53" s="66"/>
      <c r="J53" s="106"/>
      <c r="K53" s="106">
        <v>0</v>
      </c>
      <c r="L53" s="106" t="e">
        <f>SUM(#REF!)</f>
        <v>#REF!</v>
      </c>
      <c r="M53" s="106" t="e">
        <f>SUM(#REF!)</f>
        <v>#REF!</v>
      </c>
      <c r="N53" s="106">
        <f>SUM(N52)</f>
        <v>300000000</v>
      </c>
      <c r="O53" s="106">
        <f>SUM(O52)</f>
        <v>0</v>
      </c>
      <c r="P53" s="106">
        <f t="shared" si="0"/>
        <v>-300000000</v>
      </c>
    </row>
    <row r="54" spans="1:16" ht="25.5" customHeight="1">
      <c r="A54" s="169"/>
      <c r="B54" s="106" t="s">
        <v>18</v>
      </c>
      <c r="C54" s="66"/>
      <c r="D54" s="66"/>
      <c r="E54" s="66"/>
      <c r="F54" s="66"/>
      <c r="G54" s="66"/>
      <c r="H54" s="66"/>
      <c r="I54" s="66"/>
      <c r="J54" s="106" t="e">
        <f>#REF!+J50+J43+J39+J31+J12</f>
        <v>#REF!</v>
      </c>
      <c r="K54" s="106" t="e">
        <f>#REF!+K50+K43+K39+K31+K12</f>
        <v>#REF!</v>
      </c>
      <c r="L54" s="106" t="e">
        <f>L53+#REF!+L50+L43+L39+L31+L12</f>
        <v>#REF!</v>
      </c>
      <c r="M54" s="106" t="e">
        <f>M53+#REF!+M50+M43+M39+M31+M12</f>
        <v>#REF!</v>
      </c>
      <c r="N54" s="106">
        <f>N53+N50+N43+N39+N31+N12</f>
        <v>41666157890</v>
      </c>
      <c r="O54" s="106">
        <f>O53+O50+O43+O39+O31+O12</f>
        <v>38516040570</v>
      </c>
      <c r="P54" s="106">
        <f t="shared" si="0"/>
        <v>-3150117320</v>
      </c>
    </row>
  </sheetData>
  <phoneticPr fontId="0" type="noConversion"/>
  <printOptions gridLines="1"/>
  <pageMargins left="0.73" right="0.3" top="0.9" bottom="0.47" header="0.3" footer="0.25"/>
  <pageSetup scale="50" orientation="portrait" r:id="rId1"/>
  <headerFooter alignWithMargins="0">
    <oddHeader>&amp;C&amp;"Algerian,Bold"&amp;36WASAARADdA MADAXTOOYAdDA</oddHeader>
    <oddFooter>&amp;R&amp;14 &amp;16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="61" zoomScaleSheetLayoutView="61" workbookViewId="0">
      <selection activeCell="P35" sqref="P35"/>
    </sheetView>
  </sheetViews>
  <sheetFormatPr defaultRowHeight="23.1" customHeight="1"/>
  <cols>
    <col min="1" max="1" width="16.33203125" style="181" customWidth="1"/>
    <col min="2" max="2" width="84" style="181" customWidth="1"/>
    <col min="3" max="3" width="0.1640625" style="181" hidden="1" customWidth="1"/>
    <col min="4" max="4" width="0.33203125" style="181" hidden="1" customWidth="1"/>
    <col min="5" max="5" width="13.33203125" style="181" hidden="1" customWidth="1"/>
    <col min="6" max="7" width="0.1640625" style="181" hidden="1" customWidth="1"/>
    <col min="8" max="8" width="14.5" style="181" hidden="1" customWidth="1"/>
    <col min="9" max="9" width="17.6640625" style="181" hidden="1" customWidth="1"/>
    <col min="10" max="10" width="23.5" style="181" hidden="1" customWidth="1"/>
    <col min="11" max="11" width="43.33203125" style="181" hidden="1" customWidth="1"/>
    <col min="12" max="12" width="33.83203125" style="181" hidden="1" customWidth="1"/>
    <col min="13" max="13" width="33.5" style="181" hidden="1" customWidth="1"/>
    <col min="14" max="14" width="0.1640625" style="181" customWidth="1"/>
    <col min="15" max="15" width="32.83203125" style="181" hidden="1" customWidth="1"/>
    <col min="16" max="16" width="32.83203125" style="181" bestFit="1" customWidth="1"/>
    <col min="17" max="17" width="32.83203125" style="181" customWidth="1"/>
    <col min="18" max="18" width="27.5" style="181" bestFit="1" customWidth="1"/>
    <col min="19" max="16384" width="9.33203125" style="181"/>
  </cols>
  <sheetData>
    <row r="1" spans="1:18" ht="23.1" customHeight="1">
      <c r="A1" s="249" t="s">
        <v>20</v>
      </c>
      <c r="B1" s="250" t="s">
        <v>767</v>
      </c>
      <c r="C1" s="66"/>
      <c r="D1" s="66"/>
      <c r="E1" s="66"/>
      <c r="F1" s="66"/>
      <c r="G1" s="66"/>
      <c r="H1" s="66"/>
      <c r="I1" s="66"/>
      <c r="J1" s="66"/>
      <c r="K1" s="66"/>
      <c r="L1" s="106"/>
      <c r="M1" s="413"/>
      <c r="N1" s="413"/>
      <c r="O1" s="413"/>
      <c r="P1" s="413"/>
      <c r="Q1" s="413"/>
      <c r="R1" s="266"/>
    </row>
    <row r="2" spans="1:18" ht="23.1" customHeight="1">
      <c r="A2" s="249" t="s">
        <v>6</v>
      </c>
      <c r="B2" s="130" t="s">
        <v>7</v>
      </c>
      <c r="C2" s="106" t="s">
        <v>19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41</v>
      </c>
      <c r="I2" s="112" t="s">
        <v>66</v>
      </c>
      <c r="J2" s="112" t="s">
        <v>174</v>
      </c>
      <c r="K2" s="112" t="s">
        <v>168</v>
      </c>
      <c r="L2" s="112" t="s">
        <v>174</v>
      </c>
      <c r="M2" s="112" t="s">
        <v>168</v>
      </c>
      <c r="N2" s="112" t="s">
        <v>318</v>
      </c>
      <c r="O2" s="112" t="s">
        <v>530</v>
      </c>
      <c r="P2" s="112" t="s">
        <v>605</v>
      </c>
      <c r="Q2" s="112" t="s">
        <v>721</v>
      </c>
      <c r="R2" s="112" t="s">
        <v>34</v>
      </c>
    </row>
    <row r="3" spans="1:18" s="517" customFormat="1" ht="23.1" customHeight="1">
      <c r="A3" s="249">
        <v>210</v>
      </c>
      <c r="B3" s="106" t="s">
        <v>95</v>
      </c>
      <c r="C3" s="66"/>
      <c r="D3" s="66"/>
      <c r="E3" s="66"/>
      <c r="F3" s="66"/>
      <c r="G3" s="66"/>
      <c r="H3" s="128"/>
      <c r="I3" s="128"/>
      <c r="J3" s="128"/>
      <c r="K3" s="128"/>
      <c r="L3" s="66"/>
      <c r="M3" s="118"/>
      <c r="N3" s="118"/>
      <c r="O3" s="118"/>
      <c r="P3" s="118"/>
      <c r="Q3" s="118"/>
      <c r="R3" s="118"/>
    </row>
    <row r="4" spans="1:18" ht="23.1" customHeight="1">
      <c r="A4" s="249">
        <v>2110</v>
      </c>
      <c r="B4" s="106" t="s">
        <v>155</v>
      </c>
      <c r="C4" s="66">
        <v>61545000</v>
      </c>
      <c r="D4" s="66">
        <v>74124000</v>
      </c>
      <c r="E4" s="66">
        <v>64128000</v>
      </c>
      <c r="F4" s="66">
        <v>72660000</v>
      </c>
      <c r="G4" s="66">
        <v>72660000</v>
      </c>
      <c r="H4" s="66">
        <f>72660000+42936000</f>
        <v>115596000</v>
      </c>
      <c r="I4" s="66">
        <f>150274800+4149600+13104000+3198000</f>
        <v>170726400</v>
      </c>
      <c r="J4" s="66"/>
      <c r="K4" s="66"/>
      <c r="L4" s="66"/>
      <c r="M4" s="66"/>
      <c r="N4" s="66"/>
      <c r="O4" s="66"/>
      <c r="P4" s="66"/>
      <c r="Q4" s="66"/>
      <c r="R4" s="118"/>
    </row>
    <row r="5" spans="1:18" ht="23.1" customHeight="1">
      <c r="A5" s="169">
        <v>21101</v>
      </c>
      <c r="B5" s="66" t="s">
        <v>296</v>
      </c>
      <c r="C5" s="66">
        <v>1180900</v>
      </c>
      <c r="D5" s="66"/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305572400</v>
      </c>
      <c r="K5" s="66"/>
      <c r="L5" s="66">
        <v>744681600</v>
      </c>
      <c r="M5" s="66">
        <v>1909440000</v>
      </c>
      <c r="N5" s="66">
        <v>1775779200</v>
      </c>
      <c r="O5" s="66">
        <v>1788508800</v>
      </c>
      <c r="P5" s="66">
        <v>3673762560</v>
      </c>
      <c r="Q5" s="66">
        <v>4090726080</v>
      </c>
      <c r="R5" s="100">
        <f>Q5-P5</f>
        <v>416963520</v>
      </c>
    </row>
    <row r="6" spans="1:18" ht="23.1" customHeight="1">
      <c r="A6" s="169">
        <v>21102</v>
      </c>
      <c r="B6" s="66" t="s">
        <v>10</v>
      </c>
      <c r="C6" s="66">
        <v>1123486000</v>
      </c>
      <c r="D6" s="66">
        <v>1227036000</v>
      </c>
      <c r="E6" s="66">
        <v>1192428000</v>
      </c>
      <c r="F6" s="66">
        <f>1935276000+1200000</f>
        <v>1936476000</v>
      </c>
      <c r="G6" s="66">
        <f>1936476000+600000000</f>
        <v>2536476000</v>
      </c>
      <c r="H6" s="66">
        <f>2529276000+54000000</f>
        <v>2583276000</v>
      </c>
      <c r="I6" s="66">
        <f>2530476000+4800000</f>
        <v>2535276000</v>
      </c>
      <c r="J6" s="66">
        <v>0</v>
      </c>
      <c r="K6" s="66"/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100">
        <f t="shared" ref="R6:R52" si="0">Q6-P6</f>
        <v>0</v>
      </c>
    </row>
    <row r="7" spans="1:18" ht="23.1" customHeight="1">
      <c r="A7" s="169">
        <v>21103</v>
      </c>
      <c r="B7" s="66" t="s">
        <v>532</v>
      </c>
      <c r="C7" s="66"/>
      <c r="D7" s="66"/>
      <c r="E7" s="66"/>
      <c r="F7" s="66"/>
      <c r="G7" s="66"/>
      <c r="H7" s="66"/>
      <c r="I7" s="66"/>
      <c r="J7" s="66">
        <v>338400000</v>
      </c>
      <c r="K7" s="66"/>
      <c r="L7" s="66">
        <v>264867000</v>
      </c>
      <c r="M7" s="66">
        <v>322467000</v>
      </c>
      <c r="N7" s="66">
        <v>322467000</v>
      </c>
      <c r="O7" s="66">
        <v>365667000</v>
      </c>
      <c r="P7" s="66">
        <f>O7</f>
        <v>365667000</v>
      </c>
      <c r="Q7" s="66">
        <f>P7</f>
        <v>365667000</v>
      </c>
      <c r="R7" s="100">
        <f t="shared" si="0"/>
        <v>0</v>
      </c>
    </row>
    <row r="8" spans="1:18" ht="23.1" customHeight="1">
      <c r="A8" s="169">
        <v>21105</v>
      </c>
      <c r="B8" s="66" t="s">
        <v>367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>
        <v>0</v>
      </c>
      <c r="N8" s="66">
        <v>193680000</v>
      </c>
      <c r="O8" s="66">
        <v>202320000</v>
      </c>
      <c r="P8" s="66">
        <v>346320000</v>
      </c>
      <c r="Q8" s="66">
        <v>346320000</v>
      </c>
      <c r="R8" s="100">
        <f t="shared" si="0"/>
        <v>0</v>
      </c>
    </row>
    <row r="9" spans="1:18" ht="23.1" customHeight="1">
      <c r="A9" s="249">
        <v>2120</v>
      </c>
      <c r="B9" s="106" t="s">
        <v>156</v>
      </c>
      <c r="C9" s="66"/>
      <c r="D9" s="66"/>
      <c r="E9" s="66"/>
      <c r="F9" s="66"/>
      <c r="G9" s="66"/>
      <c r="H9" s="66"/>
      <c r="I9" s="66"/>
      <c r="J9" s="66"/>
      <c r="K9" s="106"/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100">
        <f t="shared" si="0"/>
        <v>0</v>
      </c>
    </row>
    <row r="10" spans="1:18" ht="23.1" customHeight="1">
      <c r="A10" s="169">
        <v>21203</v>
      </c>
      <c r="B10" s="66" t="s">
        <v>158</v>
      </c>
      <c r="C10" s="66">
        <v>18000000</v>
      </c>
      <c r="D10" s="66">
        <f>25000000-2000000</f>
        <v>23000000</v>
      </c>
      <c r="E10" s="66">
        <v>23000000</v>
      </c>
      <c r="F10" s="66">
        <v>23000000</v>
      </c>
      <c r="G10" s="66">
        <v>18400000</v>
      </c>
      <c r="H10" s="66">
        <v>56000000</v>
      </c>
      <c r="I10" s="66">
        <v>100000000</v>
      </c>
      <c r="J10" s="66">
        <v>0</v>
      </c>
      <c r="K10" s="66"/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100">
        <f t="shared" si="0"/>
        <v>0</v>
      </c>
    </row>
    <row r="11" spans="1:18" ht="23.1" customHeight="1">
      <c r="A11" s="169"/>
      <c r="B11" s="106" t="s">
        <v>59</v>
      </c>
      <c r="C11" s="66">
        <v>11878000</v>
      </c>
      <c r="D11" s="66">
        <f>2000000+2000000</f>
        <v>4000000</v>
      </c>
      <c r="E11" s="66">
        <v>2000000</v>
      </c>
      <c r="F11" s="66">
        <v>2000000</v>
      </c>
      <c r="G11" s="66">
        <v>1600000</v>
      </c>
      <c r="H11" s="66">
        <v>30000000</v>
      </c>
      <c r="I11" s="66">
        <v>60000000</v>
      </c>
      <c r="J11" s="106">
        <f>SUM(J5:J10)</f>
        <v>643972400</v>
      </c>
      <c r="K11" s="66"/>
      <c r="L11" s="106">
        <f t="shared" ref="L11:P11" si="1">SUM(L5:L10)</f>
        <v>1009548600</v>
      </c>
      <c r="M11" s="106">
        <f t="shared" si="1"/>
        <v>2231907000</v>
      </c>
      <c r="N11" s="106">
        <f t="shared" si="1"/>
        <v>2291926200</v>
      </c>
      <c r="O11" s="106">
        <f t="shared" si="1"/>
        <v>2356495800</v>
      </c>
      <c r="P11" s="106">
        <f t="shared" si="1"/>
        <v>4385749560</v>
      </c>
      <c r="Q11" s="106">
        <f>SUM(Q5:Q10)</f>
        <v>4802713080</v>
      </c>
      <c r="R11" s="100">
        <f t="shared" si="0"/>
        <v>416963520</v>
      </c>
    </row>
    <row r="12" spans="1:18" ht="23.1" customHeight="1">
      <c r="A12" s="249">
        <v>220</v>
      </c>
      <c r="B12" s="106" t="s">
        <v>159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200000000</v>
      </c>
      <c r="I12" s="66">
        <v>200000000</v>
      </c>
      <c r="J12" s="66"/>
      <c r="K12" s="66"/>
      <c r="L12" s="66"/>
      <c r="M12" s="66"/>
      <c r="N12" s="66"/>
      <c r="O12" s="66"/>
      <c r="P12" s="66"/>
      <c r="Q12" s="66"/>
      <c r="R12" s="100">
        <f t="shared" si="0"/>
        <v>0</v>
      </c>
    </row>
    <row r="13" spans="1:18" ht="23.1" customHeight="1">
      <c r="A13" s="249">
        <v>2210</v>
      </c>
      <c r="B13" s="106" t="s">
        <v>160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00">
        <f t="shared" si="0"/>
        <v>0</v>
      </c>
    </row>
    <row r="14" spans="1:18" ht="23.1" customHeight="1">
      <c r="A14" s="169">
        <v>22101</v>
      </c>
      <c r="B14" s="66" t="s">
        <v>14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356850000</v>
      </c>
      <c r="I14" s="66">
        <v>0</v>
      </c>
      <c r="J14" s="66">
        <v>11479200</v>
      </c>
      <c r="K14" s="66"/>
      <c r="L14" s="66">
        <v>9649999</v>
      </c>
      <c r="M14" s="66">
        <f>9649999*70%</f>
        <v>6754999.2999999998</v>
      </c>
      <c r="N14" s="66">
        <f>9649999*70%</f>
        <v>6754999.2999999998</v>
      </c>
      <c r="O14" s="66">
        <v>106754999</v>
      </c>
      <c r="P14" s="66">
        <v>106754999</v>
      </c>
      <c r="Q14" s="66">
        <v>106754999</v>
      </c>
      <c r="R14" s="100">
        <f t="shared" si="0"/>
        <v>0</v>
      </c>
    </row>
    <row r="15" spans="1:18" ht="23.1" customHeight="1">
      <c r="A15" s="169">
        <v>22102</v>
      </c>
      <c r="B15" s="66" t="s">
        <v>82</v>
      </c>
      <c r="C15" s="66">
        <v>1500000</v>
      </c>
      <c r="D15" s="66">
        <v>5500000</v>
      </c>
      <c r="E15" s="66">
        <v>500000</v>
      </c>
      <c r="F15" s="66">
        <v>500000</v>
      </c>
      <c r="G15" s="66">
        <v>400000</v>
      </c>
      <c r="H15" s="66">
        <v>12000000</v>
      </c>
      <c r="I15" s="66">
        <v>20000000</v>
      </c>
      <c r="J15" s="66">
        <v>0</v>
      </c>
      <c r="K15" s="66"/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100">
        <f t="shared" si="0"/>
        <v>0</v>
      </c>
    </row>
    <row r="16" spans="1:18" ht="23.1" customHeight="1">
      <c r="A16" s="169">
        <v>22103</v>
      </c>
      <c r="B16" s="66" t="s">
        <v>83</v>
      </c>
      <c r="C16" s="66"/>
      <c r="D16" s="66"/>
      <c r="E16" s="66"/>
      <c r="F16" s="66"/>
      <c r="G16" s="66"/>
      <c r="H16" s="66"/>
      <c r="I16" s="66"/>
      <c r="J16" s="66">
        <v>8500000</v>
      </c>
      <c r="K16" s="66"/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0">
        <f t="shared" si="0"/>
        <v>0</v>
      </c>
    </row>
    <row r="17" spans="1:18" ht="23.1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/>
      <c r="I17" s="66"/>
      <c r="J17" s="66">
        <v>32726886</v>
      </c>
      <c r="K17" s="66"/>
      <c r="L17" s="66">
        <v>6249998</v>
      </c>
      <c r="M17" s="66">
        <f>6249998*70%</f>
        <v>4374998.5999999996</v>
      </c>
      <c r="N17" s="66">
        <f>6249998*70%</f>
        <v>4374998.5999999996</v>
      </c>
      <c r="O17" s="66">
        <v>20000000</v>
      </c>
      <c r="P17" s="66">
        <v>20000000</v>
      </c>
      <c r="Q17" s="66">
        <v>20000000</v>
      </c>
      <c r="R17" s="100">
        <f t="shared" si="0"/>
        <v>0</v>
      </c>
    </row>
    <row r="18" spans="1:18" ht="23.1" customHeight="1">
      <c r="A18" s="169">
        <v>22105</v>
      </c>
      <c r="B18" s="66" t="s">
        <v>93</v>
      </c>
      <c r="C18" s="66"/>
      <c r="D18" s="66"/>
      <c r="E18" s="66"/>
      <c r="F18" s="66"/>
      <c r="G18" s="66"/>
      <c r="H18" s="66"/>
      <c r="I18" s="66"/>
      <c r="J18" s="66"/>
      <c r="K18" s="66"/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100">
        <f t="shared" si="0"/>
        <v>0</v>
      </c>
    </row>
    <row r="19" spans="1:18" ht="23.1" customHeight="1">
      <c r="A19" s="169">
        <v>22106</v>
      </c>
      <c r="B19" s="66" t="s">
        <v>84</v>
      </c>
      <c r="C19" s="66">
        <v>2500000</v>
      </c>
      <c r="D19" s="66">
        <v>2000000</v>
      </c>
      <c r="E19" s="66">
        <v>2000000</v>
      </c>
      <c r="F19" s="66">
        <v>2000000</v>
      </c>
      <c r="G19" s="66">
        <v>1600000</v>
      </c>
      <c r="H19" s="66">
        <v>41000000</v>
      </c>
      <c r="I19" s="66">
        <v>41000000</v>
      </c>
      <c r="J19" s="66">
        <v>15735744</v>
      </c>
      <c r="K19" s="66"/>
      <c r="L19" s="66">
        <v>30975750</v>
      </c>
      <c r="M19" s="66">
        <f>45475750*70%</f>
        <v>31833024.999999996</v>
      </c>
      <c r="N19" s="66">
        <v>8280000</v>
      </c>
      <c r="O19" s="66">
        <v>108280000</v>
      </c>
      <c r="P19" s="66">
        <v>158280000</v>
      </c>
      <c r="Q19" s="66">
        <v>158280000</v>
      </c>
      <c r="R19" s="100">
        <f t="shared" si="0"/>
        <v>0</v>
      </c>
    </row>
    <row r="20" spans="1:18" ht="23.1" customHeight="1">
      <c r="A20" s="169">
        <v>22107</v>
      </c>
      <c r="B20" s="66" t="s">
        <v>30</v>
      </c>
      <c r="C20" s="66">
        <f t="shared" ref="C20:I20" si="2">SUM(C14:C19)</f>
        <v>4000000</v>
      </c>
      <c r="D20" s="66">
        <f t="shared" si="2"/>
        <v>7500000</v>
      </c>
      <c r="E20" s="66">
        <f t="shared" si="2"/>
        <v>2500000</v>
      </c>
      <c r="F20" s="66">
        <f t="shared" si="2"/>
        <v>2500000</v>
      </c>
      <c r="G20" s="66">
        <f t="shared" si="2"/>
        <v>2000000</v>
      </c>
      <c r="H20" s="66">
        <f t="shared" si="2"/>
        <v>409850000</v>
      </c>
      <c r="I20" s="106">
        <f t="shared" si="2"/>
        <v>61000000</v>
      </c>
      <c r="J20" s="106">
        <v>19737600</v>
      </c>
      <c r="K20" s="106"/>
      <c r="L20" s="66">
        <v>20000000</v>
      </c>
      <c r="M20" s="66">
        <f>20000000*70%</f>
        <v>14000000</v>
      </c>
      <c r="N20" s="66">
        <f>M20*70%</f>
        <v>9800000</v>
      </c>
      <c r="O20" s="66">
        <v>14000000</v>
      </c>
      <c r="P20" s="66">
        <v>14000000</v>
      </c>
      <c r="Q20" s="66">
        <v>14000000</v>
      </c>
      <c r="R20" s="100">
        <f t="shared" si="0"/>
        <v>0</v>
      </c>
    </row>
    <row r="21" spans="1:18" ht="23.1" customHeight="1">
      <c r="A21" s="169">
        <v>22108</v>
      </c>
      <c r="B21" s="66" t="s">
        <v>60</v>
      </c>
      <c r="C21" s="66"/>
      <c r="D21" s="66"/>
      <c r="E21" s="66"/>
      <c r="F21" s="66"/>
      <c r="G21" s="66"/>
      <c r="H21" s="66"/>
      <c r="I21" s="66"/>
      <c r="J21" s="66">
        <v>0</v>
      </c>
      <c r="K21" s="66"/>
      <c r="L21" s="66">
        <v>0</v>
      </c>
      <c r="M21" s="66">
        <v>0</v>
      </c>
      <c r="N21" s="66">
        <v>0</v>
      </c>
      <c r="O21" s="66">
        <v>356906000</v>
      </c>
      <c r="P21" s="66">
        <v>856000000</v>
      </c>
      <c r="Q21" s="66">
        <v>856000000</v>
      </c>
      <c r="R21" s="100">
        <f t="shared" si="0"/>
        <v>0</v>
      </c>
    </row>
    <row r="22" spans="1:18" ht="23.1" customHeight="1">
      <c r="A22" s="169">
        <v>22109</v>
      </c>
      <c r="B22" s="66" t="s">
        <v>94</v>
      </c>
      <c r="C22" s="66">
        <v>23000000</v>
      </c>
      <c r="D22" s="66">
        <v>15000000</v>
      </c>
      <c r="E22" s="66">
        <v>8949700</v>
      </c>
      <c r="F22" s="66">
        <v>8949700</v>
      </c>
      <c r="G22" s="66">
        <v>12000000</v>
      </c>
      <c r="H22" s="66">
        <v>80000000</v>
      </c>
      <c r="I22" s="66">
        <v>80000000</v>
      </c>
      <c r="J22" s="66">
        <v>25610000</v>
      </c>
      <c r="K22" s="66"/>
      <c r="L22" s="66">
        <v>7500000</v>
      </c>
      <c r="M22" s="66">
        <f>7500000*70%</f>
        <v>5250000</v>
      </c>
      <c r="N22" s="66">
        <f>7500000*70%</f>
        <v>5250000</v>
      </c>
      <c r="O22" s="66">
        <v>10500000</v>
      </c>
      <c r="P22" s="66">
        <v>10500000</v>
      </c>
      <c r="Q22" s="66">
        <v>10500000</v>
      </c>
      <c r="R22" s="100">
        <f t="shared" si="0"/>
        <v>0</v>
      </c>
    </row>
    <row r="23" spans="1:18" ht="23.1" customHeight="1">
      <c r="A23" s="169">
        <v>22112</v>
      </c>
      <c r="B23" s="66" t="s">
        <v>469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>
        <v>30000000</v>
      </c>
      <c r="O23" s="66">
        <v>35000000</v>
      </c>
      <c r="P23" s="66">
        <v>55000000</v>
      </c>
      <c r="Q23" s="66">
        <v>55000000</v>
      </c>
      <c r="R23" s="100">
        <f t="shared" si="0"/>
        <v>0</v>
      </c>
    </row>
    <row r="24" spans="1:18" ht="23.1" customHeight="1">
      <c r="A24" s="169">
        <v>22132</v>
      </c>
      <c r="B24" s="66" t="s">
        <v>144</v>
      </c>
      <c r="C24" s="66">
        <v>3000000</v>
      </c>
      <c r="D24" s="66">
        <v>1500000</v>
      </c>
      <c r="E24" s="66">
        <v>0</v>
      </c>
      <c r="F24" s="66">
        <v>0</v>
      </c>
      <c r="G24" s="66">
        <v>0</v>
      </c>
      <c r="H24" s="66">
        <v>15000000</v>
      </c>
      <c r="I24" s="66">
        <v>20000000</v>
      </c>
      <c r="J24" s="66">
        <v>1355821960</v>
      </c>
      <c r="K24" s="66"/>
      <c r="L24" s="66">
        <v>70538356</v>
      </c>
      <c r="M24" s="66">
        <f>70538356*70%</f>
        <v>49376849.199999996</v>
      </c>
      <c r="N24" s="66">
        <v>0</v>
      </c>
      <c r="O24" s="66">
        <v>0</v>
      </c>
      <c r="P24" s="66">
        <v>0</v>
      </c>
      <c r="Q24" s="66">
        <v>0</v>
      </c>
      <c r="R24" s="100">
        <f t="shared" si="0"/>
        <v>0</v>
      </c>
    </row>
    <row r="25" spans="1:18" ht="23.1" customHeight="1">
      <c r="A25" s="169"/>
      <c r="B25" s="106" t="s">
        <v>59</v>
      </c>
      <c r="C25" s="66">
        <v>0</v>
      </c>
      <c r="D25" s="66">
        <v>0</v>
      </c>
      <c r="E25" s="66">
        <v>0</v>
      </c>
      <c r="F25" s="66">
        <v>0</v>
      </c>
      <c r="G25" s="66">
        <v>16000000</v>
      </c>
      <c r="H25" s="66">
        <v>360113000</v>
      </c>
      <c r="I25" s="66">
        <v>208212162</v>
      </c>
      <c r="J25" s="106">
        <f>SUM(J14:J24)</f>
        <v>1469611390</v>
      </c>
      <c r="K25" s="106"/>
      <c r="L25" s="106">
        <f t="shared" ref="L25:P25" si="3">SUM(L14:L24)</f>
        <v>144914103</v>
      </c>
      <c r="M25" s="106">
        <f t="shared" si="3"/>
        <v>111589872.09999999</v>
      </c>
      <c r="N25" s="106">
        <f t="shared" si="3"/>
        <v>64459997.899999999</v>
      </c>
      <c r="O25" s="106">
        <f t="shared" si="3"/>
        <v>651440999</v>
      </c>
      <c r="P25" s="106">
        <f t="shared" si="3"/>
        <v>1220534999</v>
      </c>
      <c r="Q25" s="106">
        <f>SUM(Q14:Q24)</f>
        <v>1220534999</v>
      </c>
      <c r="R25" s="100">
        <f t="shared" si="0"/>
        <v>0</v>
      </c>
    </row>
    <row r="26" spans="1:18" ht="23.1" customHeight="1">
      <c r="A26" s="249">
        <v>2220</v>
      </c>
      <c r="B26" s="106" t="s">
        <v>161</v>
      </c>
      <c r="C26" s="66"/>
      <c r="D26" s="66"/>
      <c r="E26" s="66"/>
      <c r="F26" s="66"/>
      <c r="G26" s="66"/>
      <c r="H26" s="66"/>
      <c r="I26" s="66">
        <v>0</v>
      </c>
      <c r="J26" s="66"/>
      <c r="K26" s="66"/>
      <c r="L26" s="106"/>
      <c r="M26" s="106"/>
      <c r="N26" s="106"/>
      <c r="O26" s="106"/>
      <c r="P26" s="106"/>
      <c r="Q26" s="106"/>
      <c r="R26" s="100">
        <f t="shared" si="0"/>
        <v>0</v>
      </c>
    </row>
    <row r="27" spans="1:18" ht="23.1" customHeight="1">
      <c r="A27" s="169">
        <v>22201</v>
      </c>
      <c r="B27" s="66" t="s">
        <v>90</v>
      </c>
      <c r="C27" s="106" t="e">
        <f>#REF!+#REF!+#REF!+#REF!+#REF!</f>
        <v>#REF!</v>
      </c>
      <c r="D27" s="106" t="e">
        <f>#REF!+#REF!+#REF!+#REF!+#REF!</f>
        <v>#REF!</v>
      </c>
      <c r="E27" s="106" t="e">
        <f>#REF!+#REF!+#REF!+#REF!+#REF!</f>
        <v>#REF!</v>
      </c>
      <c r="F27" s="106" t="e">
        <f>#REF!+#REF!+#REF!+#REF!+#REF!</f>
        <v>#REF!</v>
      </c>
      <c r="G27" s="106" t="e">
        <f>#REF!+#REF!+#REF!+#REF!+#REF!</f>
        <v>#REF!</v>
      </c>
      <c r="H27" s="106" t="e">
        <f>#REF!+#REF!+#REF!+#REF!+#REF!</f>
        <v>#REF!</v>
      </c>
      <c r="I27" s="106" t="e">
        <f>#REF!+#REF!+#REF!+#REF!+#REF!</f>
        <v>#REF!</v>
      </c>
      <c r="J27" s="66">
        <v>7800000</v>
      </c>
      <c r="K27" s="66"/>
      <c r="L27" s="66">
        <v>144400000</v>
      </c>
      <c r="M27" s="66">
        <f>216400000*70%</f>
        <v>151480000</v>
      </c>
      <c r="N27" s="66">
        <f>216400000*70%</f>
        <v>151480000</v>
      </c>
      <c r="O27" s="66">
        <v>270000000</v>
      </c>
      <c r="P27" s="66">
        <v>270000000</v>
      </c>
      <c r="Q27" s="66">
        <v>270000000</v>
      </c>
      <c r="R27" s="100">
        <f t="shared" si="0"/>
        <v>0</v>
      </c>
    </row>
    <row r="28" spans="1:18" ht="23.1" customHeight="1">
      <c r="A28" s="169">
        <v>22202</v>
      </c>
      <c r="B28" s="66" t="s">
        <v>91</v>
      </c>
      <c r="C28" s="118"/>
      <c r="D28" s="118"/>
      <c r="E28" s="118"/>
      <c r="F28" s="100">
        <v>0</v>
      </c>
      <c r="G28" s="100" t="s">
        <v>4</v>
      </c>
      <c r="H28" s="100"/>
      <c r="I28" s="100"/>
      <c r="J28" s="66">
        <v>660119248</v>
      </c>
      <c r="K28" s="66"/>
      <c r="L28" s="66">
        <v>126336000</v>
      </c>
      <c r="M28" s="66">
        <f>126336000+50000000*70%</f>
        <v>161336000</v>
      </c>
      <c r="N28" s="66">
        <f>M28*80%</f>
        <v>129068800</v>
      </c>
      <c r="O28" s="66">
        <v>340000000</v>
      </c>
      <c r="P28" s="66">
        <v>440000000</v>
      </c>
      <c r="Q28" s="66">
        <v>440000000</v>
      </c>
      <c r="R28" s="100">
        <f t="shared" si="0"/>
        <v>0</v>
      </c>
    </row>
    <row r="29" spans="1:18" ht="23.1" customHeight="1">
      <c r="A29" s="169">
        <v>22203</v>
      </c>
      <c r="B29" s="66" t="s">
        <v>85</v>
      </c>
      <c r="C29" s="118"/>
      <c r="D29" s="118"/>
      <c r="E29" s="118"/>
      <c r="F29" s="100"/>
      <c r="G29" s="100"/>
      <c r="H29" s="100"/>
      <c r="I29" s="100"/>
      <c r="J29" s="66">
        <v>38304400</v>
      </c>
      <c r="K29" s="66"/>
      <c r="L29" s="66">
        <v>7302878</v>
      </c>
      <c r="M29" s="66">
        <f>7302878*70%</f>
        <v>5112014.5999999996</v>
      </c>
      <c r="N29" s="66">
        <f>7302878*70%</f>
        <v>5112014.5999999996</v>
      </c>
      <c r="O29" s="66">
        <v>20000000</v>
      </c>
      <c r="P29" s="66">
        <v>20000000</v>
      </c>
      <c r="Q29" s="66">
        <v>20000000</v>
      </c>
      <c r="R29" s="100">
        <f t="shared" si="0"/>
        <v>0</v>
      </c>
    </row>
    <row r="30" spans="1:18" ht="23.1" customHeight="1">
      <c r="A30" s="169">
        <v>22204</v>
      </c>
      <c r="B30" s="66" t="s">
        <v>86</v>
      </c>
      <c r="C30" s="66"/>
      <c r="D30" s="66"/>
      <c r="E30" s="66"/>
      <c r="F30" s="66"/>
      <c r="G30" s="66"/>
      <c r="H30" s="66"/>
      <c r="I30" s="66"/>
      <c r="J30" s="66">
        <v>6017984</v>
      </c>
      <c r="K30" s="106"/>
      <c r="L30" s="66">
        <v>4375000</v>
      </c>
      <c r="M30" s="66">
        <f>4375000*70%</f>
        <v>3062500</v>
      </c>
      <c r="N30" s="66">
        <f>4375000*70%</f>
        <v>3062500</v>
      </c>
      <c r="O30" s="66">
        <f>4375000*70%</f>
        <v>3062500</v>
      </c>
      <c r="P30" s="66">
        <f>4375000*70%</f>
        <v>3062500</v>
      </c>
      <c r="Q30" s="66">
        <f>4375000*70%</f>
        <v>3062500</v>
      </c>
      <c r="R30" s="100">
        <f t="shared" si="0"/>
        <v>0</v>
      </c>
    </row>
    <row r="31" spans="1:18" ht="23.1" customHeight="1">
      <c r="A31" s="169">
        <v>22208</v>
      </c>
      <c r="B31" s="66" t="s">
        <v>176</v>
      </c>
      <c r="C31" s="66"/>
      <c r="D31" s="66"/>
      <c r="E31" s="66"/>
      <c r="F31" s="66"/>
      <c r="G31" s="66"/>
      <c r="H31" s="66"/>
      <c r="I31" s="66"/>
      <c r="J31" s="66"/>
      <c r="K31" s="66"/>
      <c r="L31" s="66">
        <v>2654118829</v>
      </c>
      <c r="M31" s="66">
        <f>2654118829/3500*6000+1</f>
        <v>4549917993.5714283</v>
      </c>
      <c r="N31" s="66">
        <v>4100529400</v>
      </c>
      <c r="O31" s="66">
        <v>4261756170</v>
      </c>
      <c r="P31" s="66">
        <v>6767052090</v>
      </c>
      <c r="Q31" s="66">
        <v>6795189498</v>
      </c>
      <c r="R31" s="100">
        <f t="shared" si="0"/>
        <v>28137408</v>
      </c>
    </row>
    <row r="32" spans="1:18" ht="23.1" customHeight="1">
      <c r="A32" s="169">
        <v>22209</v>
      </c>
      <c r="B32" s="66" t="s">
        <v>145</v>
      </c>
      <c r="C32" s="66">
        <v>4000000</v>
      </c>
      <c r="D32" s="66">
        <v>2000000</v>
      </c>
      <c r="E32" s="66">
        <v>0</v>
      </c>
      <c r="F32" s="66">
        <v>0</v>
      </c>
      <c r="G32" s="66">
        <v>0</v>
      </c>
      <c r="H32" s="66">
        <v>200000000</v>
      </c>
      <c r="I32" s="66">
        <v>200000000</v>
      </c>
      <c r="J32" s="66"/>
      <c r="K32" s="66"/>
      <c r="L32" s="66">
        <v>16187498</v>
      </c>
      <c r="M32" s="66">
        <f>16187498*70%</f>
        <v>11331248.6</v>
      </c>
      <c r="N32" s="66">
        <f>16187498*70%</f>
        <v>11331248.6</v>
      </c>
      <c r="O32" s="66">
        <v>100000000</v>
      </c>
      <c r="P32" s="66">
        <v>300000000</v>
      </c>
      <c r="Q32" s="66">
        <v>300000000</v>
      </c>
      <c r="R32" s="100">
        <f t="shared" si="0"/>
        <v>0</v>
      </c>
    </row>
    <row r="33" spans="1:18" ht="23.1" customHeight="1">
      <c r="A33" s="169">
        <v>22210</v>
      </c>
      <c r="B33" s="66" t="s">
        <v>178</v>
      </c>
      <c r="C33" s="66">
        <v>4000000</v>
      </c>
      <c r="D33" s="66">
        <v>2000000</v>
      </c>
      <c r="E33" s="66">
        <v>0</v>
      </c>
      <c r="F33" s="66">
        <v>0</v>
      </c>
      <c r="G33" s="66">
        <v>0</v>
      </c>
      <c r="H33" s="66">
        <v>200000000</v>
      </c>
      <c r="I33" s="66">
        <v>200000000</v>
      </c>
      <c r="J33" s="66"/>
      <c r="K33" s="66"/>
      <c r="L33" s="66">
        <v>64575156</v>
      </c>
      <c r="M33" s="66">
        <f>64575156*70%</f>
        <v>45202609.199999996</v>
      </c>
      <c r="N33" s="66">
        <f>64575156*70%</f>
        <v>45202609.199999996</v>
      </c>
      <c r="O33" s="66">
        <v>140000000</v>
      </c>
      <c r="P33" s="66">
        <v>140000000</v>
      </c>
      <c r="Q33" s="66">
        <v>140000000</v>
      </c>
      <c r="R33" s="100">
        <f t="shared" si="0"/>
        <v>0</v>
      </c>
    </row>
    <row r="34" spans="1:18" ht="23.1" customHeight="1">
      <c r="A34" s="169">
        <v>22216</v>
      </c>
      <c r="B34" s="66" t="s">
        <v>177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150000000</v>
      </c>
      <c r="I34" s="66">
        <v>150000000</v>
      </c>
      <c r="J34" s="66">
        <v>21501800</v>
      </c>
      <c r="K34" s="66"/>
      <c r="L34" s="66">
        <v>53441750</v>
      </c>
      <c r="M34" s="66">
        <f>53441750*70%</f>
        <v>37409225</v>
      </c>
      <c r="N34" s="66">
        <f>53441750*70%</f>
        <v>37409225</v>
      </c>
      <c r="O34" s="66">
        <f>53441750*70%</f>
        <v>37409225</v>
      </c>
      <c r="P34" s="66">
        <v>137409225</v>
      </c>
      <c r="Q34" s="66">
        <v>137409225</v>
      </c>
      <c r="R34" s="100">
        <f t="shared" si="0"/>
        <v>0</v>
      </c>
    </row>
    <row r="35" spans="1:18" ht="23.1" customHeight="1">
      <c r="A35" s="169"/>
      <c r="B35" s="106" t="s">
        <v>59</v>
      </c>
      <c r="C35" s="66">
        <v>10089000</v>
      </c>
      <c r="D35" s="66">
        <v>10004000</v>
      </c>
      <c r="E35" s="66">
        <v>20004000</v>
      </c>
      <c r="F35" s="66">
        <v>20004000</v>
      </c>
      <c r="G35" s="66">
        <v>40003200</v>
      </c>
      <c r="H35" s="66">
        <v>100000000</v>
      </c>
      <c r="I35" s="66">
        <v>100000000</v>
      </c>
      <c r="J35" s="106">
        <f>SUM(J27:J31)</f>
        <v>712241632</v>
      </c>
      <c r="K35" s="66"/>
      <c r="L35" s="106">
        <f>SUM(L27:L32)</f>
        <v>2952720205</v>
      </c>
      <c r="M35" s="106">
        <f>SUM(M27:M34)</f>
        <v>4964851590.9714289</v>
      </c>
      <c r="N35" s="106">
        <f>SUM(N27:N34)</f>
        <v>4483195797.4000006</v>
      </c>
      <c r="O35" s="106">
        <f>SUM(O27:O34)</f>
        <v>5172227895</v>
      </c>
      <c r="P35" s="106">
        <f>SUM(P27:P34)</f>
        <v>8077523815</v>
      </c>
      <c r="Q35" s="106">
        <f>SUM(Q27:Q34)</f>
        <v>8105661223</v>
      </c>
      <c r="R35" s="100">
        <f t="shared" si="0"/>
        <v>28137408</v>
      </c>
    </row>
    <row r="36" spans="1:18" ht="23.1" customHeight="1">
      <c r="A36" s="249">
        <v>2230</v>
      </c>
      <c r="B36" s="106" t="s">
        <v>88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616200000</v>
      </c>
      <c r="I36" s="66">
        <v>616200000</v>
      </c>
      <c r="J36" s="66"/>
      <c r="K36" s="66"/>
      <c r="L36" s="66"/>
      <c r="M36" s="66"/>
      <c r="N36" s="66"/>
      <c r="O36" s="66"/>
      <c r="P36" s="66"/>
      <c r="Q36" s="66"/>
      <c r="R36" s="100">
        <f t="shared" si="0"/>
        <v>0</v>
      </c>
    </row>
    <row r="37" spans="1:18" ht="23.1" customHeight="1">
      <c r="A37" s="169">
        <v>22301</v>
      </c>
      <c r="B37" s="66" t="s">
        <v>31</v>
      </c>
      <c r="C37" s="66">
        <v>13333000</v>
      </c>
      <c r="D37" s="66">
        <v>5000000</v>
      </c>
      <c r="E37" s="66">
        <v>0</v>
      </c>
      <c r="F37" s="66">
        <v>0</v>
      </c>
      <c r="G37" s="66">
        <v>0</v>
      </c>
      <c r="H37" s="66">
        <v>100000000</v>
      </c>
      <c r="I37" s="66">
        <v>70000000</v>
      </c>
      <c r="J37" s="66">
        <v>59340500</v>
      </c>
      <c r="K37" s="106"/>
      <c r="L37" s="66">
        <v>82000000</v>
      </c>
      <c r="M37" s="66">
        <f>82000000*70%</f>
        <v>57400000</v>
      </c>
      <c r="N37" s="66">
        <f>82000000*70%</f>
        <v>57400000</v>
      </c>
      <c r="O37" s="66">
        <v>150000000</v>
      </c>
      <c r="P37" s="66">
        <v>250000000</v>
      </c>
      <c r="Q37" s="66">
        <v>250000000</v>
      </c>
      <c r="R37" s="100">
        <f t="shared" si="0"/>
        <v>0</v>
      </c>
    </row>
    <row r="38" spans="1:18" ht="23.1" customHeight="1">
      <c r="A38" s="169">
        <v>22302</v>
      </c>
      <c r="B38" s="66" t="s">
        <v>162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4424000</v>
      </c>
      <c r="K38" s="66"/>
      <c r="L38" s="66">
        <v>4875000</v>
      </c>
      <c r="M38" s="66">
        <f>4875000*70%</f>
        <v>3412500</v>
      </c>
      <c r="N38" s="66">
        <f>4875000*70%</f>
        <v>3412500</v>
      </c>
      <c r="O38" s="66">
        <f>4875000*70%</f>
        <v>3412500</v>
      </c>
      <c r="P38" s="66">
        <f>4875000*70%</f>
        <v>3412500</v>
      </c>
      <c r="Q38" s="66">
        <f>4875000*70%</f>
        <v>3412500</v>
      </c>
      <c r="R38" s="100">
        <f t="shared" si="0"/>
        <v>0</v>
      </c>
    </row>
    <row r="39" spans="1:18" ht="23.1" customHeight="1">
      <c r="A39" s="169">
        <v>22303</v>
      </c>
      <c r="B39" s="66" t="s">
        <v>163</v>
      </c>
      <c r="C39" s="106">
        <f t="shared" ref="C39:I39" si="4">SUM(C37:C38)</f>
        <v>13333000</v>
      </c>
      <c r="D39" s="106">
        <f t="shared" si="4"/>
        <v>5000000</v>
      </c>
      <c r="E39" s="106">
        <f t="shared" si="4"/>
        <v>0</v>
      </c>
      <c r="F39" s="106">
        <f t="shared" si="4"/>
        <v>0</v>
      </c>
      <c r="G39" s="106">
        <f t="shared" si="4"/>
        <v>0</v>
      </c>
      <c r="H39" s="106">
        <f t="shared" si="4"/>
        <v>100000000</v>
      </c>
      <c r="I39" s="106">
        <f t="shared" si="4"/>
        <v>70000000</v>
      </c>
      <c r="J39" s="66"/>
      <c r="K39" s="66"/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100">
        <f t="shared" si="0"/>
        <v>0</v>
      </c>
    </row>
    <row r="40" spans="1:18" ht="23.1" customHeight="1">
      <c r="A40" s="169"/>
      <c r="B40" s="106" t="s">
        <v>59</v>
      </c>
      <c r="C40" s="106" t="e">
        <f>C39+#REF!+C30+C20+#REF!</f>
        <v>#REF!</v>
      </c>
      <c r="D40" s="106" t="e">
        <f>D39+#REF!+D30+D20+#REF!</f>
        <v>#REF!</v>
      </c>
      <c r="E40" s="106" t="e">
        <f>E39+#REF!+E30+E20+#REF!</f>
        <v>#REF!</v>
      </c>
      <c r="F40" s="106" t="e">
        <f>F39+#REF!+F30+F20+#REF!</f>
        <v>#REF!</v>
      </c>
      <c r="G40" s="106" t="e">
        <f>G39+#REF!+G20+G30+#REF!</f>
        <v>#REF!</v>
      </c>
      <c r="H40" s="106" t="e">
        <f>H39+#REF!+H30+H20+#REF!</f>
        <v>#REF!</v>
      </c>
      <c r="I40" s="106" t="e">
        <f>I39+#REF!+I30+I20+#REF!</f>
        <v>#REF!</v>
      </c>
      <c r="J40" s="106">
        <f>SUM(J37:J39)</f>
        <v>63764500</v>
      </c>
      <c r="K40" s="106"/>
      <c r="L40" s="106">
        <f t="shared" ref="L40:P40" si="5">SUM(L37:L39)</f>
        <v>86875000</v>
      </c>
      <c r="M40" s="106">
        <f t="shared" si="5"/>
        <v>60812500</v>
      </c>
      <c r="N40" s="106">
        <f t="shared" si="5"/>
        <v>60812500</v>
      </c>
      <c r="O40" s="106">
        <f t="shared" si="5"/>
        <v>153412500</v>
      </c>
      <c r="P40" s="106">
        <f t="shared" si="5"/>
        <v>253412500</v>
      </c>
      <c r="Q40" s="106">
        <f>SUM(Q37:Q39)</f>
        <v>253412500</v>
      </c>
      <c r="R40" s="100">
        <f t="shared" si="0"/>
        <v>0</v>
      </c>
    </row>
    <row r="41" spans="1:18" ht="23.1" customHeight="1">
      <c r="A41" s="249">
        <v>230</v>
      </c>
      <c r="B41" s="106" t="s">
        <v>165</v>
      </c>
      <c r="C41" s="66"/>
      <c r="D41" s="66"/>
      <c r="E41" s="66"/>
      <c r="F41" s="66"/>
      <c r="G41" s="66"/>
      <c r="H41" s="66"/>
      <c r="I41" s="66"/>
      <c r="J41" s="66"/>
      <c r="K41" s="106"/>
      <c r="L41" s="66"/>
      <c r="M41" s="66"/>
      <c r="N41" s="66"/>
      <c r="O41" s="66"/>
      <c r="P41" s="66"/>
      <c r="Q41" s="66"/>
      <c r="R41" s="100">
        <f t="shared" si="0"/>
        <v>0</v>
      </c>
    </row>
    <row r="42" spans="1:18" ht="23.1" customHeight="1">
      <c r="A42" s="249">
        <v>2310</v>
      </c>
      <c r="B42" s="106" t="s">
        <v>164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100">
        <f t="shared" si="0"/>
        <v>0</v>
      </c>
    </row>
    <row r="43" spans="1:18" ht="23.1" customHeight="1">
      <c r="A43" s="169">
        <v>23101</v>
      </c>
      <c r="B43" s="66" t="s">
        <v>172</v>
      </c>
      <c r="C43" s="66"/>
      <c r="D43" s="66"/>
      <c r="E43" s="66"/>
      <c r="F43" s="66"/>
      <c r="G43" s="66"/>
      <c r="H43" s="66"/>
      <c r="I43" s="66"/>
      <c r="J43" s="66">
        <v>7480000</v>
      </c>
      <c r="K43" s="66"/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100">
        <f t="shared" si="0"/>
        <v>0</v>
      </c>
    </row>
    <row r="44" spans="1:18" ht="23.1" customHeight="1">
      <c r="A44" s="169">
        <v>23102</v>
      </c>
      <c r="B44" s="66" t="s">
        <v>173</v>
      </c>
      <c r="C44" s="66"/>
      <c r="D44" s="66"/>
      <c r="E44" s="66"/>
      <c r="F44" s="66"/>
      <c r="G44" s="66"/>
      <c r="H44" s="66"/>
      <c r="I44" s="66"/>
      <c r="J44" s="66">
        <v>524149920</v>
      </c>
      <c r="K44" s="66"/>
      <c r="L44" s="66">
        <v>0</v>
      </c>
      <c r="M44" s="66">
        <v>0</v>
      </c>
      <c r="N44" s="66">
        <v>0</v>
      </c>
      <c r="O44" s="66">
        <v>630000000</v>
      </c>
      <c r="P44" s="66">
        <v>1561000000</v>
      </c>
      <c r="Q44" s="66">
        <v>100000000</v>
      </c>
      <c r="R44" s="100">
        <f t="shared" si="0"/>
        <v>-1461000000</v>
      </c>
    </row>
    <row r="45" spans="1:18" ht="23.1" customHeight="1">
      <c r="A45" s="169">
        <v>23103</v>
      </c>
      <c r="B45" s="66" t="s">
        <v>106</v>
      </c>
      <c r="C45" s="66"/>
      <c r="D45" s="66"/>
      <c r="E45" s="66"/>
      <c r="F45" s="66"/>
      <c r="G45" s="66"/>
      <c r="H45" s="66"/>
      <c r="I45" s="66"/>
      <c r="J45" s="66"/>
      <c r="K45" s="66"/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100">
        <f t="shared" si="0"/>
        <v>0</v>
      </c>
    </row>
    <row r="46" spans="1:18" ht="23.1" customHeight="1">
      <c r="A46" s="169">
        <v>23104</v>
      </c>
      <c r="B46" s="66" t="s">
        <v>107</v>
      </c>
      <c r="C46" s="66"/>
      <c r="D46" s="66"/>
      <c r="E46" s="66"/>
      <c r="F46" s="66"/>
      <c r="G46" s="66"/>
      <c r="H46" s="66"/>
      <c r="I46" s="66"/>
      <c r="J46" s="66"/>
      <c r="K46" s="66"/>
      <c r="L46" s="66">
        <v>12249998</v>
      </c>
      <c r="M46" s="66">
        <f>29789998*70%</f>
        <v>20852998.599999998</v>
      </c>
      <c r="N46" s="66">
        <v>0</v>
      </c>
      <c r="O46" s="66">
        <v>0</v>
      </c>
      <c r="P46" s="66">
        <v>0</v>
      </c>
      <c r="Q46" s="66">
        <v>0</v>
      </c>
      <c r="R46" s="100">
        <f t="shared" si="0"/>
        <v>0</v>
      </c>
    </row>
    <row r="47" spans="1:18" s="521" customFormat="1" ht="23.1" customHeight="1">
      <c r="A47" s="518">
        <v>23105</v>
      </c>
      <c r="B47" s="114" t="s">
        <v>739</v>
      </c>
      <c r="C47" s="114"/>
      <c r="D47" s="114"/>
      <c r="E47" s="114">
        <v>70000000</v>
      </c>
      <c r="F47" s="114"/>
      <c r="G47" s="519"/>
      <c r="H47" s="519"/>
      <c r="I47" s="519"/>
      <c r="J47" s="519"/>
      <c r="K47" s="519"/>
      <c r="L47" s="519"/>
      <c r="M47" s="519"/>
      <c r="N47" s="520">
        <v>0</v>
      </c>
      <c r="O47" s="113">
        <v>70000000</v>
      </c>
      <c r="P47" s="113">
        <v>1526000000</v>
      </c>
      <c r="Q47" s="113">
        <v>70000000</v>
      </c>
      <c r="R47" s="100">
        <f t="shared" si="0"/>
        <v>-1456000000</v>
      </c>
    </row>
    <row r="48" spans="1:18" ht="23.1" customHeight="1">
      <c r="A48" s="169"/>
      <c r="B48" s="106" t="s">
        <v>59</v>
      </c>
      <c r="C48" s="66"/>
      <c r="D48" s="66"/>
      <c r="E48" s="66"/>
      <c r="F48" s="66"/>
      <c r="G48" s="66"/>
      <c r="H48" s="66"/>
      <c r="I48" s="66"/>
      <c r="J48" s="106">
        <f>SUM(J43:J46)</f>
        <v>531629920</v>
      </c>
      <c r="K48" s="66"/>
      <c r="L48" s="106">
        <f>SUM(L43:L46)</f>
        <v>12249998</v>
      </c>
      <c r="M48" s="106">
        <f>SUM(M43:M46)</f>
        <v>20852998.599999998</v>
      </c>
      <c r="N48" s="106">
        <f>SUM(N43:N47)</f>
        <v>0</v>
      </c>
      <c r="O48" s="106">
        <f>SUM(O43:O47)</f>
        <v>700000000</v>
      </c>
      <c r="P48" s="106">
        <f>SUM(P43:P47)</f>
        <v>3087000000</v>
      </c>
      <c r="Q48" s="106">
        <f>SUM(Q43:Q47)</f>
        <v>170000000</v>
      </c>
      <c r="R48" s="105">
        <f t="shared" si="0"/>
        <v>-2917000000</v>
      </c>
    </row>
    <row r="49" spans="1:18" ht="23.1" customHeight="1">
      <c r="A49" s="169">
        <v>2320</v>
      </c>
      <c r="B49" s="106" t="s">
        <v>372</v>
      </c>
      <c r="C49" s="66"/>
      <c r="D49" s="66"/>
      <c r="E49" s="66"/>
      <c r="F49" s="66"/>
      <c r="G49" s="66"/>
      <c r="H49" s="66"/>
      <c r="I49" s="66"/>
      <c r="J49" s="106"/>
      <c r="K49" s="66"/>
      <c r="L49" s="106"/>
      <c r="M49" s="106"/>
      <c r="N49" s="106"/>
      <c r="O49" s="106"/>
      <c r="P49" s="106"/>
      <c r="Q49" s="106"/>
      <c r="R49" s="105"/>
    </row>
    <row r="50" spans="1:18" ht="23.1" customHeight="1">
      <c r="A50" s="169">
        <v>23201</v>
      </c>
      <c r="B50" s="66" t="s">
        <v>837</v>
      </c>
      <c r="C50" s="66"/>
      <c r="D50" s="66"/>
      <c r="E50" s="66"/>
      <c r="F50" s="66"/>
      <c r="G50" s="66"/>
      <c r="H50" s="66"/>
      <c r="I50" s="66"/>
      <c r="J50" s="106"/>
      <c r="K50" s="66"/>
      <c r="L50" s="106"/>
      <c r="M50" s="106"/>
      <c r="N50" s="106"/>
      <c r="O50" s="106"/>
      <c r="P50" s="106"/>
      <c r="Q50" s="66">
        <v>800000000</v>
      </c>
      <c r="R50" s="105"/>
    </row>
    <row r="51" spans="1:18" ht="23.1" customHeight="1">
      <c r="A51" s="169"/>
      <c r="B51" s="106" t="s">
        <v>59</v>
      </c>
      <c r="C51" s="66"/>
      <c r="D51" s="66"/>
      <c r="E51" s="66"/>
      <c r="F51" s="66"/>
      <c r="G51" s="66"/>
      <c r="H51" s="66"/>
      <c r="I51" s="66"/>
      <c r="J51" s="106"/>
      <c r="K51" s="66"/>
      <c r="L51" s="106"/>
      <c r="M51" s="106"/>
      <c r="N51" s="106"/>
      <c r="O51" s="106"/>
      <c r="P51" s="106"/>
      <c r="Q51" s="106">
        <f>SUM(Q50)</f>
        <v>800000000</v>
      </c>
      <c r="R51" s="105"/>
    </row>
    <row r="52" spans="1:18" ht="23.1" customHeight="1">
      <c r="A52" s="169"/>
      <c r="B52" s="106" t="s">
        <v>18</v>
      </c>
      <c r="C52" s="66"/>
      <c r="D52" s="66"/>
      <c r="E52" s="66"/>
      <c r="F52" s="66"/>
      <c r="G52" s="66"/>
      <c r="H52" s="66"/>
      <c r="I52" s="66"/>
      <c r="J52" s="106">
        <f>J11+J25+J35+J40+J48</f>
        <v>3421219842</v>
      </c>
      <c r="K52" s="66"/>
      <c r="L52" s="106">
        <f t="shared" ref="L52:P52" si="6">L48+L40+L35+L25+L11</f>
        <v>4206307906</v>
      </c>
      <c r="M52" s="106">
        <f t="shared" si="6"/>
        <v>7390013961.6714296</v>
      </c>
      <c r="N52" s="106">
        <f t="shared" si="6"/>
        <v>6900394495.3000002</v>
      </c>
      <c r="O52" s="106">
        <f t="shared" si="6"/>
        <v>9033577194</v>
      </c>
      <c r="P52" s="106">
        <f t="shared" si="6"/>
        <v>17024220874</v>
      </c>
      <c r="Q52" s="106">
        <f>Q51+Q48+Q40+Q35+Q25+Q11</f>
        <v>15352321802</v>
      </c>
      <c r="R52" s="105">
        <f t="shared" si="0"/>
        <v>-1671899072</v>
      </c>
    </row>
    <row r="55" spans="1:18" ht="23.1" customHeight="1">
      <c r="N55" s="502" t="s">
        <v>343</v>
      </c>
      <c r="O55" s="502"/>
      <c r="P55" s="502"/>
      <c r="Q55" s="502"/>
    </row>
  </sheetData>
  <phoneticPr fontId="0" type="noConversion"/>
  <pageMargins left="0.55000000000000004" right="0.47" top="1.0900000000000001" bottom="0.6" header="0.4" footer="0.23"/>
  <pageSetup scale="55" orientation="portrait" r:id="rId1"/>
  <headerFooter alignWithMargins="0">
    <oddHeader>&amp;C&amp;"Algerian,Bold"&amp;36CIIDANKA ILAALADA MADAXTOOYADA</oddHeader>
    <oddFooter>&amp;R&amp;"Times New Roman,Bold"&amp;18 10</oddFooter>
  </headerFooter>
  <ignoredErrors>
    <ignoredError sqref="L3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workbookViewId="0">
      <selection activeCell="G45" sqref="G45"/>
    </sheetView>
  </sheetViews>
  <sheetFormatPr defaultRowHeight="27" customHeight="1"/>
  <cols>
    <col min="1" max="1" width="17.5" style="89" bestFit="1" customWidth="1"/>
    <col min="2" max="2" width="93.1640625" style="89" customWidth="1"/>
    <col min="3" max="3" width="27.83203125" style="89" hidden="1" customWidth="1"/>
    <col min="4" max="4" width="24.5" style="89" hidden="1" customWidth="1"/>
    <col min="5" max="5" width="0.33203125" style="89" customWidth="1"/>
    <col min="6" max="6" width="24.5" style="89" bestFit="1" customWidth="1"/>
    <col min="7" max="7" width="24.5" style="89" customWidth="1"/>
    <col min="8" max="8" width="24.5" style="89" bestFit="1" customWidth="1"/>
    <col min="9" max="16384" width="9.33203125" style="89"/>
  </cols>
  <sheetData>
    <row r="1" spans="1:8" s="91" customFormat="1" ht="29.1" customHeight="1">
      <c r="A1" s="152" t="s">
        <v>20</v>
      </c>
      <c r="B1" s="90" t="s">
        <v>768</v>
      </c>
      <c r="C1" s="90"/>
      <c r="D1" s="88"/>
      <c r="E1" s="88"/>
      <c r="F1" s="88"/>
      <c r="G1" s="88"/>
      <c r="H1" s="132"/>
    </row>
    <row r="2" spans="1:8" s="91" customFormat="1" ht="29.1" customHeight="1">
      <c r="A2" s="167">
        <v>210</v>
      </c>
      <c r="B2" s="90" t="s">
        <v>95</v>
      </c>
      <c r="C2" s="90" t="s">
        <v>328</v>
      </c>
      <c r="D2" s="90" t="s">
        <v>326</v>
      </c>
      <c r="E2" s="90" t="s">
        <v>537</v>
      </c>
      <c r="F2" s="90" t="s">
        <v>604</v>
      </c>
      <c r="G2" s="90" t="s">
        <v>724</v>
      </c>
      <c r="H2" s="92" t="s">
        <v>34</v>
      </c>
    </row>
    <row r="3" spans="1:8" s="91" customFormat="1" ht="29.1" customHeight="1">
      <c r="A3" s="167">
        <v>2110</v>
      </c>
      <c r="B3" s="90" t="s">
        <v>155</v>
      </c>
      <c r="C3" s="90"/>
      <c r="D3" s="88"/>
      <c r="E3" s="88"/>
      <c r="F3" s="88"/>
      <c r="G3" s="88"/>
      <c r="H3" s="75"/>
    </row>
    <row r="4" spans="1:8" ht="29.1" customHeight="1">
      <c r="A4" s="166">
        <v>21101</v>
      </c>
      <c r="B4" s="88" t="s">
        <v>267</v>
      </c>
      <c r="C4" s="88">
        <v>0</v>
      </c>
      <c r="D4" s="88"/>
      <c r="E4" s="88">
        <v>93381600</v>
      </c>
      <c r="F4" s="114">
        <v>146427840</v>
      </c>
      <c r="G4" s="114">
        <v>121979520</v>
      </c>
      <c r="H4" s="76">
        <f>G4-F4</f>
        <v>-24448320</v>
      </c>
    </row>
    <row r="5" spans="1:8" ht="29.1" customHeight="1">
      <c r="A5" s="166">
        <v>21102</v>
      </c>
      <c r="B5" s="88" t="s">
        <v>266</v>
      </c>
      <c r="C5" s="88">
        <v>0</v>
      </c>
      <c r="D5" s="88">
        <v>92836800</v>
      </c>
      <c r="E5" s="88">
        <v>30000000</v>
      </c>
      <c r="F5" s="114">
        <v>60000000</v>
      </c>
      <c r="G5" s="114">
        <v>60000000</v>
      </c>
      <c r="H5" s="76">
        <f t="shared" ref="H5:H44" si="0">G5-F5</f>
        <v>0</v>
      </c>
    </row>
    <row r="6" spans="1:8" ht="29.1" customHeight="1">
      <c r="A6" s="166">
        <v>21103</v>
      </c>
      <c r="B6" s="88" t="s">
        <v>533</v>
      </c>
      <c r="C6" s="88">
        <v>0</v>
      </c>
      <c r="D6" s="88">
        <v>18000000</v>
      </c>
      <c r="E6" s="88">
        <v>75600000</v>
      </c>
      <c r="F6" s="114">
        <v>144000000</v>
      </c>
      <c r="G6" s="114">
        <v>144000000</v>
      </c>
      <c r="H6" s="76">
        <f t="shared" si="0"/>
        <v>0</v>
      </c>
    </row>
    <row r="7" spans="1:8" ht="29.1" customHeight="1">
      <c r="A7" s="166"/>
      <c r="B7" s="90" t="s">
        <v>59</v>
      </c>
      <c r="C7" s="88">
        <v>0</v>
      </c>
      <c r="D7" s="90">
        <f>SUM(D5:D6)</f>
        <v>110836800</v>
      </c>
      <c r="E7" s="90">
        <f>SUM(E4:E6)</f>
        <v>198981600</v>
      </c>
      <c r="F7" s="115">
        <f>SUM(F4:F6)</f>
        <v>350427840</v>
      </c>
      <c r="G7" s="115">
        <f>SUM(G4:G6)</f>
        <v>325979520</v>
      </c>
      <c r="H7" s="76">
        <f t="shared" si="0"/>
        <v>-24448320</v>
      </c>
    </row>
    <row r="8" spans="1:8" ht="29.1" customHeight="1">
      <c r="A8" s="167">
        <v>220</v>
      </c>
      <c r="B8" s="90" t="s">
        <v>159</v>
      </c>
      <c r="C8" s="88">
        <v>0</v>
      </c>
      <c r="D8" s="88"/>
      <c r="E8" s="88"/>
      <c r="F8" s="114"/>
      <c r="G8" s="114"/>
      <c r="H8" s="76">
        <f t="shared" si="0"/>
        <v>0</v>
      </c>
    </row>
    <row r="9" spans="1:8" ht="29.1" customHeight="1">
      <c r="A9" s="167">
        <v>2210</v>
      </c>
      <c r="B9" s="90" t="s">
        <v>160</v>
      </c>
      <c r="C9" s="88">
        <v>0</v>
      </c>
      <c r="D9" s="88"/>
      <c r="E9" s="88"/>
      <c r="F9" s="114"/>
      <c r="G9" s="114"/>
      <c r="H9" s="76">
        <f t="shared" si="0"/>
        <v>0</v>
      </c>
    </row>
    <row r="10" spans="1:8" ht="29.1" customHeight="1">
      <c r="A10" s="166">
        <v>22101</v>
      </c>
      <c r="B10" s="88" t="s">
        <v>14</v>
      </c>
      <c r="C10" s="88">
        <v>0</v>
      </c>
      <c r="D10" s="88">
        <v>0</v>
      </c>
      <c r="E10" s="88">
        <v>0</v>
      </c>
      <c r="F10" s="114">
        <v>10000000</v>
      </c>
      <c r="G10" s="114">
        <v>10000000</v>
      </c>
      <c r="H10" s="76">
        <f t="shared" si="0"/>
        <v>0</v>
      </c>
    </row>
    <row r="11" spans="1:8" ht="29.1" customHeight="1">
      <c r="A11" s="166">
        <v>22102</v>
      </c>
      <c r="B11" s="88" t="s">
        <v>82</v>
      </c>
      <c r="C11" s="88">
        <v>0</v>
      </c>
      <c r="D11" s="88"/>
      <c r="E11" s="88"/>
      <c r="F11" s="114"/>
      <c r="G11" s="114"/>
      <c r="H11" s="76">
        <f t="shared" si="0"/>
        <v>0</v>
      </c>
    </row>
    <row r="12" spans="1:8" ht="29.1" customHeight="1">
      <c r="A12" s="166">
        <v>22103</v>
      </c>
      <c r="B12" s="88" t="s">
        <v>83</v>
      </c>
      <c r="C12" s="88">
        <v>0</v>
      </c>
      <c r="D12" s="88"/>
      <c r="E12" s="88"/>
      <c r="F12" s="114"/>
      <c r="G12" s="114"/>
      <c r="H12" s="76">
        <f t="shared" si="0"/>
        <v>0</v>
      </c>
    </row>
    <row r="13" spans="1:8" ht="29.1" customHeight="1">
      <c r="A13" s="166">
        <v>22104</v>
      </c>
      <c r="B13" s="151" t="s">
        <v>116</v>
      </c>
      <c r="C13" s="88">
        <v>0</v>
      </c>
      <c r="D13" s="88">
        <v>8750000</v>
      </c>
      <c r="E13" s="88">
        <v>13750000</v>
      </c>
      <c r="F13" s="114">
        <v>13750000</v>
      </c>
      <c r="G13" s="114">
        <v>13750000</v>
      </c>
      <c r="H13" s="76">
        <f t="shared" si="0"/>
        <v>0</v>
      </c>
    </row>
    <row r="14" spans="1:8" ht="29.1" customHeight="1">
      <c r="A14" s="166">
        <v>22105</v>
      </c>
      <c r="B14" s="88" t="s">
        <v>369</v>
      </c>
      <c r="C14" s="88">
        <v>0</v>
      </c>
      <c r="D14" s="88">
        <v>36000000</v>
      </c>
      <c r="E14" s="88">
        <v>50400000</v>
      </c>
      <c r="F14" s="114">
        <v>50400000</v>
      </c>
      <c r="G14" s="114">
        <v>50400000</v>
      </c>
      <c r="H14" s="76">
        <f t="shared" si="0"/>
        <v>0</v>
      </c>
    </row>
    <row r="15" spans="1:8" ht="29.1" customHeight="1">
      <c r="A15" s="166">
        <v>22106</v>
      </c>
      <c r="B15" s="88" t="s">
        <v>84</v>
      </c>
      <c r="C15" s="88">
        <v>0</v>
      </c>
      <c r="D15" s="88"/>
      <c r="E15" s="88">
        <v>0</v>
      </c>
      <c r="F15" s="114">
        <v>0</v>
      </c>
      <c r="G15" s="114">
        <v>0</v>
      </c>
      <c r="H15" s="76">
        <f t="shared" si="0"/>
        <v>0</v>
      </c>
    </row>
    <row r="16" spans="1:8" ht="29.1" customHeight="1">
      <c r="A16" s="166">
        <v>22107</v>
      </c>
      <c r="B16" s="88" t="s">
        <v>30</v>
      </c>
      <c r="C16" s="88">
        <v>0</v>
      </c>
      <c r="D16" s="88"/>
      <c r="E16" s="88"/>
      <c r="F16" s="114"/>
      <c r="G16" s="114"/>
      <c r="H16" s="76">
        <f t="shared" si="0"/>
        <v>0</v>
      </c>
    </row>
    <row r="17" spans="1:8" ht="29.1" customHeight="1">
      <c r="A17" s="166">
        <v>22108</v>
      </c>
      <c r="B17" s="88" t="s">
        <v>60</v>
      </c>
      <c r="C17" s="88">
        <v>0</v>
      </c>
      <c r="D17" s="88"/>
      <c r="E17" s="88"/>
      <c r="F17" s="114"/>
      <c r="G17" s="114"/>
      <c r="H17" s="76">
        <f t="shared" si="0"/>
        <v>0</v>
      </c>
    </row>
    <row r="18" spans="1:8" ht="29.1" customHeight="1">
      <c r="A18" s="166">
        <v>22109</v>
      </c>
      <c r="B18" s="88" t="s">
        <v>94</v>
      </c>
      <c r="C18" s="88">
        <v>0</v>
      </c>
      <c r="D18" s="88">
        <v>5000000</v>
      </c>
      <c r="E18" s="88">
        <v>5000000</v>
      </c>
      <c r="F18" s="114">
        <v>5000000</v>
      </c>
      <c r="G18" s="114">
        <v>5000000</v>
      </c>
      <c r="H18" s="76">
        <f t="shared" si="0"/>
        <v>0</v>
      </c>
    </row>
    <row r="19" spans="1:8" ht="29.1" customHeight="1">
      <c r="A19" s="166">
        <v>22112</v>
      </c>
      <c r="B19" s="88" t="s">
        <v>16</v>
      </c>
      <c r="C19" s="88">
        <v>0</v>
      </c>
      <c r="D19" s="88">
        <v>15000000</v>
      </c>
      <c r="E19" s="88">
        <v>15000000</v>
      </c>
      <c r="F19" s="114">
        <v>15000000</v>
      </c>
      <c r="G19" s="114">
        <v>15000000</v>
      </c>
      <c r="H19" s="76">
        <f t="shared" si="0"/>
        <v>0</v>
      </c>
    </row>
    <row r="20" spans="1:8" ht="29.1" customHeight="1">
      <c r="A20" s="166">
        <v>22114</v>
      </c>
      <c r="B20" s="88" t="s">
        <v>327</v>
      </c>
      <c r="C20" s="88">
        <v>0</v>
      </c>
      <c r="D20" s="88">
        <v>30000000</v>
      </c>
      <c r="E20" s="88">
        <v>30000000</v>
      </c>
      <c r="F20" s="114">
        <v>30000000</v>
      </c>
      <c r="G20" s="114">
        <v>30000000</v>
      </c>
      <c r="H20" s="76">
        <f t="shared" si="0"/>
        <v>0</v>
      </c>
    </row>
    <row r="21" spans="1:8" ht="29.1" customHeight="1">
      <c r="A21" s="166">
        <v>22137</v>
      </c>
      <c r="B21" s="88" t="s">
        <v>756</v>
      </c>
      <c r="C21" s="88"/>
      <c r="D21" s="88"/>
      <c r="E21" s="88"/>
      <c r="F21" s="114"/>
      <c r="G21" s="180">
        <v>50000000</v>
      </c>
      <c r="H21" s="76">
        <f t="shared" si="0"/>
        <v>50000000</v>
      </c>
    </row>
    <row r="22" spans="1:8" ht="29.1" customHeight="1">
      <c r="A22" s="166">
        <v>22163</v>
      </c>
      <c r="B22" s="88" t="s">
        <v>546</v>
      </c>
      <c r="C22" s="88">
        <v>0</v>
      </c>
      <c r="D22" s="88"/>
      <c r="E22" s="88">
        <v>10000000</v>
      </c>
      <c r="F22" s="114">
        <v>10000000</v>
      </c>
      <c r="G22" s="114">
        <v>10000000</v>
      </c>
      <c r="H22" s="76">
        <f t="shared" si="0"/>
        <v>0</v>
      </c>
    </row>
    <row r="23" spans="1:8" ht="29.1" customHeight="1">
      <c r="A23" s="166"/>
      <c r="B23" s="90" t="s">
        <v>59</v>
      </c>
      <c r="C23" s="88">
        <v>0</v>
      </c>
      <c r="D23" s="90">
        <f>SUM(D13:D20)</f>
        <v>94750000</v>
      </c>
      <c r="E23" s="90">
        <f>SUM(E10:E22)</f>
        <v>124150000</v>
      </c>
      <c r="F23" s="115">
        <f>SUM(F10:F22)</f>
        <v>134150000</v>
      </c>
      <c r="G23" s="115">
        <f>SUM(G10:G22)</f>
        <v>184150000</v>
      </c>
      <c r="H23" s="76">
        <f t="shared" si="0"/>
        <v>50000000</v>
      </c>
    </row>
    <row r="24" spans="1:8" ht="29.1" customHeight="1">
      <c r="A24" s="167">
        <v>2220</v>
      </c>
      <c r="B24" s="90" t="s">
        <v>161</v>
      </c>
      <c r="C24" s="88">
        <v>0</v>
      </c>
      <c r="D24" s="88"/>
      <c r="E24" s="88"/>
      <c r="F24" s="114"/>
      <c r="G24" s="114"/>
      <c r="H24" s="76">
        <f t="shared" si="0"/>
        <v>0</v>
      </c>
    </row>
    <row r="25" spans="1:8" ht="29.1" customHeight="1">
      <c r="A25" s="166">
        <v>22201</v>
      </c>
      <c r="B25" s="88" t="s">
        <v>90</v>
      </c>
      <c r="C25" s="88">
        <v>0</v>
      </c>
      <c r="D25" s="88"/>
      <c r="E25" s="88"/>
      <c r="F25" s="114"/>
      <c r="G25" s="114"/>
      <c r="H25" s="76">
        <f t="shared" si="0"/>
        <v>0</v>
      </c>
    </row>
    <row r="26" spans="1:8" ht="29.1" customHeight="1">
      <c r="A26" s="166">
        <v>22202</v>
      </c>
      <c r="B26" s="88" t="s">
        <v>91</v>
      </c>
      <c r="C26" s="88">
        <v>0</v>
      </c>
      <c r="D26" s="88">
        <v>44600000</v>
      </c>
      <c r="E26" s="88">
        <v>44600000</v>
      </c>
      <c r="F26" s="114">
        <v>64600000</v>
      </c>
      <c r="G26" s="180">
        <v>99600000</v>
      </c>
      <c r="H26" s="76">
        <f t="shared" si="0"/>
        <v>35000000</v>
      </c>
    </row>
    <row r="27" spans="1:8" ht="29.1" customHeight="1">
      <c r="A27" s="166">
        <v>22203</v>
      </c>
      <c r="B27" s="88" t="s">
        <v>85</v>
      </c>
      <c r="C27" s="88">
        <v>0</v>
      </c>
      <c r="D27" s="88">
        <v>10000000</v>
      </c>
      <c r="E27" s="88">
        <v>10000000</v>
      </c>
      <c r="F27" s="114">
        <v>20000000</v>
      </c>
      <c r="G27" s="114">
        <v>20000000</v>
      </c>
      <c r="H27" s="76">
        <f t="shared" si="0"/>
        <v>0</v>
      </c>
    </row>
    <row r="28" spans="1:8" ht="29.1" customHeight="1">
      <c r="A28" s="166">
        <v>22204</v>
      </c>
      <c r="B28" s="88" t="s">
        <v>86</v>
      </c>
      <c r="C28" s="88">
        <v>0</v>
      </c>
      <c r="D28" s="88">
        <v>2000000</v>
      </c>
      <c r="E28" s="88">
        <v>2000000</v>
      </c>
      <c r="F28" s="114">
        <v>2000000</v>
      </c>
      <c r="G28" s="114">
        <v>2000000</v>
      </c>
      <c r="H28" s="76">
        <f t="shared" si="0"/>
        <v>0</v>
      </c>
    </row>
    <row r="29" spans="1:8" ht="29.1" customHeight="1">
      <c r="A29" s="166">
        <v>22205</v>
      </c>
      <c r="B29" s="88" t="s">
        <v>92</v>
      </c>
      <c r="C29" s="88">
        <v>0</v>
      </c>
      <c r="D29" s="88"/>
      <c r="E29" s="88"/>
      <c r="F29" s="114"/>
      <c r="G29" s="114"/>
      <c r="H29" s="76">
        <f t="shared" si="0"/>
        <v>0</v>
      </c>
    </row>
    <row r="30" spans="1:8" ht="29.1" customHeight="1">
      <c r="A30" s="166">
        <v>22209</v>
      </c>
      <c r="B30" s="88" t="s">
        <v>145</v>
      </c>
      <c r="C30" s="88">
        <v>0</v>
      </c>
      <c r="D30" s="88"/>
      <c r="E30" s="88"/>
      <c r="F30" s="114"/>
      <c r="G30" s="114"/>
      <c r="H30" s="76">
        <f t="shared" si="0"/>
        <v>0</v>
      </c>
    </row>
    <row r="31" spans="1:8" ht="29.1" customHeight="1">
      <c r="A31" s="166"/>
      <c r="B31" s="90" t="s">
        <v>59</v>
      </c>
      <c r="C31" s="88">
        <v>0</v>
      </c>
      <c r="D31" s="90">
        <f>D28+D27+D26</f>
        <v>56600000</v>
      </c>
      <c r="E31" s="90">
        <f>SUM(E25:E30)</f>
        <v>56600000</v>
      </c>
      <c r="F31" s="115">
        <f>SUM(F25:F30)</f>
        <v>86600000</v>
      </c>
      <c r="G31" s="115">
        <f>SUM(G25:G30)</f>
        <v>121600000</v>
      </c>
      <c r="H31" s="76">
        <f t="shared" si="0"/>
        <v>35000000</v>
      </c>
    </row>
    <row r="32" spans="1:8" ht="29.1" customHeight="1">
      <c r="A32" s="167">
        <v>2230</v>
      </c>
      <c r="B32" s="90" t="s">
        <v>88</v>
      </c>
      <c r="C32" s="88">
        <v>0</v>
      </c>
      <c r="D32" s="88"/>
      <c r="E32" s="88"/>
      <c r="F32" s="114"/>
      <c r="G32" s="114"/>
      <c r="H32" s="76">
        <f t="shared" si="0"/>
        <v>0</v>
      </c>
    </row>
    <row r="33" spans="1:8" ht="29.1" customHeight="1">
      <c r="A33" s="166">
        <v>22301</v>
      </c>
      <c r="B33" s="88" t="s">
        <v>31</v>
      </c>
      <c r="C33" s="88">
        <v>0</v>
      </c>
      <c r="D33" s="88">
        <v>6000000</v>
      </c>
      <c r="E33" s="88">
        <v>6000000</v>
      </c>
      <c r="F33" s="114">
        <v>26000000</v>
      </c>
      <c r="G33" s="114">
        <v>26000000</v>
      </c>
      <c r="H33" s="76">
        <f t="shared" si="0"/>
        <v>0</v>
      </c>
    </row>
    <row r="34" spans="1:8" ht="29.1" customHeight="1">
      <c r="A34" s="166">
        <v>22302</v>
      </c>
      <c r="B34" s="88" t="s">
        <v>162</v>
      </c>
      <c r="C34" s="88">
        <v>0</v>
      </c>
      <c r="D34" s="88">
        <v>500000</v>
      </c>
      <c r="E34" s="88">
        <v>500000</v>
      </c>
      <c r="F34" s="114">
        <v>500000</v>
      </c>
      <c r="G34" s="114">
        <v>500000</v>
      </c>
      <c r="H34" s="76">
        <f t="shared" si="0"/>
        <v>0</v>
      </c>
    </row>
    <row r="35" spans="1:8" ht="29.1" customHeight="1">
      <c r="A35" s="166"/>
      <c r="B35" s="90" t="s">
        <v>59</v>
      </c>
      <c r="C35" s="88">
        <v>0</v>
      </c>
      <c r="D35" s="90">
        <f>D34+D33</f>
        <v>6500000</v>
      </c>
      <c r="E35" s="90">
        <f>SUM(E33:E34)</f>
        <v>6500000</v>
      </c>
      <c r="F35" s="115">
        <f>SUM(F33:F34)</f>
        <v>26500000</v>
      </c>
      <c r="G35" s="115">
        <f>SUM(G33:G34)</f>
        <v>26500000</v>
      </c>
      <c r="H35" s="76">
        <f t="shared" si="0"/>
        <v>0</v>
      </c>
    </row>
    <row r="36" spans="1:8" ht="29.1" customHeight="1">
      <c r="A36" s="167">
        <v>230</v>
      </c>
      <c r="B36" s="90" t="s">
        <v>165</v>
      </c>
      <c r="C36" s="88">
        <v>0</v>
      </c>
      <c r="D36" s="88"/>
      <c r="E36" s="88"/>
      <c r="F36" s="114"/>
      <c r="G36" s="114"/>
      <c r="H36" s="76">
        <f t="shared" si="0"/>
        <v>0</v>
      </c>
    </row>
    <row r="37" spans="1:8" ht="29.1" customHeight="1">
      <c r="A37" s="167">
        <v>2310</v>
      </c>
      <c r="B37" s="90" t="s">
        <v>164</v>
      </c>
      <c r="C37" s="88">
        <v>0</v>
      </c>
      <c r="D37" s="88">
        <v>0</v>
      </c>
      <c r="E37" s="88">
        <v>0</v>
      </c>
      <c r="F37" s="114">
        <v>0</v>
      </c>
      <c r="G37" s="114">
        <v>0</v>
      </c>
      <c r="H37" s="76">
        <f t="shared" si="0"/>
        <v>0</v>
      </c>
    </row>
    <row r="38" spans="1:8" ht="29.1" customHeight="1">
      <c r="A38" s="166">
        <v>23101</v>
      </c>
      <c r="B38" s="88" t="s">
        <v>172</v>
      </c>
      <c r="C38" s="88">
        <v>0</v>
      </c>
      <c r="D38" s="88">
        <v>65000000</v>
      </c>
      <c r="E38" s="88">
        <v>0</v>
      </c>
      <c r="F38" s="114">
        <v>0</v>
      </c>
      <c r="G38" s="114">
        <v>0</v>
      </c>
      <c r="H38" s="76">
        <f t="shared" si="0"/>
        <v>0</v>
      </c>
    </row>
    <row r="39" spans="1:8" ht="29.1" customHeight="1">
      <c r="A39" s="166">
        <v>23102</v>
      </c>
      <c r="B39" s="88" t="s">
        <v>173</v>
      </c>
      <c r="C39" s="88">
        <v>0</v>
      </c>
      <c r="D39" s="88">
        <v>42000000</v>
      </c>
      <c r="E39" s="88">
        <f>D39</f>
        <v>42000000</v>
      </c>
      <c r="F39" s="114">
        <v>0</v>
      </c>
      <c r="G39" s="114">
        <v>0</v>
      </c>
      <c r="H39" s="76">
        <f t="shared" si="0"/>
        <v>0</v>
      </c>
    </row>
    <row r="40" spans="1:8" ht="29.1" customHeight="1">
      <c r="A40" s="166">
        <v>23103</v>
      </c>
      <c r="B40" s="88" t="s">
        <v>106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76">
        <f t="shared" si="0"/>
        <v>0</v>
      </c>
    </row>
    <row r="41" spans="1:8" ht="29.1" customHeight="1">
      <c r="A41" s="166">
        <v>23105</v>
      </c>
      <c r="B41" s="88" t="s">
        <v>735</v>
      </c>
      <c r="C41" s="88">
        <v>0</v>
      </c>
      <c r="D41" s="88"/>
      <c r="E41" s="88"/>
      <c r="F41" s="88"/>
      <c r="G41" s="88"/>
      <c r="H41" s="76">
        <f t="shared" si="0"/>
        <v>0</v>
      </c>
    </row>
    <row r="42" spans="1:8" ht="27" customHeight="1">
      <c r="A42" s="168"/>
      <c r="B42" s="93"/>
      <c r="C42" s="93"/>
      <c r="D42" s="93"/>
      <c r="E42" s="93"/>
      <c r="F42" s="93"/>
      <c r="G42" s="93"/>
      <c r="H42" s="76">
        <f t="shared" si="0"/>
        <v>0</v>
      </c>
    </row>
    <row r="43" spans="1:8" ht="29.1" customHeight="1">
      <c r="A43" s="166"/>
      <c r="B43" s="90" t="s">
        <v>59</v>
      </c>
      <c r="C43" s="88">
        <v>0</v>
      </c>
      <c r="D43" s="90">
        <f>D40+D39+D38</f>
        <v>107000000</v>
      </c>
      <c r="E43" s="90">
        <f>SUM(E37:E42)</f>
        <v>42000000</v>
      </c>
      <c r="F43" s="90">
        <f>SUM(F37:F42)</f>
        <v>0</v>
      </c>
      <c r="G43" s="90">
        <f>SUM(G37:G42)</f>
        <v>0</v>
      </c>
      <c r="H43" s="76">
        <f t="shared" si="0"/>
        <v>0</v>
      </c>
    </row>
    <row r="44" spans="1:8" ht="29.1" customHeight="1">
      <c r="A44" s="166"/>
      <c r="B44" s="90" t="s">
        <v>18</v>
      </c>
      <c r="C44" s="88">
        <v>0</v>
      </c>
      <c r="D44" s="90">
        <f>D43+D35+D31+D23+D7</f>
        <v>375686800</v>
      </c>
      <c r="E44" s="90">
        <f>E43+E35+E31+E23+E7</f>
        <v>428231600</v>
      </c>
      <c r="F44" s="90">
        <f>F43+F35+F31+F23+F7</f>
        <v>597677840</v>
      </c>
      <c r="G44" s="90">
        <f>G43+G35+G31+G23+G7</f>
        <v>658229520</v>
      </c>
      <c r="H44" s="76">
        <f t="shared" si="0"/>
        <v>60551680</v>
      </c>
    </row>
  </sheetData>
  <pageMargins left="0.7" right="0.7" top="0.75" bottom="0.75" header="0.3" footer="0.3"/>
  <pageSetup scale="50" orientation="portrait" r:id="rId1"/>
  <headerFooter>
    <oddHeader xml:space="preserve">&amp;C&amp;"Algerian,Bold"&amp;36GARYAQAANKA GUUD </oddHeader>
    <oddFooter>&amp;R&amp;"Times New Roman,Bold"&amp;12 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60" workbookViewId="0">
      <selection activeCell="P8" sqref="P8"/>
    </sheetView>
  </sheetViews>
  <sheetFormatPr defaultRowHeight="27" customHeight="1"/>
  <cols>
    <col min="1" max="1" width="15.5" style="181" customWidth="1"/>
    <col min="2" max="2" width="81" style="181" customWidth="1"/>
    <col min="3" max="12" width="9.33203125" style="181" hidden="1" customWidth="1"/>
    <col min="13" max="13" width="29.83203125" style="181" hidden="1" customWidth="1"/>
    <col min="14" max="15" width="27.6640625" style="181" hidden="1" customWidth="1"/>
    <col min="16" max="16" width="27.6640625" style="181" bestFit="1" customWidth="1"/>
    <col min="17" max="17" width="27.6640625" style="181" customWidth="1"/>
    <col min="18" max="18" width="30.6640625" style="181" bestFit="1" customWidth="1"/>
    <col min="19" max="16384" width="9.33203125" style="181"/>
  </cols>
  <sheetData>
    <row r="1" spans="1:18" ht="27" customHeight="1">
      <c r="A1" s="251" t="s">
        <v>21</v>
      </c>
      <c r="B1" s="354" t="s">
        <v>769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66"/>
    </row>
    <row r="2" spans="1:18" ht="27" customHeight="1">
      <c r="A2" s="130">
        <v>210</v>
      </c>
      <c r="B2" s="106" t="s">
        <v>95</v>
      </c>
      <c r="C2" s="256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110</v>
      </c>
      <c r="L2" s="256" t="s">
        <v>110</v>
      </c>
      <c r="M2" s="256" t="s">
        <v>166</v>
      </c>
      <c r="N2" s="256" t="s">
        <v>318</v>
      </c>
      <c r="O2" s="256" t="s">
        <v>530</v>
      </c>
      <c r="P2" s="256" t="s">
        <v>605</v>
      </c>
      <c r="Q2" s="256" t="s">
        <v>722</v>
      </c>
      <c r="R2" s="112" t="s">
        <v>34</v>
      </c>
    </row>
    <row r="3" spans="1:18" ht="27" customHeight="1">
      <c r="A3" s="130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522"/>
    </row>
    <row r="4" spans="1:18" ht="27" customHeight="1">
      <c r="A4" s="169">
        <v>21101</v>
      </c>
      <c r="B4" s="66" t="s">
        <v>9</v>
      </c>
      <c r="C4" s="66">
        <v>2136768000</v>
      </c>
      <c r="D4" s="66">
        <v>2136768000</v>
      </c>
      <c r="E4" s="66">
        <v>2567568000</v>
      </c>
      <c r="F4" s="66">
        <v>2653728000</v>
      </c>
      <c r="G4" s="66">
        <v>3515328000</v>
      </c>
      <c r="H4" s="66">
        <f>G4</f>
        <v>3515328000</v>
      </c>
      <c r="I4" s="66">
        <f>4569926400+318240000</f>
        <v>4888166400</v>
      </c>
      <c r="J4" s="66">
        <v>5152305600</v>
      </c>
      <c r="K4" s="66">
        <v>5788785600</v>
      </c>
      <c r="L4" s="66">
        <f>5152305600+636480000</f>
        <v>5788785600</v>
      </c>
      <c r="M4" s="66">
        <v>13817980800</v>
      </c>
      <c r="N4" s="66">
        <v>3245974620</v>
      </c>
      <c r="O4" s="66">
        <v>3453840000</v>
      </c>
      <c r="P4" s="66">
        <v>4368798720</v>
      </c>
      <c r="Q4" s="66">
        <v>4368798720</v>
      </c>
      <c r="R4" s="66">
        <f>Q4-P4</f>
        <v>0</v>
      </c>
    </row>
    <row r="5" spans="1:18" ht="27" customHeight="1">
      <c r="A5" s="169">
        <v>21103</v>
      </c>
      <c r="B5" s="66" t="s">
        <v>567</v>
      </c>
      <c r="C5" s="66">
        <v>23600000</v>
      </c>
      <c r="D5" s="66">
        <v>23600000</v>
      </c>
      <c r="E5" s="66">
        <v>23600000</v>
      </c>
      <c r="F5" s="66">
        <v>23600000</v>
      </c>
      <c r="G5" s="66">
        <f>F5</f>
        <v>23600000</v>
      </c>
      <c r="H5" s="66">
        <v>60000000</v>
      </c>
      <c r="I5" s="66">
        <v>100000000</v>
      </c>
      <c r="J5" s="66">
        <v>100000000</v>
      </c>
      <c r="K5" s="66">
        <v>100000000</v>
      </c>
      <c r="L5" s="66">
        <v>100000000</v>
      </c>
      <c r="M5" s="66">
        <v>695600000</v>
      </c>
      <c r="N5" s="66">
        <v>339200000</v>
      </c>
      <c r="O5" s="66">
        <v>498000000</v>
      </c>
      <c r="P5" s="66">
        <v>498000000</v>
      </c>
      <c r="Q5" s="66">
        <v>498000000</v>
      </c>
      <c r="R5" s="66">
        <f t="shared" ref="R5:R46" si="0">Q5-P5</f>
        <v>0</v>
      </c>
    </row>
    <row r="6" spans="1:18" ht="27" customHeight="1">
      <c r="A6" s="129"/>
      <c r="B6" s="106" t="s">
        <v>59</v>
      </c>
      <c r="C6" s="66"/>
      <c r="D6" s="66"/>
      <c r="E6" s="66"/>
      <c r="F6" s="66"/>
      <c r="G6" s="66"/>
      <c r="H6" s="66">
        <v>0</v>
      </c>
      <c r="I6" s="66">
        <f>30000000+2089136</f>
        <v>32089136</v>
      </c>
      <c r="J6" s="66">
        <v>32089136</v>
      </c>
      <c r="K6" s="106">
        <f t="shared" ref="K6:P6" si="1">SUM(K4:K5)</f>
        <v>5888785600</v>
      </c>
      <c r="L6" s="106">
        <f t="shared" si="1"/>
        <v>5888785600</v>
      </c>
      <c r="M6" s="106">
        <f t="shared" si="1"/>
        <v>14513580800</v>
      </c>
      <c r="N6" s="106">
        <f t="shared" si="1"/>
        <v>3585174620</v>
      </c>
      <c r="O6" s="106">
        <f t="shared" si="1"/>
        <v>3951840000</v>
      </c>
      <c r="P6" s="106">
        <f t="shared" si="1"/>
        <v>4866798720</v>
      </c>
      <c r="Q6" s="106">
        <f>SUM(Q4:Q5)</f>
        <v>4866798720</v>
      </c>
      <c r="R6" s="106">
        <f t="shared" si="0"/>
        <v>0</v>
      </c>
    </row>
    <row r="7" spans="1:18" ht="27" customHeight="1">
      <c r="A7" s="249">
        <v>220</v>
      </c>
      <c r="B7" s="106" t="s">
        <v>159</v>
      </c>
      <c r="C7" s="66">
        <v>494272000</v>
      </c>
      <c r="D7" s="66">
        <v>547031750</v>
      </c>
      <c r="E7" s="66">
        <v>547031750</v>
      </c>
      <c r="F7" s="66">
        <v>1022000000</v>
      </c>
      <c r="G7" s="66">
        <v>1460000000</v>
      </c>
      <c r="H7" s="66">
        <v>1460000000</v>
      </c>
      <c r="I7" s="66">
        <v>3650000000</v>
      </c>
      <c r="J7" s="66">
        <v>4117500000</v>
      </c>
      <c r="K7" s="66"/>
      <c r="L7" s="66"/>
      <c r="M7" s="66"/>
      <c r="N7" s="66"/>
      <c r="O7" s="66"/>
      <c r="P7" s="66"/>
      <c r="Q7" s="66"/>
      <c r="R7" s="66">
        <f t="shared" si="0"/>
        <v>0</v>
      </c>
    </row>
    <row r="8" spans="1:18" ht="27" customHeight="1">
      <c r="A8" s="249">
        <v>2210</v>
      </c>
      <c r="B8" s="106" t="s">
        <v>160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>
        <f t="shared" si="0"/>
        <v>0</v>
      </c>
    </row>
    <row r="9" spans="1:18" ht="27" customHeight="1">
      <c r="A9" s="169">
        <v>22101</v>
      </c>
      <c r="B9" s="66" t="s">
        <v>14</v>
      </c>
      <c r="C9" s="66">
        <v>180000000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20000000</v>
      </c>
      <c r="L9" s="66">
        <v>20000000</v>
      </c>
      <c r="M9" s="66">
        <f>20000000*70%</f>
        <v>14000000</v>
      </c>
      <c r="N9" s="66">
        <v>15000000</v>
      </c>
      <c r="O9" s="66">
        <v>40000000</v>
      </c>
      <c r="P9" s="66">
        <v>50000000</v>
      </c>
      <c r="Q9" s="66">
        <v>50000000</v>
      </c>
      <c r="R9" s="66">
        <f t="shared" si="0"/>
        <v>0</v>
      </c>
    </row>
    <row r="10" spans="1:18" ht="27" customHeight="1">
      <c r="A10" s="169">
        <v>22102</v>
      </c>
      <c r="B10" s="66" t="s">
        <v>568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>
        <v>20000000</v>
      </c>
      <c r="O10" s="66">
        <v>40000000</v>
      </c>
      <c r="P10" s="66">
        <v>50000000</v>
      </c>
      <c r="Q10" s="66">
        <v>50000000</v>
      </c>
      <c r="R10" s="66">
        <f t="shared" si="0"/>
        <v>0</v>
      </c>
    </row>
    <row r="11" spans="1:18" ht="27" customHeight="1">
      <c r="A11" s="169">
        <v>22103</v>
      </c>
      <c r="B11" s="66" t="s">
        <v>569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>
        <v>75000000</v>
      </c>
      <c r="O11" s="66">
        <f>N11</f>
        <v>75000000</v>
      </c>
      <c r="P11" s="66">
        <v>0</v>
      </c>
      <c r="Q11" s="66">
        <v>0</v>
      </c>
      <c r="R11" s="66">
        <f t="shared" si="0"/>
        <v>0</v>
      </c>
    </row>
    <row r="12" spans="1:18" ht="27" customHeight="1">
      <c r="A12" s="169">
        <v>22104</v>
      </c>
      <c r="B12" s="66" t="s">
        <v>116</v>
      </c>
      <c r="C12" s="106">
        <f t="shared" ref="C12:J12" si="2">SUM(C6:C9)</f>
        <v>674272000</v>
      </c>
      <c r="D12" s="106">
        <f t="shared" si="2"/>
        <v>547031750</v>
      </c>
      <c r="E12" s="106">
        <f t="shared" si="2"/>
        <v>547031750</v>
      </c>
      <c r="F12" s="106">
        <f t="shared" si="2"/>
        <v>1022000000</v>
      </c>
      <c r="G12" s="106">
        <f t="shared" si="2"/>
        <v>1460000000</v>
      </c>
      <c r="H12" s="106">
        <f t="shared" si="2"/>
        <v>1460000000</v>
      </c>
      <c r="I12" s="106">
        <f t="shared" si="2"/>
        <v>3682089136</v>
      </c>
      <c r="J12" s="106">
        <f t="shared" si="2"/>
        <v>4149589136</v>
      </c>
      <c r="K12" s="66">
        <v>25000000</v>
      </c>
      <c r="L12" s="66">
        <v>25000000</v>
      </c>
      <c r="M12" s="66">
        <f>25000000*70%</f>
        <v>17500000</v>
      </c>
      <c r="N12" s="66">
        <v>45000000</v>
      </c>
      <c r="O12" s="66">
        <f>N12</f>
        <v>45000000</v>
      </c>
      <c r="P12" s="66">
        <v>50000000</v>
      </c>
      <c r="Q12" s="66">
        <v>50000000</v>
      </c>
      <c r="R12" s="66">
        <f t="shared" si="0"/>
        <v>0</v>
      </c>
    </row>
    <row r="13" spans="1:18" ht="27" customHeight="1">
      <c r="A13" s="169">
        <v>22105</v>
      </c>
      <c r="B13" s="66" t="s">
        <v>93</v>
      </c>
      <c r="C13" s="66"/>
      <c r="D13" s="66"/>
      <c r="E13" s="66"/>
      <c r="F13" s="66"/>
      <c r="G13" s="66"/>
      <c r="H13" s="66"/>
      <c r="I13" s="66"/>
      <c r="J13" s="66"/>
      <c r="K13" s="66">
        <v>15000000</v>
      </c>
      <c r="L13" s="66">
        <v>15000000</v>
      </c>
      <c r="M13" s="66">
        <f>15000000*70%</f>
        <v>10500000</v>
      </c>
      <c r="N13" s="66">
        <v>20000000</v>
      </c>
      <c r="O13" s="66">
        <f>N13</f>
        <v>20000000</v>
      </c>
      <c r="P13" s="66">
        <v>30000000</v>
      </c>
      <c r="Q13" s="66">
        <v>30000000</v>
      </c>
      <c r="R13" s="66">
        <f t="shared" si="0"/>
        <v>0</v>
      </c>
    </row>
    <row r="14" spans="1:18" ht="27" customHeight="1">
      <c r="A14" s="169">
        <v>22107</v>
      </c>
      <c r="B14" s="66" t="s">
        <v>30</v>
      </c>
      <c r="C14" s="66">
        <v>40000000</v>
      </c>
      <c r="D14" s="66">
        <v>20000000</v>
      </c>
      <c r="E14" s="66">
        <v>20000000</v>
      </c>
      <c r="F14" s="66">
        <v>20000000</v>
      </c>
      <c r="G14" s="66">
        <v>24000000</v>
      </c>
      <c r="H14" s="66">
        <v>30000000</v>
      </c>
      <c r="I14" s="66">
        <v>33516000</v>
      </c>
      <c r="J14" s="66">
        <v>40000000</v>
      </c>
      <c r="K14" s="66">
        <v>30000000</v>
      </c>
      <c r="L14" s="66">
        <v>30000000</v>
      </c>
      <c r="M14" s="66">
        <f>30000000*70%</f>
        <v>21000000</v>
      </c>
      <c r="N14" s="66">
        <v>10000000</v>
      </c>
      <c r="O14" s="66">
        <v>25000000</v>
      </c>
      <c r="P14" s="66">
        <v>50000000</v>
      </c>
      <c r="Q14" s="66">
        <v>50000000</v>
      </c>
      <c r="R14" s="66">
        <f t="shared" si="0"/>
        <v>0</v>
      </c>
    </row>
    <row r="15" spans="1:18" ht="27" customHeight="1">
      <c r="A15" s="169">
        <v>22108</v>
      </c>
      <c r="B15" s="66" t="s">
        <v>867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>
        <v>0</v>
      </c>
      <c r="Q15" s="66">
        <v>500000000</v>
      </c>
      <c r="R15" s="66">
        <f t="shared" si="0"/>
        <v>500000000</v>
      </c>
    </row>
    <row r="16" spans="1:18" ht="27" customHeight="1">
      <c r="A16" s="169">
        <v>22109</v>
      </c>
      <c r="B16" s="66" t="s">
        <v>94</v>
      </c>
      <c r="C16" s="66">
        <v>10000000</v>
      </c>
      <c r="D16" s="66">
        <v>20000000</v>
      </c>
      <c r="E16" s="66">
        <v>20000000</v>
      </c>
      <c r="F16" s="66">
        <v>20000000</v>
      </c>
      <c r="G16" s="66">
        <v>16000000</v>
      </c>
      <c r="H16" s="66">
        <v>20000000</v>
      </c>
      <c r="I16" s="66">
        <v>22344000</v>
      </c>
      <c r="J16" s="66">
        <v>30000000</v>
      </c>
      <c r="K16" s="66">
        <v>10000000</v>
      </c>
      <c r="L16" s="66">
        <v>10000000</v>
      </c>
      <c r="M16" s="66">
        <f>10000000*70%</f>
        <v>7000000</v>
      </c>
      <c r="N16" s="66">
        <v>5000000</v>
      </c>
      <c r="O16" s="66">
        <v>15000000</v>
      </c>
      <c r="P16" s="66">
        <v>15000000</v>
      </c>
      <c r="Q16" s="66">
        <v>15000000</v>
      </c>
      <c r="R16" s="66">
        <f t="shared" si="0"/>
        <v>0</v>
      </c>
    </row>
    <row r="17" spans="1:18" ht="27" customHeight="1">
      <c r="A17" s="169">
        <v>22112</v>
      </c>
      <c r="B17" s="66" t="s">
        <v>16</v>
      </c>
      <c r="C17" s="66">
        <v>10000000</v>
      </c>
      <c r="D17" s="66">
        <v>20000000</v>
      </c>
      <c r="E17" s="66">
        <v>20000000</v>
      </c>
      <c r="F17" s="66">
        <v>20000000</v>
      </c>
      <c r="G17" s="66">
        <v>16000000</v>
      </c>
      <c r="H17" s="66">
        <v>20000000</v>
      </c>
      <c r="I17" s="66">
        <v>22344000</v>
      </c>
      <c r="J17" s="66">
        <v>25000000</v>
      </c>
      <c r="K17" s="66">
        <v>70000000</v>
      </c>
      <c r="L17" s="66">
        <v>70000000</v>
      </c>
      <c r="M17" s="66">
        <f>70000000*70%</f>
        <v>49000000</v>
      </c>
      <c r="N17" s="66">
        <v>20000000</v>
      </c>
      <c r="O17" s="66">
        <v>25000000</v>
      </c>
      <c r="P17" s="66">
        <v>25000000</v>
      </c>
      <c r="Q17" s="66">
        <v>25000000</v>
      </c>
      <c r="R17" s="66">
        <f t="shared" si="0"/>
        <v>0</v>
      </c>
    </row>
    <row r="18" spans="1:18" ht="27" customHeight="1">
      <c r="A18" s="169">
        <v>22113</v>
      </c>
      <c r="B18" s="66" t="s">
        <v>571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>
        <v>0</v>
      </c>
      <c r="O18" s="66">
        <v>30000000</v>
      </c>
      <c r="P18" s="66">
        <v>30000000</v>
      </c>
      <c r="Q18" s="66">
        <v>30000000</v>
      </c>
      <c r="R18" s="66">
        <f t="shared" si="0"/>
        <v>0</v>
      </c>
    </row>
    <row r="19" spans="1:18" ht="27" customHeight="1">
      <c r="A19" s="169">
        <v>22116</v>
      </c>
      <c r="B19" s="66" t="s">
        <v>572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>
        <v>0</v>
      </c>
      <c r="O19" s="66">
        <v>20000000</v>
      </c>
      <c r="P19" s="66">
        <v>20000000</v>
      </c>
      <c r="Q19" s="66">
        <v>20000000</v>
      </c>
      <c r="R19" s="66">
        <f t="shared" si="0"/>
        <v>0</v>
      </c>
    </row>
    <row r="20" spans="1:18" ht="27" customHeight="1">
      <c r="A20" s="169">
        <v>22132</v>
      </c>
      <c r="B20" s="66" t="s">
        <v>144</v>
      </c>
      <c r="C20" s="106"/>
      <c r="D20" s="106"/>
      <c r="E20" s="106"/>
      <c r="F20" s="106"/>
      <c r="G20" s="106"/>
      <c r="H20" s="106"/>
      <c r="I20" s="106"/>
      <c r="J20" s="106"/>
      <c r="K20" s="66">
        <v>445775100</v>
      </c>
      <c r="L20" s="66">
        <v>445775100</v>
      </c>
      <c r="M20" s="66">
        <f>445775100</f>
        <v>445775100</v>
      </c>
      <c r="N20" s="66">
        <v>210000000</v>
      </c>
      <c r="O20" s="66">
        <v>310000000</v>
      </c>
      <c r="P20" s="66">
        <v>510000000</v>
      </c>
      <c r="Q20" s="66">
        <v>510000000</v>
      </c>
      <c r="R20" s="66">
        <f t="shared" si="0"/>
        <v>0</v>
      </c>
    </row>
    <row r="21" spans="1:18" ht="27" customHeight="1">
      <c r="A21" s="169"/>
      <c r="B21" s="106" t="s">
        <v>59</v>
      </c>
      <c r="C21" s="66">
        <v>4000000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106">
        <f t="shared" ref="K21:P21" si="3">SUM(K9:K20)</f>
        <v>615775100</v>
      </c>
      <c r="L21" s="106">
        <f t="shared" si="3"/>
        <v>615775100</v>
      </c>
      <c r="M21" s="106">
        <f t="shared" si="3"/>
        <v>564775100</v>
      </c>
      <c r="N21" s="106">
        <f t="shared" si="3"/>
        <v>420000000</v>
      </c>
      <c r="O21" s="106">
        <f t="shared" si="3"/>
        <v>645000000</v>
      </c>
      <c r="P21" s="106">
        <f t="shared" si="3"/>
        <v>830000000</v>
      </c>
      <c r="Q21" s="106">
        <f>SUM(Q9:Q20)</f>
        <v>1330000000</v>
      </c>
      <c r="R21" s="106">
        <f t="shared" si="0"/>
        <v>500000000</v>
      </c>
    </row>
    <row r="22" spans="1:18" ht="27" customHeight="1">
      <c r="A22" s="249">
        <v>2220</v>
      </c>
      <c r="B22" s="106" t="s">
        <v>161</v>
      </c>
      <c r="C22" s="66">
        <v>4000000</v>
      </c>
      <c r="D22" s="66">
        <v>24000000</v>
      </c>
      <c r="E22" s="66">
        <v>24000000</v>
      </c>
      <c r="F22" s="66">
        <v>24000000</v>
      </c>
      <c r="G22" s="66">
        <v>19200000</v>
      </c>
      <c r="H22" s="66">
        <v>24000000</v>
      </c>
      <c r="I22" s="66">
        <v>17875200</v>
      </c>
      <c r="J22" s="66">
        <v>30000000</v>
      </c>
      <c r="K22" s="66"/>
      <c r="L22" s="66"/>
      <c r="M22" s="66"/>
      <c r="N22" s="66"/>
      <c r="O22" s="66"/>
      <c r="P22" s="66"/>
      <c r="Q22" s="66"/>
      <c r="R22" s="66">
        <f t="shared" si="0"/>
        <v>0</v>
      </c>
    </row>
    <row r="23" spans="1:18" ht="27" customHeight="1">
      <c r="A23" s="169">
        <v>22201</v>
      </c>
      <c r="B23" s="66" t="s">
        <v>90</v>
      </c>
      <c r="C23" s="66">
        <v>0</v>
      </c>
      <c r="D23" s="66">
        <v>0</v>
      </c>
      <c r="E23" s="66">
        <v>0</v>
      </c>
      <c r="F23" s="66">
        <v>0</v>
      </c>
      <c r="G23" s="66">
        <v>2400000</v>
      </c>
      <c r="H23" s="66">
        <v>3000000</v>
      </c>
      <c r="I23" s="66">
        <v>7448000</v>
      </c>
      <c r="J23" s="66">
        <v>10000000</v>
      </c>
      <c r="K23" s="66"/>
      <c r="L23" s="66">
        <v>0</v>
      </c>
      <c r="M23" s="66">
        <v>0</v>
      </c>
      <c r="N23" s="66">
        <v>0</v>
      </c>
      <c r="O23" s="66"/>
      <c r="P23" s="66"/>
      <c r="Q23" s="66"/>
      <c r="R23" s="66">
        <f t="shared" si="0"/>
        <v>0</v>
      </c>
    </row>
    <row r="24" spans="1:18" ht="27" customHeight="1">
      <c r="A24" s="169">
        <v>22202</v>
      </c>
      <c r="B24" s="66" t="s">
        <v>91</v>
      </c>
      <c r="C24" s="66"/>
      <c r="D24" s="66"/>
      <c r="E24" s="66"/>
      <c r="F24" s="66"/>
      <c r="G24" s="66"/>
      <c r="H24" s="66"/>
      <c r="I24" s="66"/>
      <c r="J24" s="66"/>
      <c r="K24" s="66">
        <v>500000000</v>
      </c>
      <c r="L24" s="66">
        <v>500000000</v>
      </c>
      <c r="M24" s="66">
        <f>1089530000</f>
        <v>1089530000</v>
      </c>
      <c r="N24" s="66">
        <v>540000000</v>
      </c>
      <c r="O24" s="66">
        <f>N24</f>
        <v>540000000</v>
      </c>
      <c r="P24" s="66">
        <v>640000000</v>
      </c>
      <c r="Q24" s="66">
        <v>640000000</v>
      </c>
      <c r="R24" s="66">
        <f t="shared" si="0"/>
        <v>0</v>
      </c>
    </row>
    <row r="25" spans="1:18" ht="27" customHeight="1">
      <c r="A25" s="169">
        <v>22203</v>
      </c>
      <c r="B25" s="66" t="s">
        <v>85</v>
      </c>
      <c r="C25" s="66">
        <v>0</v>
      </c>
      <c r="D25" s="66">
        <v>4000000</v>
      </c>
      <c r="E25" s="66">
        <v>4000000</v>
      </c>
      <c r="F25" s="66">
        <v>4000000</v>
      </c>
      <c r="G25" s="66">
        <v>4800000</v>
      </c>
      <c r="H25" s="66">
        <v>6000000</v>
      </c>
      <c r="I25" s="66">
        <v>11916800</v>
      </c>
      <c r="J25" s="66">
        <v>10000000</v>
      </c>
      <c r="K25" s="66">
        <v>45000000</v>
      </c>
      <c r="L25" s="66">
        <v>45000000</v>
      </c>
      <c r="M25" s="66">
        <f>45000000*70%</f>
        <v>31499999.999999996</v>
      </c>
      <c r="N25" s="66">
        <v>75000000</v>
      </c>
      <c r="O25" s="66">
        <v>85000000</v>
      </c>
      <c r="P25" s="66">
        <v>100000000</v>
      </c>
      <c r="Q25" s="66">
        <v>100000000</v>
      </c>
      <c r="R25" s="66">
        <f t="shared" si="0"/>
        <v>0</v>
      </c>
    </row>
    <row r="26" spans="1:18" ht="27" customHeight="1">
      <c r="A26" s="169">
        <v>22204</v>
      </c>
      <c r="B26" s="66" t="s">
        <v>86</v>
      </c>
      <c r="C26" s="66">
        <v>4000000</v>
      </c>
      <c r="D26" s="66">
        <v>0</v>
      </c>
      <c r="E26" s="66">
        <v>0</v>
      </c>
      <c r="F26" s="66">
        <v>0</v>
      </c>
      <c r="G26" s="66">
        <v>0</v>
      </c>
      <c r="H26" s="66">
        <v>20000000</v>
      </c>
      <c r="I26" s="66">
        <v>14896000</v>
      </c>
      <c r="J26" s="66">
        <v>25000000</v>
      </c>
      <c r="K26" s="66">
        <v>30000000</v>
      </c>
      <c r="L26" s="66">
        <v>30000000</v>
      </c>
      <c r="M26" s="66">
        <f>30000000*70%</f>
        <v>21000000</v>
      </c>
      <c r="N26" s="66">
        <v>10000000</v>
      </c>
      <c r="O26" s="66">
        <v>30000000</v>
      </c>
      <c r="P26" s="66">
        <v>30000000</v>
      </c>
      <c r="Q26" s="66">
        <v>30000000</v>
      </c>
      <c r="R26" s="66">
        <f t="shared" si="0"/>
        <v>0</v>
      </c>
    </row>
    <row r="27" spans="1:18" ht="27" customHeight="1">
      <c r="A27" s="169">
        <v>22208</v>
      </c>
      <c r="B27" s="133" t="s">
        <v>389</v>
      </c>
      <c r="C27" s="116"/>
      <c r="D27" s="116"/>
      <c r="E27" s="116"/>
      <c r="F27" s="116"/>
      <c r="G27" s="116"/>
      <c r="H27" s="116"/>
      <c r="I27" s="116"/>
      <c r="J27" s="116"/>
      <c r="K27" s="133">
        <v>9622278136</v>
      </c>
      <c r="L27" s="116">
        <v>9622278136</v>
      </c>
      <c r="M27" s="116">
        <v>11364120000</v>
      </c>
      <c r="N27" s="116">
        <v>876825380</v>
      </c>
      <c r="O27" s="116">
        <v>1076825380</v>
      </c>
      <c r="P27" s="116">
        <v>1076825380</v>
      </c>
      <c r="Q27" s="116">
        <v>1076825380</v>
      </c>
      <c r="R27" s="66">
        <f t="shared" si="0"/>
        <v>0</v>
      </c>
    </row>
    <row r="28" spans="1:18" ht="27" customHeight="1">
      <c r="A28" s="169">
        <v>22210</v>
      </c>
      <c r="B28" s="133" t="s">
        <v>178</v>
      </c>
      <c r="C28" s="133">
        <v>4000000</v>
      </c>
      <c r="D28" s="133">
        <v>0</v>
      </c>
      <c r="E28" s="133">
        <v>0</v>
      </c>
      <c r="F28" s="133">
        <v>0</v>
      </c>
      <c r="G28" s="133">
        <v>0</v>
      </c>
      <c r="H28" s="133">
        <v>30000000</v>
      </c>
      <c r="I28" s="133">
        <v>22344000</v>
      </c>
      <c r="J28" s="133">
        <v>22344000</v>
      </c>
      <c r="K28" s="133">
        <v>40000000</v>
      </c>
      <c r="L28" s="133">
        <v>40000000</v>
      </c>
      <c r="M28" s="133">
        <f>611180000*70%</f>
        <v>427826000</v>
      </c>
      <c r="N28" s="133">
        <v>3000000</v>
      </c>
      <c r="O28" s="133">
        <v>10000000</v>
      </c>
      <c r="P28" s="133">
        <v>20000000</v>
      </c>
      <c r="Q28" s="133">
        <v>20000000</v>
      </c>
      <c r="R28" s="66">
        <f t="shared" si="0"/>
        <v>0</v>
      </c>
    </row>
    <row r="29" spans="1:18" ht="27" customHeight="1">
      <c r="A29" s="169">
        <v>22216</v>
      </c>
      <c r="B29" s="133" t="s">
        <v>248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>
        <v>65000000</v>
      </c>
      <c r="M29" s="116">
        <f>65000000*70%</f>
        <v>45500000</v>
      </c>
      <c r="N29" s="116">
        <v>90000000</v>
      </c>
      <c r="O29" s="116">
        <v>100000000</v>
      </c>
      <c r="P29" s="116">
        <v>100000000</v>
      </c>
      <c r="Q29" s="116">
        <v>100000000</v>
      </c>
      <c r="R29" s="66">
        <f t="shared" si="0"/>
        <v>0</v>
      </c>
    </row>
    <row r="30" spans="1:18" ht="27" customHeight="1">
      <c r="A30" s="169"/>
      <c r="B30" s="142" t="s">
        <v>59</v>
      </c>
      <c r="C30" s="116"/>
      <c r="D30" s="116"/>
      <c r="E30" s="116"/>
      <c r="F30" s="116"/>
      <c r="G30" s="116"/>
      <c r="H30" s="116"/>
      <c r="I30" s="116"/>
      <c r="J30" s="116"/>
      <c r="K30" s="117">
        <f ca="1">SUM(K24:K41)</f>
        <v>10267278136</v>
      </c>
      <c r="L30" s="117">
        <f t="shared" ref="L30:P30" si="4">SUM(L23:L29)</f>
        <v>10302278136</v>
      </c>
      <c r="M30" s="117">
        <f t="shared" si="4"/>
        <v>12979476000</v>
      </c>
      <c r="N30" s="117">
        <f t="shared" si="4"/>
        <v>1594825380</v>
      </c>
      <c r="O30" s="117">
        <f t="shared" si="4"/>
        <v>1841825380</v>
      </c>
      <c r="P30" s="117">
        <f t="shared" si="4"/>
        <v>1966825380</v>
      </c>
      <c r="Q30" s="117">
        <f>SUM(Q23:Q29)</f>
        <v>1966825380</v>
      </c>
      <c r="R30" s="106">
        <f t="shared" si="0"/>
        <v>0</v>
      </c>
    </row>
    <row r="31" spans="1:18" ht="27" customHeight="1">
      <c r="A31" s="249">
        <v>2230</v>
      </c>
      <c r="B31" s="142" t="s">
        <v>88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66">
        <f t="shared" si="0"/>
        <v>0</v>
      </c>
    </row>
    <row r="32" spans="1:18" ht="27" customHeight="1">
      <c r="A32" s="169">
        <v>22301</v>
      </c>
      <c r="B32" s="133" t="s">
        <v>31</v>
      </c>
      <c r="C32" s="116"/>
      <c r="D32" s="116"/>
      <c r="E32" s="116"/>
      <c r="F32" s="116"/>
      <c r="G32" s="116"/>
      <c r="H32" s="116"/>
      <c r="I32" s="116"/>
      <c r="J32" s="116"/>
      <c r="K32" s="116">
        <v>100000000</v>
      </c>
      <c r="L32" s="116">
        <v>100000000</v>
      </c>
      <c r="M32" s="116">
        <f>135000000*70%+103596470</f>
        <v>198096470</v>
      </c>
      <c r="N32" s="116">
        <v>250000000</v>
      </c>
      <c r="O32" s="116">
        <v>300000000</v>
      </c>
      <c r="P32" s="116">
        <v>300000000</v>
      </c>
      <c r="Q32" s="116">
        <v>300000000</v>
      </c>
      <c r="R32" s="66">
        <f t="shared" si="0"/>
        <v>0</v>
      </c>
    </row>
    <row r="33" spans="1:18" ht="27" customHeight="1">
      <c r="A33" s="169">
        <v>22302</v>
      </c>
      <c r="B33" s="133" t="s">
        <v>162</v>
      </c>
      <c r="C33" s="116"/>
      <c r="D33" s="116"/>
      <c r="E33" s="116"/>
      <c r="F33" s="116"/>
      <c r="G33" s="116"/>
      <c r="H33" s="116"/>
      <c r="I33" s="116"/>
      <c r="J33" s="116"/>
      <c r="K33" s="116">
        <v>15000000</v>
      </c>
      <c r="L33" s="116">
        <v>15000000</v>
      </c>
      <c r="M33" s="116">
        <f>15000000*70%</f>
        <v>10500000</v>
      </c>
      <c r="N33" s="116">
        <v>10000000</v>
      </c>
      <c r="O33" s="116">
        <v>15000000</v>
      </c>
      <c r="P33" s="116">
        <v>20000000</v>
      </c>
      <c r="Q33" s="116">
        <v>20000000</v>
      </c>
      <c r="R33" s="66">
        <f t="shared" si="0"/>
        <v>0</v>
      </c>
    </row>
    <row r="34" spans="1:18" ht="27" customHeight="1">
      <c r="A34" s="169">
        <v>22309</v>
      </c>
      <c r="B34" s="133" t="s">
        <v>570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>
        <v>10000000</v>
      </c>
      <c r="O34" s="116">
        <f>N34</f>
        <v>10000000</v>
      </c>
      <c r="P34" s="116">
        <f>O34</f>
        <v>10000000</v>
      </c>
      <c r="Q34" s="116">
        <f>P34</f>
        <v>10000000</v>
      </c>
      <c r="R34" s="66">
        <f t="shared" si="0"/>
        <v>0</v>
      </c>
    </row>
    <row r="35" spans="1:18" ht="27" customHeight="1">
      <c r="A35" s="169"/>
      <c r="B35" s="142" t="s">
        <v>59</v>
      </c>
      <c r="C35" s="116"/>
      <c r="D35" s="116"/>
      <c r="E35" s="116"/>
      <c r="F35" s="116"/>
      <c r="G35" s="116"/>
      <c r="H35" s="116"/>
      <c r="I35" s="116"/>
      <c r="J35" s="116"/>
      <c r="K35" s="117">
        <f>SUM(K32:K33)</f>
        <v>115000000</v>
      </c>
      <c r="L35" s="117">
        <f>SUM(L32:L33)</f>
        <v>115000000</v>
      </c>
      <c r="M35" s="117">
        <f>SUM(M32:M33)</f>
        <v>208596470</v>
      </c>
      <c r="N35" s="117">
        <f>SUM(N32:N34)</f>
        <v>270000000</v>
      </c>
      <c r="O35" s="117">
        <f>SUM(O32:O34)</f>
        <v>325000000</v>
      </c>
      <c r="P35" s="117">
        <f>SUM(P32:P34)</f>
        <v>330000000</v>
      </c>
      <c r="Q35" s="117">
        <f>SUM(Q32:Q34)</f>
        <v>330000000</v>
      </c>
      <c r="R35" s="106">
        <f t="shared" si="0"/>
        <v>0</v>
      </c>
    </row>
    <row r="36" spans="1:18" ht="27" customHeight="1">
      <c r="A36" s="249">
        <v>230</v>
      </c>
      <c r="B36" s="142" t="s">
        <v>165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66">
        <f t="shared" si="0"/>
        <v>0</v>
      </c>
    </row>
    <row r="37" spans="1:18" ht="27" customHeight="1">
      <c r="A37" s="249">
        <v>2310</v>
      </c>
      <c r="B37" s="142" t="s">
        <v>164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66">
        <f t="shared" si="0"/>
        <v>0</v>
      </c>
    </row>
    <row r="38" spans="1:18" ht="27" customHeight="1">
      <c r="A38" s="169">
        <v>23101</v>
      </c>
      <c r="B38" s="133" t="s">
        <v>172</v>
      </c>
      <c r="C38" s="116"/>
      <c r="D38" s="116"/>
      <c r="E38" s="116"/>
      <c r="F38" s="116"/>
      <c r="G38" s="116"/>
      <c r="H38" s="116"/>
      <c r="I38" s="116"/>
      <c r="J38" s="116"/>
      <c r="K38" s="116">
        <v>30000000</v>
      </c>
      <c r="L38" s="116">
        <v>0</v>
      </c>
      <c r="M38" s="116">
        <v>0</v>
      </c>
      <c r="N38" s="66">
        <v>20000000</v>
      </c>
      <c r="O38" s="66">
        <f>N38</f>
        <v>20000000</v>
      </c>
      <c r="P38" s="66">
        <v>40000000</v>
      </c>
      <c r="Q38" s="66">
        <v>40000000</v>
      </c>
      <c r="R38" s="66">
        <f t="shared" si="0"/>
        <v>0</v>
      </c>
    </row>
    <row r="39" spans="1:18" ht="27" customHeight="1">
      <c r="A39" s="169">
        <v>23102</v>
      </c>
      <c r="B39" s="133" t="s">
        <v>173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>
        <v>0</v>
      </c>
      <c r="M39" s="116">
        <v>264000000</v>
      </c>
      <c r="N39" s="66">
        <v>0</v>
      </c>
      <c r="O39" s="66">
        <v>150000000</v>
      </c>
      <c r="P39" s="66">
        <v>100000000</v>
      </c>
      <c r="Q39" s="66">
        <v>120000000</v>
      </c>
      <c r="R39" s="66">
        <f t="shared" si="0"/>
        <v>20000000</v>
      </c>
    </row>
    <row r="40" spans="1:18" ht="27" customHeight="1">
      <c r="A40" s="169">
        <v>23103</v>
      </c>
      <c r="B40" s="133" t="s">
        <v>106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>
        <v>30000000</v>
      </c>
      <c r="M40" s="116">
        <f>30000000*70%</f>
        <v>21000000</v>
      </c>
      <c r="N40" s="66">
        <v>10000000</v>
      </c>
      <c r="O40" s="66">
        <f>N40</f>
        <v>10000000</v>
      </c>
      <c r="P40" s="66">
        <v>15000000</v>
      </c>
      <c r="Q40" s="66">
        <v>15000000</v>
      </c>
      <c r="R40" s="66">
        <f t="shared" si="0"/>
        <v>0</v>
      </c>
    </row>
    <row r="41" spans="1:18" ht="27" customHeight="1">
      <c r="A41" s="169">
        <v>23104</v>
      </c>
      <c r="B41" s="133" t="s">
        <v>107</v>
      </c>
      <c r="C41" s="116"/>
      <c r="D41" s="116"/>
      <c r="E41" s="116"/>
      <c r="F41" s="116"/>
      <c r="G41" s="116"/>
      <c r="H41" s="116"/>
      <c r="I41" s="116"/>
      <c r="J41" s="116"/>
      <c r="K41" s="116">
        <v>15000000</v>
      </c>
      <c r="L41" s="116">
        <v>15000000</v>
      </c>
      <c r="M41" s="116">
        <f>15000000*70%</f>
        <v>10500000</v>
      </c>
      <c r="N41" s="66">
        <v>0</v>
      </c>
      <c r="O41" s="66">
        <v>0</v>
      </c>
      <c r="P41" s="66">
        <v>20000000</v>
      </c>
      <c r="Q41" s="66">
        <v>20000000</v>
      </c>
      <c r="R41" s="66">
        <f t="shared" si="0"/>
        <v>0</v>
      </c>
    </row>
    <row r="42" spans="1:18" ht="27" customHeight="1">
      <c r="A42" s="169"/>
      <c r="B42" s="142" t="s">
        <v>59</v>
      </c>
      <c r="C42" s="116"/>
      <c r="D42" s="116"/>
      <c r="E42" s="116"/>
      <c r="F42" s="116"/>
      <c r="G42" s="116"/>
      <c r="H42" s="116"/>
      <c r="I42" s="116"/>
      <c r="J42" s="116"/>
      <c r="K42" s="117">
        <f>SUM(K38:K41)</f>
        <v>45000000</v>
      </c>
      <c r="L42" s="117">
        <f>SUM(L39:L41)</f>
        <v>45000000</v>
      </c>
      <c r="M42" s="117">
        <f>SUM(M38:M41)</f>
        <v>295500000</v>
      </c>
      <c r="N42" s="106">
        <f>SUM(N38:N41)</f>
        <v>30000000</v>
      </c>
      <c r="O42" s="106">
        <f>SUM(O38:O41)</f>
        <v>180000000</v>
      </c>
      <c r="P42" s="106">
        <f>SUM(P38:P41)</f>
        <v>175000000</v>
      </c>
      <c r="Q42" s="106">
        <f>SUM(Q38:Q41)</f>
        <v>195000000</v>
      </c>
      <c r="R42" s="106">
        <f t="shared" si="0"/>
        <v>20000000</v>
      </c>
    </row>
    <row r="43" spans="1:18" ht="27" customHeight="1">
      <c r="A43" s="249">
        <v>2320</v>
      </c>
      <c r="B43" s="142" t="s">
        <v>649</v>
      </c>
      <c r="C43" s="116"/>
      <c r="D43" s="116"/>
      <c r="E43" s="116"/>
      <c r="F43" s="116"/>
      <c r="G43" s="116"/>
      <c r="H43" s="116"/>
      <c r="I43" s="116"/>
      <c r="J43" s="116"/>
      <c r="K43" s="117"/>
      <c r="L43" s="117"/>
      <c r="M43" s="117"/>
      <c r="N43" s="106"/>
      <c r="O43" s="106">
        <v>0</v>
      </c>
      <c r="P43" s="106">
        <v>0</v>
      </c>
      <c r="Q43" s="106">
        <v>0</v>
      </c>
      <c r="R43" s="66">
        <f t="shared" si="0"/>
        <v>0</v>
      </c>
    </row>
    <row r="44" spans="1:18" ht="27" customHeight="1">
      <c r="A44" s="169">
        <v>23201</v>
      </c>
      <c r="B44" s="133" t="s">
        <v>648</v>
      </c>
      <c r="C44" s="116"/>
      <c r="D44" s="116"/>
      <c r="E44" s="116"/>
      <c r="F44" s="116"/>
      <c r="G44" s="116"/>
      <c r="H44" s="116"/>
      <c r="I44" s="116"/>
      <c r="J44" s="116"/>
      <c r="K44" s="117"/>
      <c r="L44" s="117"/>
      <c r="M44" s="117"/>
      <c r="N44" s="106"/>
      <c r="O44" s="106"/>
      <c r="P44" s="66">
        <v>450000000</v>
      </c>
      <c r="Q44" s="66"/>
      <c r="R44" s="66">
        <f t="shared" si="0"/>
        <v>-450000000</v>
      </c>
    </row>
    <row r="45" spans="1:18" ht="27" customHeight="1">
      <c r="A45" s="169"/>
      <c r="B45" s="142" t="s">
        <v>59</v>
      </c>
      <c r="C45" s="116"/>
      <c r="D45" s="116"/>
      <c r="E45" s="116"/>
      <c r="F45" s="116"/>
      <c r="G45" s="116"/>
      <c r="H45" s="116"/>
      <c r="I45" s="116"/>
      <c r="J45" s="116"/>
      <c r="K45" s="117"/>
      <c r="L45" s="117"/>
      <c r="M45" s="117"/>
      <c r="N45" s="106"/>
      <c r="O45" s="106"/>
      <c r="P45" s="106">
        <f>SUM(P44)</f>
        <v>450000000</v>
      </c>
      <c r="Q45" s="106">
        <f>SUM(Q44)</f>
        <v>0</v>
      </c>
      <c r="R45" s="106">
        <f t="shared" si="0"/>
        <v>-450000000</v>
      </c>
    </row>
    <row r="46" spans="1:18" ht="27" customHeight="1">
      <c r="A46" s="169"/>
      <c r="B46" s="142" t="s">
        <v>18</v>
      </c>
      <c r="C46" s="116"/>
      <c r="D46" s="116"/>
      <c r="E46" s="116"/>
      <c r="F46" s="116"/>
      <c r="G46" s="116"/>
      <c r="H46" s="116"/>
      <c r="I46" s="116"/>
      <c r="J46" s="116"/>
      <c r="K46" s="117">
        <f ca="1">K42+K35+K30+K21+K6</f>
        <v>17301838836</v>
      </c>
      <c r="L46" s="117" t="e">
        <f>L42+L35+L30+L21+L6+#REF!</f>
        <v>#REF!</v>
      </c>
      <c r="M46" s="117">
        <f>M42+M35+M30+M21+M6</f>
        <v>28561928370</v>
      </c>
      <c r="N46" s="106">
        <f>N42+N35+N30+N21+N6</f>
        <v>5900000000</v>
      </c>
      <c r="O46" s="106">
        <f>O42+O35+O30+O21+O6</f>
        <v>6943665380</v>
      </c>
      <c r="P46" s="106">
        <f>P42+P35+P30+P21+P6+P45</f>
        <v>8618624100</v>
      </c>
      <c r="Q46" s="106">
        <f>Q42+Q35+Q30+Q21+Q6+Q45</f>
        <v>8688624100</v>
      </c>
      <c r="R46" s="106">
        <f t="shared" si="0"/>
        <v>70000000</v>
      </c>
    </row>
  </sheetData>
  <pageMargins left="0.7" right="0.7" top="0.75" bottom="0.75" header="0.3" footer="0.3"/>
  <pageSetup scale="55" orientation="portrait" r:id="rId1"/>
  <headerFooter>
    <oddHeader>&amp;C&amp;"Algerian,Bold"&amp;36 HAY'ADDA SIRDOONKA QARANKA</oddHeader>
    <oddFooter>&amp;R&amp;"Times New Roman,Bold"&amp;18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topLeftCell="A4" zoomScale="60" workbookViewId="0">
      <selection activeCell="S30" sqref="S30"/>
    </sheetView>
  </sheetViews>
  <sheetFormatPr defaultRowHeight="30" customHeight="1"/>
  <cols>
    <col min="1" max="1" width="18.1640625" style="181" bestFit="1" customWidth="1"/>
    <col min="2" max="2" width="77.6640625" style="181" customWidth="1"/>
    <col min="3" max="4" width="9.33203125" style="181" hidden="1" customWidth="1"/>
    <col min="5" max="5" width="22.33203125" style="181" hidden="1" customWidth="1"/>
    <col min="6" max="6" width="24.33203125" style="181" hidden="1" customWidth="1"/>
    <col min="7" max="15" width="9.33203125" style="181" hidden="1" customWidth="1"/>
    <col min="16" max="16" width="24.5" style="181" hidden="1" customWidth="1"/>
    <col min="17" max="17" width="0.33203125" style="371" customWidth="1"/>
    <col min="18" max="18" width="27.6640625" style="181" bestFit="1" customWidth="1"/>
    <col min="19" max="19" width="27.6640625" style="181" customWidth="1"/>
    <col min="20" max="20" width="24.5" style="181" bestFit="1" customWidth="1"/>
    <col min="21" max="16384" width="9.33203125" style="181"/>
  </cols>
  <sheetData>
    <row r="1" spans="1:20" ht="30" customHeight="1">
      <c r="A1" s="251" t="s">
        <v>21</v>
      </c>
      <c r="B1" s="354" t="s">
        <v>770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06"/>
      <c r="R1" s="106"/>
      <c r="S1" s="106"/>
      <c r="T1" s="266"/>
    </row>
    <row r="2" spans="1:20" ht="30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75</v>
      </c>
      <c r="L2" s="256" t="s">
        <v>110</v>
      </c>
      <c r="M2" s="256" t="s">
        <v>166</v>
      </c>
      <c r="N2" s="256" t="s">
        <v>318</v>
      </c>
      <c r="O2" s="256" t="s">
        <v>321</v>
      </c>
      <c r="P2" s="256" t="s">
        <v>321</v>
      </c>
      <c r="Q2" s="112" t="s">
        <v>530</v>
      </c>
      <c r="R2" s="112" t="s">
        <v>605</v>
      </c>
      <c r="S2" s="112" t="s">
        <v>721</v>
      </c>
      <c r="T2" s="112" t="s">
        <v>34</v>
      </c>
    </row>
    <row r="3" spans="1:20" ht="30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66"/>
      <c r="R3" s="66"/>
      <c r="S3" s="66"/>
      <c r="T3" s="118"/>
    </row>
    <row r="4" spans="1:20" ht="30" customHeight="1">
      <c r="A4" s="169">
        <v>21101</v>
      </c>
      <c r="B4" s="66" t="s">
        <v>9</v>
      </c>
      <c r="C4" s="118"/>
      <c r="D4" s="118"/>
      <c r="E4" s="118"/>
      <c r="F4" s="118"/>
      <c r="G4" s="118"/>
      <c r="H4" s="118"/>
      <c r="I4" s="116">
        <v>321389200</v>
      </c>
      <c r="J4" s="400">
        <f>348925200+54000000+6000000</f>
        <v>408925200</v>
      </c>
      <c r="K4" s="400">
        <f>408925200+12000000+4149600+936000-936000+1887600</f>
        <v>426962400</v>
      </c>
      <c r="L4" s="400">
        <v>731890800</v>
      </c>
      <c r="M4" s="400" t="e">
        <f>#REF!+36000000+64740000</f>
        <v>#REF!</v>
      </c>
      <c r="N4" s="400">
        <v>1285471200</v>
      </c>
      <c r="O4" s="511">
        <v>0</v>
      </c>
      <c r="P4" s="70">
        <v>400000000</v>
      </c>
      <c r="Q4" s="70">
        <v>400000000</v>
      </c>
      <c r="R4" s="70">
        <v>500000000</v>
      </c>
      <c r="S4" s="70">
        <v>500000000</v>
      </c>
      <c r="T4" s="100">
        <f>S4-R4</f>
        <v>0</v>
      </c>
    </row>
    <row r="5" spans="1:20" ht="30" customHeight="1">
      <c r="A5" s="169">
        <v>21102</v>
      </c>
      <c r="B5" s="66" t="s">
        <v>10</v>
      </c>
      <c r="C5" s="66">
        <v>7553000</v>
      </c>
      <c r="D5" s="66">
        <v>0</v>
      </c>
      <c r="E5" s="66">
        <v>0</v>
      </c>
      <c r="F5" s="66">
        <v>45000000</v>
      </c>
      <c r="G5" s="66">
        <f>F5</f>
        <v>45000000</v>
      </c>
      <c r="H5" s="66">
        <v>45000000</v>
      </c>
      <c r="I5" s="66">
        <v>0</v>
      </c>
      <c r="J5" s="70">
        <v>0</v>
      </c>
      <c r="K5" s="70">
        <v>0</v>
      </c>
      <c r="L5" s="70">
        <v>45000000</v>
      </c>
      <c r="M5" s="70">
        <f>L5*200%</f>
        <v>90000000</v>
      </c>
      <c r="N5" s="70">
        <v>187200000</v>
      </c>
      <c r="O5" s="70">
        <v>0</v>
      </c>
      <c r="P5" s="70">
        <v>0</v>
      </c>
      <c r="Q5" s="70">
        <v>100000000</v>
      </c>
      <c r="R5" s="70">
        <v>100000000</v>
      </c>
      <c r="S5" s="70">
        <v>100000000</v>
      </c>
      <c r="T5" s="100">
        <f t="shared" ref="T5:T38" si="0">S5-R5</f>
        <v>0</v>
      </c>
    </row>
    <row r="6" spans="1:20" ht="30" customHeight="1">
      <c r="A6" s="169">
        <v>21103</v>
      </c>
      <c r="B6" s="66" t="s">
        <v>11</v>
      </c>
      <c r="C6" s="66">
        <v>8400000</v>
      </c>
      <c r="D6" s="66">
        <v>10800000</v>
      </c>
      <c r="E6" s="66">
        <v>10800000</v>
      </c>
      <c r="F6" s="66">
        <v>21600000</v>
      </c>
      <c r="G6" s="66">
        <v>33288000</v>
      </c>
      <c r="H6" s="66">
        <v>33288000</v>
      </c>
      <c r="I6" s="66">
        <v>32400000</v>
      </c>
      <c r="J6" s="70">
        <f>30888000+32400000+1440000</f>
        <v>64728000</v>
      </c>
      <c r="K6" s="70">
        <f>64728000+1440000+7920000</f>
        <v>74088000</v>
      </c>
      <c r="L6" s="70">
        <v>166968000</v>
      </c>
      <c r="M6" s="70">
        <v>166968000</v>
      </c>
      <c r="N6" s="70">
        <v>231768000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100">
        <f t="shared" si="0"/>
        <v>0</v>
      </c>
    </row>
    <row r="7" spans="1:20" ht="30" customHeight="1">
      <c r="A7" s="169">
        <v>21105</v>
      </c>
      <c r="B7" s="66" t="s">
        <v>398</v>
      </c>
      <c r="C7" s="66"/>
      <c r="D7" s="66"/>
      <c r="E7" s="66"/>
      <c r="F7" s="66"/>
      <c r="G7" s="66"/>
      <c r="H7" s="66"/>
      <c r="I7" s="66"/>
      <c r="J7" s="70"/>
      <c r="K7" s="70"/>
      <c r="L7" s="70"/>
      <c r="M7" s="70">
        <v>834000000</v>
      </c>
      <c r="N7" s="70">
        <f>M7</f>
        <v>834000000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100">
        <f t="shared" si="0"/>
        <v>0</v>
      </c>
    </row>
    <row r="8" spans="1:20" ht="30" customHeight="1">
      <c r="A8" s="169"/>
      <c r="B8" s="106" t="s">
        <v>59</v>
      </c>
      <c r="C8" s="66">
        <v>32399990</v>
      </c>
      <c r="D8" s="66">
        <v>2895816</v>
      </c>
      <c r="E8" s="66">
        <v>2895816</v>
      </c>
      <c r="F8" s="66">
        <v>6655816</v>
      </c>
      <c r="G8" s="66">
        <v>59200000</v>
      </c>
      <c r="H8" s="66">
        <v>74000000</v>
      </c>
      <c r="I8" s="66">
        <v>55115200</v>
      </c>
      <c r="J8" s="70">
        <v>55000000</v>
      </c>
      <c r="K8" s="70">
        <v>39873274</v>
      </c>
      <c r="L8" s="111">
        <f>SUM(L4:L6)</f>
        <v>943858800</v>
      </c>
      <c r="M8" s="111" t="e">
        <f>SUM(M3:M7)</f>
        <v>#REF!</v>
      </c>
      <c r="N8" s="111">
        <f>SUM(N4:N7)</f>
        <v>2538439200</v>
      </c>
      <c r="O8" s="111">
        <v>0</v>
      </c>
      <c r="P8" s="111">
        <f>SUM(P4:P7)</f>
        <v>400000000</v>
      </c>
      <c r="Q8" s="111">
        <f>SUM(Q4:Q7)</f>
        <v>500000000</v>
      </c>
      <c r="R8" s="111">
        <f>SUM(R4:R7)</f>
        <v>600000000</v>
      </c>
      <c r="S8" s="111">
        <f>SUM(S4:S7)</f>
        <v>600000000</v>
      </c>
      <c r="T8" s="100">
        <f t="shared" si="0"/>
        <v>0</v>
      </c>
    </row>
    <row r="9" spans="1:20" ht="30" customHeight="1">
      <c r="A9" s="249">
        <v>220</v>
      </c>
      <c r="B9" s="106" t="s">
        <v>159</v>
      </c>
      <c r="C9" s="66">
        <v>0</v>
      </c>
      <c r="D9" s="66">
        <v>0</v>
      </c>
      <c r="E9" s="66">
        <v>0</v>
      </c>
      <c r="F9" s="66">
        <v>0</v>
      </c>
      <c r="G9" s="66">
        <v>16000000</v>
      </c>
      <c r="H9" s="66">
        <v>20000000</v>
      </c>
      <c r="I9" s="66">
        <v>14896000</v>
      </c>
      <c r="J9" s="70">
        <v>25000000</v>
      </c>
      <c r="K9" s="70">
        <v>7448000</v>
      </c>
      <c r="L9" s="70"/>
      <c r="M9" s="70"/>
      <c r="N9" s="70"/>
      <c r="O9" s="70">
        <v>0</v>
      </c>
      <c r="P9" s="70"/>
      <c r="Q9" s="70"/>
      <c r="R9" s="70"/>
      <c r="S9" s="70"/>
      <c r="T9" s="100">
        <f t="shared" si="0"/>
        <v>0</v>
      </c>
    </row>
    <row r="10" spans="1:20" ht="30" customHeight="1">
      <c r="A10" s="249">
        <v>2210</v>
      </c>
      <c r="B10" s="106" t="s">
        <v>160</v>
      </c>
      <c r="C10" s="66"/>
      <c r="D10" s="66"/>
      <c r="E10" s="66"/>
      <c r="F10" s="66"/>
      <c r="G10" s="66"/>
      <c r="H10" s="66"/>
      <c r="I10" s="66"/>
      <c r="J10" s="70"/>
      <c r="K10" s="70">
        <v>9682400</v>
      </c>
      <c r="L10" s="70"/>
      <c r="M10" s="70"/>
      <c r="N10" s="70"/>
      <c r="O10" s="70">
        <v>0</v>
      </c>
      <c r="P10" s="70"/>
      <c r="Q10" s="70"/>
      <c r="R10" s="70"/>
      <c r="S10" s="70"/>
      <c r="T10" s="100">
        <f t="shared" si="0"/>
        <v>0</v>
      </c>
    </row>
    <row r="11" spans="1:20" ht="30" customHeight="1">
      <c r="A11" s="169">
        <v>22101</v>
      </c>
      <c r="B11" s="66" t="s">
        <v>14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70">
        <v>0</v>
      </c>
      <c r="K11" s="70">
        <v>14896000</v>
      </c>
      <c r="L11" s="70">
        <v>30906200</v>
      </c>
      <c r="M11" s="70">
        <f>30906200*70%+20000000</f>
        <v>41634340</v>
      </c>
      <c r="N11" s="70">
        <f>30906200*70%+20000000</f>
        <v>41634340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100">
        <f t="shared" si="0"/>
        <v>0</v>
      </c>
    </row>
    <row r="12" spans="1:20" ht="30" customHeight="1">
      <c r="A12" s="169">
        <v>22104</v>
      </c>
      <c r="B12" s="66" t="s">
        <v>116</v>
      </c>
      <c r="C12" s="66"/>
      <c r="D12" s="66"/>
      <c r="E12" s="66"/>
      <c r="F12" s="66"/>
      <c r="G12" s="66"/>
      <c r="H12" s="66"/>
      <c r="I12" s="66"/>
      <c r="J12" s="70"/>
      <c r="K12" s="70">
        <v>115000000</v>
      </c>
      <c r="L12" s="70">
        <v>118865600</v>
      </c>
      <c r="M12" s="70">
        <f>83205920+20000000</f>
        <v>103205920</v>
      </c>
      <c r="N12" s="70">
        <f>83205920+20000000</f>
        <v>103205920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100">
        <f t="shared" si="0"/>
        <v>0</v>
      </c>
    </row>
    <row r="13" spans="1:20" ht="30" customHeight="1">
      <c r="A13" s="169">
        <v>22105</v>
      </c>
      <c r="B13" s="66" t="s">
        <v>93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20000000</v>
      </c>
      <c r="I13" s="66">
        <v>0</v>
      </c>
      <c r="J13" s="70">
        <v>20000000</v>
      </c>
      <c r="K13" s="70">
        <v>0</v>
      </c>
      <c r="L13" s="70">
        <v>11954040</v>
      </c>
      <c r="M13" s="70">
        <f>11954040*70%</f>
        <v>8367827.9999999991</v>
      </c>
      <c r="N13" s="70">
        <f>11954040*70%</f>
        <v>8367827.9999999991</v>
      </c>
      <c r="O13" s="70">
        <v>0</v>
      </c>
      <c r="P13" s="70">
        <v>0</v>
      </c>
      <c r="Q13" s="70">
        <v>0</v>
      </c>
      <c r="R13" s="70">
        <v>0</v>
      </c>
      <c r="S13" s="70">
        <v>495550000</v>
      </c>
      <c r="T13" s="100">
        <f t="shared" si="0"/>
        <v>495550000</v>
      </c>
    </row>
    <row r="14" spans="1:20" ht="30" customHeight="1">
      <c r="A14" s="169">
        <v>22106</v>
      </c>
      <c r="B14" s="66" t="s">
        <v>84</v>
      </c>
      <c r="C14" s="66"/>
      <c r="D14" s="66">
        <v>0</v>
      </c>
      <c r="E14" s="66">
        <v>0</v>
      </c>
      <c r="F14" s="66">
        <v>22500000</v>
      </c>
      <c r="G14" s="66">
        <v>0</v>
      </c>
      <c r="H14" s="66">
        <v>40000000</v>
      </c>
      <c r="I14" s="66">
        <v>0</v>
      </c>
      <c r="J14" s="70">
        <v>0</v>
      </c>
      <c r="K14" s="70">
        <v>0</v>
      </c>
      <c r="L14" s="70">
        <v>12289200</v>
      </c>
      <c r="M14" s="70">
        <f>12289200*70%+15000000</f>
        <v>23602440</v>
      </c>
      <c r="N14" s="70">
        <v>0</v>
      </c>
      <c r="O14" s="70">
        <v>0</v>
      </c>
      <c r="P14" s="70">
        <v>0</v>
      </c>
      <c r="Q14" s="70">
        <v>100000000</v>
      </c>
      <c r="R14" s="70">
        <v>100000000</v>
      </c>
      <c r="S14" s="70">
        <v>100000000</v>
      </c>
      <c r="T14" s="100">
        <f t="shared" si="0"/>
        <v>0</v>
      </c>
    </row>
    <row r="15" spans="1:20" ht="30" customHeight="1">
      <c r="A15" s="169">
        <v>22107</v>
      </c>
      <c r="B15" s="66" t="s">
        <v>30</v>
      </c>
      <c r="C15" s="66"/>
      <c r="D15" s="66"/>
      <c r="E15" s="66"/>
      <c r="F15" s="66"/>
      <c r="G15" s="66"/>
      <c r="H15" s="66"/>
      <c r="I15" s="66"/>
      <c r="J15" s="70"/>
      <c r="K15" s="70">
        <v>5958400</v>
      </c>
      <c r="L15" s="70">
        <v>60716400</v>
      </c>
      <c r="M15" s="70">
        <f>42501480+10000000</f>
        <v>52501480</v>
      </c>
      <c r="N15" s="70">
        <f>M15*70%</f>
        <v>36751036</v>
      </c>
      <c r="O15" s="70">
        <v>0</v>
      </c>
      <c r="P15" s="70">
        <v>0</v>
      </c>
      <c r="Q15" s="70">
        <v>200000000</v>
      </c>
      <c r="R15" s="70">
        <v>200000000</v>
      </c>
      <c r="S15" s="70">
        <v>200000000</v>
      </c>
      <c r="T15" s="100">
        <f t="shared" si="0"/>
        <v>0</v>
      </c>
    </row>
    <row r="16" spans="1:20" ht="30" customHeight="1">
      <c r="A16" s="169">
        <v>22109</v>
      </c>
      <c r="B16" s="66" t="s">
        <v>94</v>
      </c>
      <c r="C16" s="66">
        <v>0</v>
      </c>
      <c r="D16" s="66">
        <v>0</v>
      </c>
      <c r="E16" s="66">
        <v>0</v>
      </c>
      <c r="F16" s="66">
        <v>0</v>
      </c>
      <c r="G16" s="66">
        <v>2400000</v>
      </c>
      <c r="H16" s="66">
        <v>3000000</v>
      </c>
      <c r="I16" s="66">
        <v>1862000</v>
      </c>
      <c r="J16" s="70">
        <v>1862000</v>
      </c>
      <c r="K16" s="111">
        <f>SUM(K8:K15)</f>
        <v>192858074</v>
      </c>
      <c r="L16" s="70">
        <v>42492900</v>
      </c>
      <c r="M16" s="70">
        <f>42492900*70%+30000000</f>
        <v>59745030</v>
      </c>
      <c r="N16" s="70">
        <f>42492900*70%+30000000</f>
        <v>59745030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100">
        <f t="shared" si="0"/>
        <v>0</v>
      </c>
    </row>
    <row r="17" spans="1:20" ht="30" customHeight="1">
      <c r="A17" s="169">
        <v>22112</v>
      </c>
      <c r="B17" s="66" t="s">
        <v>16</v>
      </c>
      <c r="C17" s="106">
        <f>SUM(C13:C16)</f>
        <v>0</v>
      </c>
      <c r="D17" s="106">
        <f>SUM(D13:D16)</f>
        <v>0</v>
      </c>
      <c r="E17" s="106">
        <v>0</v>
      </c>
      <c r="F17" s="106">
        <f>SUM(F13:F16)</f>
        <v>22500000</v>
      </c>
      <c r="G17" s="106">
        <f>SUM(G13:G16)</f>
        <v>2400000</v>
      </c>
      <c r="H17" s="106">
        <f>SUM(H13:H16)</f>
        <v>63000000</v>
      </c>
      <c r="I17" s="106">
        <f>SUM(I13:I16)</f>
        <v>1862000</v>
      </c>
      <c r="J17" s="111">
        <f>SUM(J13:J16)</f>
        <v>21862000</v>
      </c>
      <c r="K17" s="111"/>
      <c r="L17" s="70">
        <v>51971600</v>
      </c>
      <c r="M17" s="70">
        <f>36380120+5000000</f>
        <v>41380120</v>
      </c>
      <c r="N17" s="70">
        <f>36380120+5000000</f>
        <v>41380120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100">
        <f t="shared" si="0"/>
        <v>0</v>
      </c>
    </row>
    <row r="18" spans="1:20" ht="30" customHeight="1">
      <c r="A18" s="169">
        <v>22119</v>
      </c>
      <c r="B18" s="66" t="s">
        <v>740</v>
      </c>
      <c r="C18" s="66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70">
        <v>0</v>
      </c>
      <c r="K18" s="70">
        <v>28488600</v>
      </c>
      <c r="L18" s="70">
        <f>309000000+18372000</f>
        <v>327372000</v>
      </c>
      <c r="M18" s="70">
        <f>327372000*70%</f>
        <v>229160400</v>
      </c>
      <c r="N18" s="70">
        <v>0</v>
      </c>
      <c r="O18" s="70">
        <v>0</v>
      </c>
      <c r="P18" s="70">
        <v>0</v>
      </c>
      <c r="Q18" s="70">
        <v>0</v>
      </c>
      <c r="R18" s="70">
        <v>200000000</v>
      </c>
      <c r="S18" s="70">
        <v>200000000</v>
      </c>
      <c r="T18" s="100">
        <f t="shared" si="0"/>
        <v>0</v>
      </c>
    </row>
    <row r="19" spans="1:20" ht="30" customHeight="1">
      <c r="A19" s="249"/>
      <c r="B19" s="106" t="s">
        <v>59</v>
      </c>
      <c r="C19" s="66"/>
      <c r="D19" s="66"/>
      <c r="E19" s="66"/>
      <c r="F19" s="66">
        <v>100000000</v>
      </c>
      <c r="G19" s="66">
        <v>0</v>
      </c>
      <c r="H19" s="66">
        <v>0</v>
      </c>
      <c r="I19" s="66">
        <v>0</v>
      </c>
      <c r="J19" s="70">
        <v>0</v>
      </c>
      <c r="K19" s="111">
        <f>SUM(K18:K18)</f>
        <v>28488600</v>
      </c>
      <c r="L19" s="111">
        <f>SUM(L11:L18)</f>
        <v>656567940</v>
      </c>
      <c r="M19" s="111">
        <f>SUM(M11:M18)</f>
        <v>559597558</v>
      </c>
      <c r="N19" s="111">
        <f>SUM(N11:N18)</f>
        <v>291084274</v>
      </c>
      <c r="O19" s="111">
        <v>0</v>
      </c>
      <c r="P19" s="111">
        <v>0</v>
      </c>
      <c r="Q19" s="111">
        <f>SUM(Q11:Q18)</f>
        <v>300000000</v>
      </c>
      <c r="R19" s="111">
        <f>SUM(R11:R18)</f>
        <v>500000000</v>
      </c>
      <c r="S19" s="111">
        <f>SUM(S11:S18)</f>
        <v>995550000</v>
      </c>
      <c r="T19" s="100">
        <f t="shared" si="0"/>
        <v>495550000</v>
      </c>
    </row>
    <row r="20" spans="1:20" ht="30" customHeight="1">
      <c r="A20" s="249">
        <v>2220</v>
      </c>
      <c r="B20" s="106" t="s">
        <v>161</v>
      </c>
      <c r="C20" s="106" t="e">
        <f>SUM(#REF!)</f>
        <v>#REF!</v>
      </c>
      <c r="D20" s="106" t="e">
        <f>SUM(#REF!)</f>
        <v>#REF!</v>
      </c>
      <c r="E20" s="106">
        <f>SUM(E18:E18)</f>
        <v>0</v>
      </c>
      <c r="F20" s="106">
        <f>SUM(F18:F19)</f>
        <v>100000000</v>
      </c>
      <c r="G20" s="106">
        <f>SUM(G18:G19)</f>
        <v>0</v>
      </c>
      <c r="H20" s="106">
        <f>SUM(H18:H19)</f>
        <v>0</v>
      </c>
      <c r="I20" s="106">
        <f>SUM(I18:I19)</f>
        <v>0</v>
      </c>
      <c r="J20" s="111">
        <f>SUM(J18:J19)</f>
        <v>0</v>
      </c>
      <c r="K20" s="111"/>
      <c r="L20" s="111"/>
      <c r="M20" s="111"/>
      <c r="N20" s="111"/>
      <c r="O20" s="111">
        <v>0</v>
      </c>
      <c r="P20" s="111"/>
      <c r="Q20" s="70"/>
      <c r="R20" s="70"/>
      <c r="S20" s="70"/>
      <c r="T20" s="100">
        <f t="shared" si="0"/>
        <v>0</v>
      </c>
    </row>
    <row r="21" spans="1:20" ht="30" customHeight="1">
      <c r="A21" s="169">
        <v>22202</v>
      </c>
      <c r="B21" s="66" t="s">
        <v>91</v>
      </c>
      <c r="C21" s="66">
        <v>4799980</v>
      </c>
      <c r="D21" s="66">
        <v>0</v>
      </c>
      <c r="E21" s="66">
        <v>0</v>
      </c>
      <c r="F21" s="66">
        <v>11800000</v>
      </c>
      <c r="G21" s="66">
        <v>24000000</v>
      </c>
      <c r="H21" s="66">
        <v>30000000</v>
      </c>
      <c r="I21" s="66">
        <v>17875200</v>
      </c>
      <c r="J21" s="70">
        <v>17875200</v>
      </c>
      <c r="K21" s="70">
        <v>0</v>
      </c>
      <c r="L21" s="70">
        <v>431733818</v>
      </c>
      <c r="M21" s="70">
        <f>302213672+98211600</f>
        <v>400425272</v>
      </c>
      <c r="N21" s="70">
        <f>M21</f>
        <v>400425272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100">
        <f t="shared" si="0"/>
        <v>0</v>
      </c>
    </row>
    <row r="22" spans="1:20" ht="30" customHeight="1">
      <c r="A22" s="169">
        <v>22203</v>
      </c>
      <c r="B22" s="66" t="s">
        <v>85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70">
        <v>0</v>
      </c>
      <c r="K22" s="70">
        <v>0</v>
      </c>
      <c r="L22" s="70">
        <v>59733400</v>
      </c>
      <c r="M22" s="70">
        <f>41813380+5000000</f>
        <v>46813380</v>
      </c>
      <c r="N22" s="70">
        <f>41813380+5000000</f>
        <v>46813380</v>
      </c>
      <c r="O22" s="70">
        <v>0</v>
      </c>
      <c r="P22" s="70">
        <v>0</v>
      </c>
      <c r="Q22" s="70"/>
      <c r="R22" s="70"/>
      <c r="S22" s="70"/>
      <c r="T22" s="100">
        <f t="shared" si="0"/>
        <v>0</v>
      </c>
    </row>
    <row r="23" spans="1:20" ht="30" customHeight="1">
      <c r="A23" s="169">
        <v>22204</v>
      </c>
      <c r="B23" s="66" t="s">
        <v>86</v>
      </c>
      <c r="C23" s="66">
        <v>15436990</v>
      </c>
      <c r="D23" s="66">
        <f>23000000+92-14000000</f>
        <v>9000092</v>
      </c>
      <c r="E23" s="66">
        <v>9000092</v>
      </c>
      <c r="F23" s="66">
        <v>29000092</v>
      </c>
      <c r="G23" s="66">
        <v>35200000</v>
      </c>
      <c r="H23" s="66">
        <v>44000000</v>
      </c>
      <c r="I23" s="66">
        <v>39873274</v>
      </c>
      <c r="J23" s="70">
        <v>49000000</v>
      </c>
      <c r="K23" s="70">
        <v>1862000</v>
      </c>
      <c r="L23" s="70">
        <v>88225200</v>
      </c>
      <c r="M23" s="70">
        <f>88225200*70%+40000000</f>
        <v>101757640</v>
      </c>
      <c r="N23" s="70">
        <f>88225200*70%+40000000</f>
        <v>101757640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100">
        <f t="shared" si="0"/>
        <v>0</v>
      </c>
    </row>
    <row r="24" spans="1:20" ht="30" customHeight="1">
      <c r="A24" s="169">
        <v>22208</v>
      </c>
      <c r="B24" s="66" t="s">
        <v>358</v>
      </c>
      <c r="C24" s="66"/>
      <c r="D24" s="66"/>
      <c r="E24" s="66"/>
      <c r="F24" s="66"/>
      <c r="G24" s="66"/>
      <c r="H24" s="66"/>
      <c r="I24" s="66"/>
      <c r="J24" s="70"/>
      <c r="K24" s="70"/>
      <c r="L24" s="70">
        <v>54000000</v>
      </c>
      <c r="M24" s="70">
        <f>54000000/3500*6000</f>
        <v>92571428.571428582</v>
      </c>
      <c r="N24" s="70">
        <f>54000000/3500*6000</f>
        <v>92571428.571428582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100">
        <f t="shared" si="0"/>
        <v>0</v>
      </c>
    </row>
    <row r="25" spans="1:20" ht="30" customHeight="1">
      <c r="A25" s="169"/>
      <c r="B25" s="106" t="s">
        <v>59</v>
      </c>
      <c r="C25" s="66"/>
      <c r="D25" s="66"/>
      <c r="E25" s="66"/>
      <c r="F25" s="66">
        <v>0</v>
      </c>
      <c r="G25" s="66">
        <v>13280000</v>
      </c>
      <c r="H25" s="66">
        <v>16600000</v>
      </c>
      <c r="I25" s="66">
        <v>9682400</v>
      </c>
      <c r="J25" s="70">
        <v>9682400</v>
      </c>
      <c r="K25" s="111">
        <f>SUM(K21:K24)</f>
        <v>1862000</v>
      </c>
      <c r="L25" s="111" t="e">
        <f>#REF!+L23+L22+L21</f>
        <v>#REF!</v>
      </c>
      <c r="M25" s="111">
        <f>SUM(M21:M24)</f>
        <v>641567720.57142854</v>
      </c>
      <c r="N25" s="111">
        <f>SUM(N21:N24)</f>
        <v>641567720.57142854</v>
      </c>
      <c r="O25" s="111">
        <v>0</v>
      </c>
      <c r="P25" s="111">
        <f>SUM(P21:P24)</f>
        <v>0</v>
      </c>
      <c r="Q25" s="111">
        <f>SUM(Q21:Q24)</f>
        <v>0</v>
      </c>
      <c r="R25" s="111">
        <f>SUM(R21:R24)</f>
        <v>0</v>
      </c>
      <c r="S25" s="111">
        <f>SUM(S21:S24)</f>
        <v>0</v>
      </c>
      <c r="T25" s="100">
        <f t="shared" si="0"/>
        <v>0</v>
      </c>
    </row>
    <row r="26" spans="1:20" ht="30" customHeight="1">
      <c r="A26" s="249">
        <v>2230</v>
      </c>
      <c r="B26" s="106" t="s">
        <v>88</v>
      </c>
      <c r="C26" s="66"/>
      <c r="D26" s="66">
        <v>0</v>
      </c>
      <c r="E26" s="66">
        <v>0</v>
      </c>
      <c r="F26" s="66">
        <v>2000000</v>
      </c>
      <c r="G26" s="66">
        <v>16000000</v>
      </c>
      <c r="H26" s="66">
        <v>20000000</v>
      </c>
      <c r="I26" s="66">
        <v>14896000</v>
      </c>
      <c r="J26" s="70">
        <v>20000000</v>
      </c>
      <c r="K26" s="70"/>
      <c r="L26" s="70"/>
      <c r="M26" s="70"/>
      <c r="N26" s="70"/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100">
        <f t="shared" si="0"/>
        <v>0</v>
      </c>
    </row>
    <row r="27" spans="1:20" ht="30" customHeight="1">
      <c r="A27" s="169">
        <v>22301</v>
      </c>
      <c r="B27" s="66" t="s">
        <v>245</v>
      </c>
      <c r="C27" s="66"/>
      <c r="D27" s="66">
        <v>0</v>
      </c>
      <c r="E27" s="66">
        <v>0</v>
      </c>
      <c r="F27" s="66">
        <v>9000200</v>
      </c>
      <c r="G27" s="66">
        <v>18400000</v>
      </c>
      <c r="H27" s="66">
        <v>23000000</v>
      </c>
      <c r="I27" s="66">
        <v>13704320</v>
      </c>
      <c r="J27" s="70">
        <v>13704320</v>
      </c>
      <c r="K27" s="70">
        <v>27588136</v>
      </c>
      <c r="L27" s="70">
        <v>84208136</v>
      </c>
      <c r="M27" s="70">
        <f>58945695*70%+10000000</f>
        <v>51261986.5</v>
      </c>
      <c r="N27" s="70">
        <f>58945695*70%+10000000</f>
        <v>51261986.5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100">
        <f t="shared" si="0"/>
        <v>0</v>
      </c>
    </row>
    <row r="28" spans="1:20" ht="30" customHeight="1">
      <c r="A28" s="169">
        <v>22302</v>
      </c>
      <c r="B28" s="66" t="s">
        <v>162</v>
      </c>
      <c r="C28" s="66">
        <v>2279995</v>
      </c>
      <c r="D28" s="66">
        <v>2545200</v>
      </c>
      <c r="E28" s="66">
        <v>2545200</v>
      </c>
      <c r="F28" s="66">
        <v>3505200</v>
      </c>
      <c r="G28" s="66">
        <v>9600000</v>
      </c>
      <c r="H28" s="66">
        <v>22000000</v>
      </c>
      <c r="I28" s="66">
        <v>16385600</v>
      </c>
      <c r="J28" s="70">
        <v>16385600</v>
      </c>
      <c r="K28" s="70">
        <v>3724000</v>
      </c>
      <c r="L28" s="70">
        <v>3724000</v>
      </c>
      <c r="M28" s="70">
        <f>3724000*70%</f>
        <v>2606800</v>
      </c>
      <c r="N28" s="70">
        <f>3724000*70%</f>
        <v>2606800</v>
      </c>
      <c r="O28" s="70">
        <v>0</v>
      </c>
      <c r="P28" s="70"/>
      <c r="Q28" s="70">
        <v>0</v>
      </c>
      <c r="R28" s="70">
        <v>0</v>
      </c>
      <c r="S28" s="70">
        <v>0</v>
      </c>
      <c r="T28" s="100">
        <f t="shared" si="0"/>
        <v>0</v>
      </c>
    </row>
    <row r="29" spans="1:20" ht="30" customHeight="1">
      <c r="A29" s="169"/>
      <c r="B29" s="106" t="s">
        <v>59</v>
      </c>
      <c r="C29" s="66">
        <v>15000000</v>
      </c>
      <c r="D29" s="66">
        <v>14000000</v>
      </c>
      <c r="E29" s="66">
        <v>9025900</v>
      </c>
      <c r="F29" s="66">
        <v>39837118</v>
      </c>
      <c r="G29" s="66">
        <v>0</v>
      </c>
      <c r="H29" s="66">
        <v>0</v>
      </c>
      <c r="I29" s="66">
        <v>0</v>
      </c>
      <c r="J29" s="70">
        <v>0</v>
      </c>
      <c r="K29" s="70">
        <v>0</v>
      </c>
      <c r="L29" s="111">
        <f>SUM(L27:L28)</f>
        <v>87932136</v>
      </c>
      <c r="M29" s="111">
        <f>SUM(M27:M28)</f>
        <v>53868786.5</v>
      </c>
      <c r="N29" s="111">
        <f>SUM(N27:N28)</f>
        <v>53868786.5</v>
      </c>
      <c r="O29" s="111">
        <v>0</v>
      </c>
      <c r="P29" s="111">
        <v>0</v>
      </c>
      <c r="Q29" s="70">
        <v>0</v>
      </c>
      <c r="R29" s="70">
        <f>SUM(R27:R28)</f>
        <v>0</v>
      </c>
      <c r="S29" s="70">
        <f>SUM(S27:S28)</f>
        <v>0</v>
      </c>
      <c r="T29" s="100">
        <f t="shared" si="0"/>
        <v>0</v>
      </c>
    </row>
    <row r="30" spans="1:20" ht="30" customHeight="1">
      <c r="A30" s="249">
        <v>230</v>
      </c>
      <c r="B30" s="106" t="s">
        <v>165</v>
      </c>
      <c r="C30" s="106">
        <f t="shared" ref="C30:J30" si="1">SUM(C21:C29)</f>
        <v>37516965</v>
      </c>
      <c r="D30" s="106">
        <f t="shared" si="1"/>
        <v>25545292</v>
      </c>
      <c r="E30" s="106">
        <f t="shared" si="1"/>
        <v>20571192</v>
      </c>
      <c r="F30" s="106">
        <f t="shared" si="1"/>
        <v>95142610</v>
      </c>
      <c r="G30" s="106">
        <f t="shared" si="1"/>
        <v>116480000</v>
      </c>
      <c r="H30" s="106">
        <f t="shared" si="1"/>
        <v>155600000</v>
      </c>
      <c r="I30" s="106">
        <f t="shared" si="1"/>
        <v>112416794</v>
      </c>
      <c r="J30" s="111">
        <f t="shared" si="1"/>
        <v>126647520</v>
      </c>
      <c r="K30" s="111">
        <v>0</v>
      </c>
      <c r="L30" s="111"/>
      <c r="M30" s="111"/>
      <c r="N30" s="111"/>
      <c r="O30" s="111">
        <v>0</v>
      </c>
      <c r="P30" s="111">
        <v>0</v>
      </c>
      <c r="Q30" s="70">
        <v>0</v>
      </c>
      <c r="R30" s="70">
        <v>0</v>
      </c>
      <c r="S30" s="70">
        <v>0</v>
      </c>
      <c r="T30" s="100">
        <f t="shared" si="0"/>
        <v>0</v>
      </c>
    </row>
    <row r="31" spans="1:20" ht="30" customHeight="1">
      <c r="A31" s="249">
        <v>2310</v>
      </c>
      <c r="B31" s="106" t="s">
        <v>164</v>
      </c>
      <c r="C31" s="106" t="e">
        <f>C30+C20+C17+#REF!+#REF!</f>
        <v>#REF!</v>
      </c>
      <c r="D31" s="106" t="e">
        <f>D30+D20+D17+#REF!+#REF!</f>
        <v>#REF!</v>
      </c>
      <c r="E31" s="106" t="e">
        <f>E30+E20+E17+#REF!+#REF!</f>
        <v>#REF!</v>
      </c>
      <c r="F31" s="106" t="e">
        <f>F30+F20+F17+#REF!+#REF!</f>
        <v>#REF!</v>
      </c>
      <c r="G31" s="106" t="e">
        <f>G30+G20+G17+#REF!+#REF!</f>
        <v>#REF!</v>
      </c>
      <c r="H31" s="106" t="e">
        <f>H30+H20+H17+#REF!+#REF!</f>
        <v>#REF!</v>
      </c>
      <c r="I31" s="106" t="e">
        <f>I30+I20+I17+#REF!+#REF!</f>
        <v>#REF!</v>
      </c>
      <c r="J31" s="111" t="e">
        <f>J30+J20+J17+#REF!+#REF!</f>
        <v>#REF!</v>
      </c>
      <c r="K31" s="111" t="e">
        <f>K30+#REF!+K25+K19+K16+#REF!</f>
        <v>#REF!</v>
      </c>
      <c r="L31" s="111"/>
      <c r="M31" s="111"/>
      <c r="N31" s="111"/>
      <c r="O31" s="111">
        <v>0</v>
      </c>
      <c r="P31" s="111">
        <v>0</v>
      </c>
      <c r="Q31" s="70">
        <v>0</v>
      </c>
      <c r="R31" s="70">
        <v>0</v>
      </c>
      <c r="S31" s="70">
        <v>0</v>
      </c>
      <c r="T31" s="100">
        <f t="shared" si="0"/>
        <v>0</v>
      </c>
    </row>
    <row r="32" spans="1:20" ht="30" customHeight="1">
      <c r="A32" s="169">
        <v>23101</v>
      </c>
      <c r="B32" s="66" t="s">
        <v>193</v>
      </c>
      <c r="C32" s="118"/>
      <c r="D32" s="118" t="s">
        <v>4</v>
      </c>
      <c r="E32" s="118"/>
      <c r="F32" s="66">
        <v>0</v>
      </c>
      <c r="G32" s="118"/>
      <c r="H32" s="118"/>
      <c r="I32" s="118"/>
      <c r="J32" s="118"/>
      <c r="K32" s="118"/>
      <c r="L32" s="70">
        <v>25000000</v>
      </c>
      <c r="M32" s="70">
        <v>16896000</v>
      </c>
      <c r="N32" s="70">
        <v>0</v>
      </c>
      <c r="O32" s="70">
        <v>0</v>
      </c>
      <c r="P32" s="70">
        <v>0</v>
      </c>
      <c r="Q32" s="111">
        <v>0</v>
      </c>
      <c r="R32" s="111">
        <v>0</v>
      </c>
      <c r="S32" s="111">
        <v>0</v>
      </c>
      <c r="T32" s="100">
        <f t="shared" si="0"/>
        <v>0</v>
      </c>
    </row>
    <row r="33" spans="1:20" ht="30" customHeight="1">
      <c r="A33" s="169">
        <v>23102</v>
      </c>
      <c r="B33" s="66" t="s">
        <v>194</v>
      </c>
      <c r="C33" s="118"/>
      <c r="D33" s="100" t="s">
        <v>4</v>
      </c>
      <c r="E33" s="100"/>
      <c r="F33" s="66">
        <v>0</v>
      </c>
      <c r="G33" s="100"/>
      <c r="H33" s="100"/>
      <c r="I33" s="100"/>
      <c r="J33" s="100"/>
      <c r="K33" s="100"/>
      <c r="L33" s="70">
        <v>0</v>
      </c>
      <c r="M33" s="70">
        <v>160000000</v>
      </c>
      <c r="N33" s="70">
        <v>100000000</v>
      </c>
      <c r="O33" s="70">
        <v>0</v>
      </c>
      <c r="P33" s="70"/>
      <c r="Q33" s="111">
        <v>0</v>
      </c>
      <c r="R33" s="111">
        <v>0</v>
      </c>
      <c r="S33" s="111">
        <v>0</v>
      </c>
      <c r="T33" s="100">
        <f t="shared" si="0"/>
        <v>0</v>
      </c>
    </row>
    <row r="34" spans="1:20" ht="30" customHeight="1">
      <c r="A34" s="169"/>
      <c r="B34" s="106" t="s">
        <v>59</v>
      </c>
      <c r="C34" s="118"/>
      <c r="D34" s="118"/>
      <c r="E34" s="118"/>
      <c r="F34" s="118">
        <f>1386274192-71600000-798000-176160000-12600000</f>
        <v>1125116192</v>
      </c>
      <c r="G34" s="118"/>
      <c r="H34" s="118"/>
      <c r="I34" s="118"/>
      <c r="J34" s="118"/>
      <c r="K34" s="118"/>
      <c r="L34" s="111">
        <f>SUM(L32:L33)</f>
        <v>25000000</v>
      </c>
      <c r="M34" s="111">
        <f>SUM(M32:M33)</f>
        <v>176896000</v>
      </c>
      <c r="N34" s="111">
        <f>SUM(N32:N33)</f>
        <v>100000000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00">
        <f t="shared" si="0"/>
        <v>0</v>
      </c>
    </row>
    <row r="35" spans="1:20" ht="30" customHeight="1">
      <c r="A35" s="249">
        <v>2320</v>
      </c>
      <c r="B35" s="106" t="s">
        <v>169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1"/>
      <c r="M35" s="111"/>
      <c r="N35" s="111"/>
      <c r="O35" s="111"/>
      <c r="P35" s="111"/>
      <c r="Q35" s="111"/>
      <c r="R35" s="111"/>
      <c r="S35" s="111"/>
      <c r="T35" s="100">
        <f t="shared" si="0"/>
        <v>0</v>
      </c>
    </row>
    <row r="36" spans="1:20" ht="30" customHeight="1">
      <c r="A36" s="169">
        <v>23201</v>
      </c>
      <c r="B36" s="66" t="s">
        <v>618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1"/>
      <c r="M36" s="111"/>
      <c r="N36" s="111"/>
      <c r="O36" s="111"/>
      <c r="P36" s="111"/>
      <c r="Q36" s="111">
        <v>0</v>
      </c>
      <c r="R36" s="70">
        <v>90000000</v>
      </c>
      <c r="S36" s="70">
        <v>0</v>
      </c>
      <c r="T36" s="100">
        <f t="shared" si="0"/>
        <v>-90000000</v>
      </c>
    </row>
    <row r="37" spans="1:20" ht="30" customHeight="1">
      <c r="A37" s="169"/>
      <c r="B37" s="106" t="s">
        <v>59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1"/>
      <c r="M37" s="111"/>
      <c r="N37" s="111"/>
      <c r="O37" s="111"/>
      <c r="P37" s="111"/>
      <c r="Q37" s="111">
        <v>0</v>
      </c>
      <c r="R37" s="111">
        <v>90000000</v>
      </c>
      <c r="S37" s="111">
        <f>SUM(S36)</f>
        <v>0</v>
      </c>
      <c r="T37" s="105">
        <f t="shared" si="0"/>
        <v>-90000000</v>
      </c>
    </row>
    <row r="38" spans="1:20" ht="30" customHeight="1">
      <c r="A38" s="169"/>
      <c r="B38" s="106" t="s">
        <v>18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05" t="e">
        <f>L34+L29+L25+L19+L8</f>
        <v>#REF!</v>
      </c>
      <c r="M38" s="105" t="e">
        <f>#REF!+M34+M29+M25+M19+M8</f>
        <v>#REF!</v>
      </c>
      <c r="N38" s="105" t="e">
        <f>#REF!+N34+N29+N25+N19+N8</f>
        <v>#REF!</v>
      </c>
      <c r="O38" s="105">
        <v>0</v>
      </c>
      <c r="P38" s="105">
        <f>P34+P29+P25+P19+P8</f>
        <v>400000000</v>
      </c>
      <c r="Q38" s="111">
        <f>Q34+Q29+Q25+Q19+Q8</f>
        <v>800000000</v>
      </c>
      <c r="R38" s="111">
        <f>R34+R29+R25+R19+R8+R37</f>
        <v>1190000000</v>
      </c>
      <c r="S38" s="111">
        <f>S34+S29+S25+S19+S8+S37</f>
        <v>1595550000</v>
      </c>
      <c r="T38" s="105">
        <f t="shared" si="0"/>
        <v>405550000</v>
      </c>
    </row>
    <row r="39" spans="1:20" ht="30" customHeight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523">
        <f>SUM(P32:P34)</f>
        <v>0</v>
      </c>
      <c r="Q39" s="524"/>
      <c r="R39" s="525"/>
      <c r="S39" s="526"/>
    </row>
  </sheetData>
  <pageMargins left="0.7" right="0.7" top="0.75" bottom="0.75" header="0.3" footer="0.3"/>
  <pageSetup scale="55" orientation="portrait" r:id="rId1"/>
  <headerFooter>
    <oddHeader>&amp;C&amp;"Algerian,Bold"&amp;36JIMCIYADdA MUJAAHIDIINTA SOOYAAL</oddHeader>
    <oddFooter>&amp;R&amp;"Times New Roman,Bold"&amp;18 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S53"/>
  <sheetViews>
    <sheetView view="pageBreakPreview" zoomScale="60" workbookViewId="0">
      <selection activeCell="Q4" sqref="Q4"/>
    </sheetView>
  </sheetViews>
  <sheetFormatPr defaultRowHeight="23.1" customHeight="1"/>
  <cols>
    <col min="1" max="1" width="18.1640625" style="528" bestFit="1" customWidth="1"/>
    <col min="2" max="2" width="79" style="528" customWidth="1"/>
    <col min="3" max="3" width="17.5" style="528" hidden="1" customWidth="1"/>
    <col min="4" max="4" width="16.1640625" style="528" hidden="1" customWidth="1"/>
    <col min="5" max="5" width="18" style="528" hidden="1" customWidth="1"/>
    <col min="6" max="6" width="21.33203125" style="528" hidden="1" customWidth="1"/>
    <col min="7" max="8" width="0.1640625" style="528" hidden="1" customWidth="1"/>
    <col min="9" max="10" width="23.1640625" style="528" hidden="1" customWidth="1"/>
    <col min="11" max="11" width="0.1640625" style="528" hidden="1" customWidth="1"/>
    <col min="12" max="12" width="23.1640625" style="528" hidden="1" customWidth="1"/>
    <col min="13" max="13" width="24.5" style="528" hidden="1" customWidth="1"/>
    <col min="14" max="15" width="0.1640625" style="528" customWidth="1"/>
    <col min="16" max="16" width="29.83203125" style="528" bestFit="1" customWidth="1"/>
    <col min="17" max="17" width="29.83203125" style="528" customWidth="1"/>
    <col min="18" max="18" width="27.6640625" style="528" bestFit="1" customWidth="1"/>
    <col min="19" max="19" width="15.83203125" style="528" customWidth="1"/>
    <col min="20" max="16384" width="9.33203125" style="528"/>
  </cols>
  <sheetData>
    <row r="1" spans="1:18" ht="23.1" customHeight="1">
      <c r="A1" s="354" t="s">
        <v>21</v>
      </c>
      <c r="B1" s="354" t="s">
        <v>771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527"/>
    </row>
    <row r="2" spans="1:18" s="529" customFormat="1" ht="23.1" customHeight="1">
      <c r="A2" s="249">
        <v>210</v>
      </c>
      <c r="B2" s="130" t="s">
        <v>95</v>
      </c>
      <c r="C2" s="130" t="s">
        <v>19</v>
      </c>
      <c r="D2" s="130" t="s">
        <v>2</v>
      </c>
      <c r="E2" s="130" t="s">
        <v>24</v>
      </c>
      <c r="F2" s="130" t="s">
        <v>28</v>
      </c>
      <c r="G2" s="130" t="s">
        <v>35</v>
      </c>
      <c r="H2" s="130" t="s">
        <v>42</v>
      </c>
      <c r="I2" s="130" t="s">
        <v>66</v>
      </c>
      <c r="J2" s="130" t="s">
        <v>69</v>
      </c>
      <c r="K2" s="130" t="s">
        <v>76</v>
      </c>
      <c r="L2" s="130" t="s">
        <v>110</v>
      </c>
      <c r="M2" s="130" t="s">
        <v>201</v>
      </c>
      <c r="N2" s="130" t="s">
        <v>318</v>
      </c>
      <c r="O2" s="130" t="s">
        <v>530</v>
      </c>
      <c r="P2" s="130" t="s">
        <v>605</v>
      </c>
      <c r="Q2" s="130" t="s">
        <v>722</v>
      </c>
      <c r="R2" s="130" t="s">
        <v>34</v>
      </c>
    </row>
    <row r="3" spans="1:18" ht="23.1" customHeight="1">
      <c r="A3" s="249">
        <v>2110</v>
      </c>
      <c r="B3" s="130" t="s">
        <v>155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527"/>
    </row>
    <row r="4" spans="1:18" ht="23.1" customHeight="1">
      <c r="A4" s="169">
        <v>21101</v>
      </c>
      <c r="B4" s="129" t="s">
        <v>9</v>
      </c>
      <c r="C4" s="129">
        <v>59076000</v>
      </c>
      <c r="D4" s="129">
        <v>83712000</v>
      </c>
      <c r="E4" s="129">
        <v>70656000</v>
      </c>
      <c r="F4" s="129">
        <v>108612000</v>
      </c>
      <c r="G4" s="129">
        <v>102972000</v>
      </c>
      <c r="H4" s="129">
        <v>105852000</v>
      </c>
      <c r="I4" s="129">
        <v>131630200</v>
      </c>
      <c r="J4" s="129">
        <f>139885200+54000000+6000000</f>
        <v>199885200</v>
      </c>
      <c r="K4" s="129">
        <v>211885200</v>
      </c>
      <c r="L4" s="129">
        <v>276426800</v>
      </c>
      <c r="M4" s="129" t="e">
        <f>#REF!+72000000</f>
        <v>#REF!</v>
      </c>
      <c r="N4" s="129">
        <v>244732800</v>
      </c>
      <c r="O4" s="129">
        <v>244732800</v>
      </c>
      <c r="P4" s="129">
        <v>465379200</v>
      </c>
      <c r="Q4" s="129">
        <v>599601600</v>
      </c>
      <c r="R4" s="185">
        <f>Q4-P4</f>
        <v>134222400</v>
      </c>
    </row>
    <row r="5" spans="1:18" ht="23.1" customHeight="1">
      <c r="A5" s="169">
        <v>21102</v>
      </c>
      <c r="B5" s="129" t="s">
        <v>416</v>
      </c>
      <c r="C5" s="129">
        <v>1360000</v>
      </c>
      <c r="D5" s="129">
        <v>0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29">
        <v>0</v>
      </c>
      <c r="L5" s="129">
        <v>0</v>
      </c>
      <c r="M5" s="129">
        <v>0</v>
      </c>
      <c r="N5" s="129">
        <v>291600000</v>
      </c>
      <c r="O5" s="129">
        <v>291600000</v>
      </c>
      <c r="P5" s="129">
        <v>291600000</v>
      </c>
      <c r="Q5" s="129">
        <v>291600000</v>
      </c>
      <c r="R5" s="185">
        <f t="shared" ref="R5:R53" si="0">Q5-P5</f>
        <v>0</v>
      </c>
    </row>
    <row r="6" spans="1:18" ht="23.1" customHeight="1">
      <c r="A6" s="169">
        <v>21103</v>
      </c>
      <c r="B6" s="129" t="s">
        <v>532</v>
      </c>
      <c r="C6" s="129">
        <v>11100000</v>
      </c>
      <c r="D6" s="129">
        <v>10800000</v>
      </c>
      <c r="E6" s="129">
        <v>10800000</v>
      </c>
      <c r="F6" s="129">
        <v>10800000</v>
      </c>
      <c r="G6" s="129">
        <v>32400000</v>
      </c>
      <c r="H6" s="129">
        <v>32400000</v>
      </c>
      <c r="I6" s="129">
        <v>32400000</v>
      </c>
      <c r="J6" s="129">
        <f>32400000+32400000+1440000</f>
        <v>66240000</v>
      </c>
      <c r="K6" s="129">
        <f>66240000+1440000+7920000</f>
        <v>75600000</v>
      </c>
      <c r="L6" s="129">
        <f>97200000+2400000</f>
        <v>99600000</v>
      </c>
      <c r="M6" s="129">
        <f>97200000+2400000</f>
        <v>99600000</v>
      </c>
      <c r="N6" s="129">
        <v>85200000</v>
      </c>
      <c r="O6" s="129">
        <v>273600000</v>
      </c>
      <c r="P6" s="129">
        <v>324000000</v>
      </c>
      <c r="Q6" s="129">
        <v>378000000</v>
      </c>
      <c r="R6" s="185">
        <f t="shared" si="0"/>
        <v>54000000</v>
      </c>
    </row>
    <row r="7" spans="1:18" s="530" customFormat="1" ht="23.1" customHeight="1">
      <c r="A7" s="169">
        <v>21105</v>
      </c>
      <c r="B7" s="129" t="s">
        <v>339</v>
      </c>
      <c r="C7" s="130">
        <f t="shared" ref="C7:J7" si="1">SUM(C4:C6)</f>
        <v>71536000</v>
      </c>
      <c r="D7" s="130">
        <f t="shared" si="1"/>
        <v>94512000</v>
      </c>
      <c r="E7" s="130">
        <f t="shared" si="1"/>
        <v>81456000</v>
      </c>
      <c r="F7" s="130">
        <f t="shared" si="1"/>
        <v>119412000</v>
      </c>
      <c r="G7" s="130">
        <f t="shared" si="1"/>
        <v>135372000</v>
      </c>
      <c r="H7" s="130">
        <f t="shared" si="1"/>
        <v>138252000</v>
      </c>
      <c r="I7" s="130">
        <f t="shared" si="1"/>
        <v>164030200</v>
      </c>
      <c r="J7" s="130">
        <f t="shared" si="1"/>
        <v>266125200</v>
      </c>
      <c r="K7" s="129">
        <v>3912000</v>
      </c>
      <c r="L7" s="129">
        <v>18000000</v>
      </c>
      <c r="M7" s="129">
        <v>18000000</v>
      </c>
      <c r="N7" s="129">
        <f>M7</f>
        <v>18000000</v>
      </c>
      <c r="O7" s="129">
        <f>N7</f>
        <v>18000000</v>
      </c>
      <c r="P7" s="129">
        <f>O7</f>
        <v>18000000</v>
      </c>
      <c r="Q7" s="129">
        <f>P7</f>
        <v>18000000</v>
      </c>
      <c r="R7" s="185">
        <f t="shared" si="0"/>
        <v>0</v>
      </c>
    </row>
    <row r="8" spans="1:18" ht="23.1" customHeight="1">
      <c r="A8" s="249">
        <v>2120</v>
      </c>
      <c r="B8" s="130" t="s">
        <v>156</v>
      </c>
      <c r="C8" s="129">
        <v>0</v>
      </c>
      <c r="D8" s="129">
        <v>0</v>
      </c>
      <c r="E8" s="129">
        <v>0</v>
      </c>
      <c r="F8" s="129">
        <v>0</v>
      </c>
      <c r="G8" s="129"/>
      <c r="H8" s="129"/>
      <c r="I8" s="129"/>
      <c r="J8" s="129"/>
      <c r="K8" s="130">
        <f>SUM(K4:K7)</f>
        <v>291397200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85">
        <f t="shared" si="0"/>
        <v>0</v>
      </c>
    </row>
    <row r="9" spans="1:18" ht="23.1" customHeight="1">
      <c r="A9" s="169">
        <v>21203</v>
      </c>
      <c r="B9" s="129" t="s">
        <v>299</v>
      </c>
      <c r="C9" s="129">
        <v>12600000</v>
      </c>
      <c r="D9" s="129">
        <v>13600000</v>
      </c>
      <c r="E9" s="129">
        <v>13600000</v>
      </c>
      <c r="F9" s="129">
        <v>13600000</v>
      </c>
      <c r="G9" s="129">
        <v>18600000</v>
      </c>
      <c r="H9" s="129">
        <v>20000000</v>
      </c>
      <c r="I9" s="129">
        <v>26068000</v>
      </c>
      <c r="J9" s="129">
        <v>30000000</v>
      </c>
      <c r="K9" s="129">
        <v>0</v>
      </c>
      <c r="L9" s="129">
        <v>0</v>
      </c>
      <c r="M9" s="129">
        <v>2074800</v>
      </c>
      <c r="N9" s="129">
        <v>0</v>
      </c>
      <c r="O9" s="129">
        <v>0</v>
      </c>
      <c r="P9" s="129">
        <v>0</v>
      </c>
      <c r="Q9" s="129">
        <v>0</v>
      </c>
      <c r="R9" s="185">
        <f t="shared" si="0"/>
        <v>0</v>
      </c>
    </row>
    <row r="10" spans="1:18" ht="23.1" customHeight="1">
      <c r="A10" s="169"/>
      <c r="B10" s="130" t="s">
        <v>59</v>
      </c>
      <c r="C10" s="129">
        <v>4500000</v>
      </c>
      <c r="D10" s="129">
        <v>2000000</v>
      </c>
      <c r="E10" s="129">
        <v>2000000</v>
      </c>
      <c r="F10" s="129">
        <v>4000000</v>
      </c>
      <c r="G10" s="129">
        <v>8000000</v>
      </c>
      <c r="H10" s="129">
        <v>12000000</v>
      </c>
      <c r="I10" s="129">
        <v>63308000</v>
      </c>
      <c r="J10" s="129">
        <v>40000000</v>
      </c>
      <c r="K10" s="129">
        <v>1552136000</v>
      </c>
      <c r="L10" s="130">
        <f t="shared" ref="L10:P10" si="2">SUM(L4:L9)</f>
        <v>394026800</v>
      </c>
      <c r="M10" s="130" t="e">
        <f t="shared" si="2"/>
        <v>#REF!</v>
      </c>
      <c r="N10" s="130">
        <f t="shared" si="2"/>
        <v>639532800</v>
      </c>
      <c r="O10" s="130">
        <f t="shared" si="2"/>
        <v>827932800</v>
      </c>
      <c r="P10" s="130">
        <f t="shared" si="2"/>
        <v>1098979200</v>
      </c>
      <c r="Q10" s="130">
        <f>SUM(Q4:Q9)</f>
        <v>1287201600</v>
      </c>
      <c r="R10" s="183">
        <f t="shared" si="0"/>
        <v>188222400</v>
      </c>
    </row>
    <row r="11" spans="1:18" ht="23.1" customHeight="1">
      <c r="A11" s="249">
        <v>220</v>
      </c>
      <c r="B11" s="130" t="s">
        <v>159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74480000</v>
      </c>
      <c r="L11" s="129"/>
      <c r="M11" s="129"/>
      <c r="N11" s="129"/>
      <c r="O11" s="129"/>
      <c r="P11" s="129"/>
      <c r="Q11" s="129"/>
      <c r="R11" s="185">
        <f t="shared" si="0"/>
        <v>0</v>
      </c>
    </row>
    <row r="12" spans="1:18" ht="23.1" customHeight="1">
      <c r="A12" s="249">
        <v>2210</v>
      </c>
      <c r="B12" s="130" t="s">
        <v>160</v>
      </c>
      <c r="C12" s="129"/>
      <c r="D12" s="129"/>
      <c r="E12" s="129"/>
      <c r="F12" s="129"/>
      <c r="G12" s="129"/>
      <c r="H12" s="129"/>
      <c r="I12" s="129"/>
      <c r="J12" s="129"/>
      <c r="K12" s="129">
        <v>8043840</v>
      </c>
      <c r="L12" s="129"/>
      <c r="M12" s="129"/>
      <c r="N12" s="129"/>
      <c r="O12" s="129"/>
      <c r="P12" s="129"/>
      <c r="Q12" s="129"/>
      <c r="R12" s="185">
        <f t="shared" si="0"/>
        <v>0</v>
      </c>
    </row>
    <row r="13" spans="1:18" s="530" customFormat="1" ht="23.1" customHeight="1">
      <c r="A13" s="169">
        <v>22101</v>
      </c>
      <c r="B13" s="129" t="s">
        <v>14</v>
      </c>
      <c r="C13" s="130">
        <f>SUM(C9:C11)</f>
        <v>17100000</v>
      </c>
      <c r="D13" s="130">
        <f>SUM(D9:D11)</f>
        <v>15600000</v>
      </c>
      <c r="E13" s="130">
        <f>SUM(E8:E11)</f>
        <v>15600000</v>
      </c>
      <c r="F13" s="130">
        <f>SUM(F8:F11)</f>
        <v>17600000</v>
      </c>
      <c r="G13" s="130">
        <f>SUM(G9:G11)</f>
        <v>26600000</v>
      </c>
      <c r="H13" s="130">
        <f>SUM(H9:H11)</f>
        <v>32000000</v>
      </c>
      <c r="I13" s="130">
        <f>SUM(I9:I11)</f>
        <v>89376000</v>
      </c>
      <c r="J13" s="130">
        <f>SUM(J9:J11)</f>
        <v>70000000</v>
      </c>
      <c r="K13" s="129">
        <v>0</v>
      </c>
      <c r="L13" s="129">
        <v>11172000</v>
      </c>
      <c r="M13" s="129">
        <f>11172000*70%</f>
        <v>7820399.9999999991</v>
      </c>
      <c r="N13" s="129">
        <f>11172000*70%</f>
        <v>7820399.9999999991</v>
      </c>
      <c r="O13" s="129">
        <f>11172000*70%</f>
        <v>7820399.9999999991</v>
      </c>
      <c r="P13" s="129">
        <v>16220400</v>
      </c>
      <c r="Q13" s="129">
        <v>16220400</v>
      </c>
      <c r="R13" s="185">
        <f t="shared" si="0"/>
        <v>0</v>
      </c>
    </row>
    <row r="14" spans="1:18" ht="23.1" customHeight="1">
      <c r="A14" s="169">
        <v>22102</v>
      </c>
      <c r="B14" s="129" t="s">
        <v>82</v>
      </c>
      <c r="C14" s="129"/>
      <c r="D14" s="129">
        <v>0</v>
      </c>
      <c r="E14" s="129">
        <v>0</v>
      </c>
      <c r="F14" s="129">
        <v>0</v>
      </c>
      <c r="G14" s="129"/>
      <c r="H14" s="129"/>
      <c r="I14" s="129"/>
      <c r="J14" s="129"/>
      <c r="K14" s="129">
        <v>42826000</v>
      </c>
      <c r="L14" s="129">
        <v>12000000</v>
      </c>
      <c r="M14" s="129">
        <f>12000000*70%</f>
        <v>8400000</v>
      </c>
      <c r="N14" s="129">
        <f>12000000*70%</f>
        <v>8400000</v>
      </c>
      <c r="O14" s="129">
        <f>12000000*70%</f>
        <v>8400000</v>
      </c>
      <c r="P14" s="129">
        <v>0</v>
      </c>
      <c r="Q14" s="129">
        <v>0</v>
      </c>
      <c r="R14" s="185">
        <f t="shared" si="0"/>
        <v>0</v>
      </c>
    </row>
    <row r="15" spans="1:18" ht="23.1" customHeight="1">
      <c r="A15" s="169">
        <v>22103</v>
      </c>
      <c r="B15" s="129" t="s">
        <v>83</v>
      </c>
      <c r="C15" s="129"/>
      <c r="D15" s="129"/>
      <c r="E15" s="129"/>
      <c r="F15" s="129">
        <v>0</v>
      </c>
      <c r="G15" s="129">
        <v>0</v>
      </c>
      <c r="H15" s="129">
        <v>100000000</v>
      </c>
      <c r="I15" s="129">
        <v>0</v>
      </c>
      <c r="J15" s="129">
        <v>0</v>
      </c>
      <c r="K15" s="129">
        <v>7448000</v>
      </c>
      <c r="L15" s="129">
        <v>400000000</v>
      </c>
      <c r="M15" s="129">
        <f>400000000*70%</f>
        <v>280000000</v>
      </c>
      <c r="N15" s="129">
        <f>M15</f>
        <v>280000000</v>
      </c>
      <c r="O15" s="129">
        <v>530000000</v>
      </c>
      <c r="P15" s="129">
        <v>730000000</v>
      </c>
      <c r="Q15" s="129">
        <v>1000000000</v>
      </c>
      <c r="R15" s="185">
        <f t="shared" si="0"/>
        <v>270000000</v>
      </c>
    </row>
    <row r="16" spans="1:18" ht="23.1" customHeight="1">
      <c r="A16" s="169">
        <v>22104</v>
      </c>
      <c r="B16" s="129" t="s">
        <v>116</v>
      </c>
      <c r="C16" s="129">
        <v>15000000</v>
      </c>
      <c r="D16" s="129">
        <v>10000000</v>
      </c>
      <c r="E16" s="129">
        <v>10000000</v>
      </c>
      <c r="F16" s="129">
        <v>10000000</v>
      </c>
      <c r="G16" s="129">
        <v>13000000</v>
      </c>
      <c r="H16" s="129">
        <v>13000000</v>
      </c>
      <c r="I16" s="129">
        <v>14896000</v>
      </c>
      <c r="J16" s="129">
        <v>35000000</v>
      </c>
      <c r="K16" s="129">
        <v>14896000</v>
      </c>
      <c r="L16" s="129">
        <v>150000000</v>
      </c>
      <c r="M16" s="129">
        <f>150000000*70%</f>
        <v>105000000</v>
      </c>
      <c r="N16" s="129">
        <f>150000000*70%</f>
        <v>105000000</v>
      </c>
      <c r="O16" s="129">
        <f>150000000*70%</f>
        <v>105000000</v>
      </c>
      <c r="P16" s="129">
        <f>150000000*70%</f>
        <v>105000000</v>
      </c>
      <c r="Q16" s="129">
        <v>150000000</v>
      </c>
      <c r="R16" s="185">
        <f t="shared" si="0"/>
        <v>45000000</v>
      </c>
    </row>
    <row r="17" spans="1:18" ht="23.1" customHeight="1">
      <c r="A17" s="169">
        <v>22105</v>
      </c>
      <c r="B17" s="129" t="s">
        <v>93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8043840</v>
      </c>
      <c r="M17" s="129">
        <f>32843840*70%+10000000</f>
        <v>32990688</v>
      </c>
      <c r="N17" s="129">
        <f>32843840*70%+10000000</f>
        <v>32990688</v>
      </c>
      <c r="O17" s="129">
        <f>32843840*70%+10000000</f>
        <v>32990688</v>
      </c>
      <c r="P17" s="129">
        <f>32843840*70%+10000000</f>
        <v>32990688</v>
      </c>
      <c r="Q17" s="129">
        <f>32843840*70%+10000000</f>
        <v>32990688</v>
      </c>
      <c r="R17" s="185">
        <f t="shared" si="0"/>
        <v>0</v>
      </c>
    </row>
    <row r="18" spans="1:18" ht="23.1" customHeight="1">
      <c r="A18" s="169">
        <v>22106</v>
      </c>
      <c r="B18" s="129" t="s">
        <v>84</v>
      </c>
      <c r="C18" s="129"/>
      <c r="D18" s="129"/>
      <c r="E18" s="129"/>
      <c r="F18" s="129"/>
      <c r="G18" s="129"/>
      <c r="H18" s="129"/>
      <c r="I18" s="129"/>
      <c r="J18" s="129"/>
      <c r="K18" s="129">
        <v>3553800000</v>
      </c>
      <c r="L18" s="129">
        <v>12000000</v>
      </c>
      <c r="M18" s="129">
        <f>12000000*70%</f>
        <v>8400000</v>
      </c>
      <c r="N18" s="129">
        <v>0</v>
      </c>
      <c r="O18" s="129">
        <v>0</v>
      </c>
      <c r="P18" s="129">
        <v>0</v>
      </c>
      <c r="Q18" s="129">
        <v>0</v>
      </c>
      <c r="R18" s="185">
        <f t="shared" si="0"/>
        <v>0</v>
      </c>
    </row>
    <row r="19" spans="1:18" ht="23.1" customHeight="1">
      <c r="A19" s="169">
        <v>22107</v>
      </c>
      <c r="B19" s="129" t="s">
        <v>30</v>
      </c>
      <c r="C19" s="129"/>
      <c r="D19" s="129"/>
      <c r="E19" s="129"/>
      <c r="F19" s="129"/>
      <c r="G19" s="129"/>
      <c r="H19" s="129"/>
      <c r="I19" s="129"/>
      <c r="J19" s="129"/>
      <c r="K19" s="129">
        <v>14896000</v>
      </c>
      <c r="L19" s="129">
        <v>165378000</v>
      </c>
      <c r="M19" s="129">
        <f>165378000*70%</f>
        <v>115764600</v>
      </c>
      <c r="N19" s="129">
        <f>M19*70%</f>
        <v>81035220</v>
      </c>
      <c r="O19" s="129">
        <v>120000000</v>
      </c>
      <c r="P19" s="129">
        <v>220000000</v>
      </c>
      <c r="Q19" s="129">
        <v>320000000</v>
      </c>
      <c r="R19" s="185">
        <f t="shared" si="0"/>
        <v>100000000</v>
      </c>
    </row>
    <row r="20" spans="1:18" ht="23.1" customHeight="1">
      <c r="A20" s="169">
        <v>22108</v>
      </c>
      <c r="B20" s="129" t="s">
        <v>254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>
        <v>0</v>
      </c>
      <c r="O20" s="129">
        <v>18192000</v>
      </c>
      <c r="P20" s="129">
        <v>18192000</v>
      </c>
      <c r="Q20" s="129">
        <v>18192000</v>
      </c>
      <c r="R20" s="185">
        <f t="shared" si="0"/>
        <v>0</v>
      </c>
    </row>
    <row r="21" spans="1:18" ht="23.1" customHeight="1">
      <c r="A21" s="169">
        <v>22109</v>
      </c>
      <c r="B21" s="129" t="s">
        <v>94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30">
        <f>SUM(K9:K19)</f>
        <v>5268525840</v>
      </c>
      <c r="L21" s="129">
        <v>30000000</v>
      </c>
      <c r="M21" s="129">
        <f>30000000*70%</f>
        <v>21000000</v>
      </c>
      <c r="N21" s="129">
        <f>30000000*70%</f>
        <v>21000000</v>
      </c>
      <c r="O21" s="129">
        <v>31000000</v>
      </c>
      <c r="P21" s="129">
        <v>31000000</v>
      </c>
      <c r="Q21" s="129">
        <v>31000000</v>
      </c>
      <c r="R21" s="185">
        <f t="shared" si="0"/>
        <v>0</v>
      </c>
    </row>
    <row r="22" spans="1:18" s="530" customFormat="1" ht="23.1" customHeight="1">
      <c r="A22" s="169">
        <v>22112</v>
      </c>
      <c r="B22" s="129" t="s">
        <v>16</v>
      </c>
      <c r="C22" s="130">
        <f t="shared" ref="C22:J22" si="3">SUM(C16:C21)</f>
        <v>15000000</v>
      </c>
      <c r="D22" s="130">
        <f t="shared" si="3"/>
        <v>10000000</v>
      </c>
      <c r="E22" s="130">
        <f t="shared" si="3"/>
        <v>10000000</v>
      </c>
      <c r="F22" s="130">
        <f t="shared" si="3"/>
        <v>10000000</v>
      </c>
      <c r="G22" s="130">
        <f t="shared" si="3"/>
        <v>13000000</v>
      </c>
      <c r="H22" s="130">
        <f t="shared" si="3"/>
        <v>13000000</v>
      </c>
      <c r="I22" s="130">
        <f t="shared" si="3"/>
        <v>14896000</v>
      </c>
      <c r="J22" s="130">
        <f t="shared" si="3"/>
        <v>35000000</v>
      </c>
      <c r="K22" s="130"/>
      <c r="L22" s="129">
        <v>45000000</v>
      </c>
      <c r="M22" s="129">
        <f>45000000*70%</f>
        <v>31499999.999999996</v>
      </c>
      <c r="N22" s="129">
        <f>45000000*70%</f>
        <v>31499999.999999996</v>
      </c>
      <c r="O22" s="129">
        <f>45000000*70%</f>
        <v>31499999.999999996</v>
      </c>
      <c r="P22" s="129">
        <f>45000000*70%</f>
        <v>31499999.999999996</v>
      </c>
      <c r="Q22" s="129">
        <f>45000000*70%</f>
        <v>31499999.999999996</v>
      </c>
      <c r="R22" s="185">
        <f t="shared" si="0"/>
        <v>0</v>
      </c>
    </row>
    <row r="23" spans="1:18" ht="23.1" customHeight="1">
      <c r="A23" s="169">
        <v>22132</v>
      </c>
      <c r="B23" s="129" t="s">
        <v>144</v>
      </c>
      <c r="C23" s="129">
        <v>36500000</v>
      </c>
      <c r="D23" s="129">
        <v>14700000</v>
      </c>
      <c r="E23" s="129">
        <v>14700000</v>
      </c>
      <c r="F23" s="129">
        <v>36876000</v>
      </c>
      <c r="G23" s="129">
        <v>67000000</v>
      </c>
      <c r="H23" s="129">
        <v>67000000</v>
      </c>
      <c r="I23" s="129">
        <v>74480000</v>
      </c>
      <c r="J23" s="129">
        <v>100000000</v>
      </c>
      <c r="K23" s="129">
        <v>63308000</v>
      </c>
      <c r="L23" s="129">
        <v>28000000</v>
      </c>
      <c r="M23" s="129">
        <f>558000000*70%</f>
        <v>390600000</v>
      </c>
      <c r="N23" s="129">
        <v>0</v>
      </c>
      <c r="O23" s="129">
        <v>0</v>
      </c>
      <c r="P23" s="129">
        <v>0</v>
      </c>
      <c r="Q23" s="129">
        <v>0</v>
      </c>
      <c r="R23" s="185">
        <f t="shared" si="0"/>
        <v>0</v>
      </c>
    </row>
    <row r="24" spans="1:18" ht="23.1" customHeight="1">
      <c r="A24" s="169">
        <v>22134</v>
      </c>
      <c r="B24" s="129" t="s">
        <v>288</v>
      </c>
      <c r="C24" s="129"/>
      <c r="D24" s="129"/>
      <c r="E24" s="129"/>
      <c r="F24" s="129"/>
      <c r="G24" s="129"/>
      <c r="H24" s="129"/>
      <c r="I24" s="129"/>
      <c r="J24" s="129"/>
      <c r="K24" s="129">
        <v>0</v>
      </c>
      <c r="L24" s="129">
        <v>0</v>
      </c>
      <c r="M24" s="129">
        <f>600000000*70%</f>
        <v>420000000</v>
      </c>
      <c r="N24" s="129">
        <f>M24*70%</f>
        <v>294000000</v>
      </c>
      <c r="O24" s="129">
        <v>194000000</v>
      </c>
      <c r="P24" s="129">
        <v>194000000</v>
      </c>
      <c r="Q24" s="129">
        <v>194000000</v>
      </c>
      <c r="R24" s="185">
        <f t="shared" si="0"/>
        <v>0</v>
      </c>
    </row>
    <row r="25" spans="1:18" ht="23.1" customHeight="1">
      <c r="A25" s="169">
        <v>22137</v>
      </c>
      <c r="B25" s="129" t="s">
        <v>200</v>
      </c>
      <c r="C25" s="129"/>
      <c r="D25" s="129"/>
      <c r="E25" s="129"/>
      <c r="F25" s="129"/>
      <c r="G25" s="129"/>
      <c r="H25" s="129"/>
      <c r="I25" s="129"/>
      <c r="J25" s="129"/>
      <c r="K25" s="130"/>
      <c r="L25" s="129">
        <v>14896000</v>
      </c>
      <c r="M25" s="129">
        <f>14896000*70%</f>
        <v>10427200</v>
      </c>
      <c r="N25" s="129">
        <f>14896000*70%</f>
        <v>10427200</v>
      </c>
      <c r="O25" s="129">
        <f>14896000*70%</f>
        <v>10427200</v>
      </c>
      <c r="P25" s="129">
        <f>14896000*70%</f>
        <v>10427200</v>
      </c>
      <c r="Q25" s="129">
        <v>150000000</v>
      </c>
      <c r="R25" s="185">
        <f t="shared" si="0"/>
        <v>139572800</v>
      </c>
    </row>
    <row r="26" spans="1:18" ht="23.1" customHeight="1">
      <c r="A26" s="169">
        <v>22139</v>
      </c>
      <c r="B26" s="129" t="s">
        <v>199</v>
      </c>
      <c r="C26" s="129"/>
      <c r="D26" s="129"/>
      <c r="E26" s="129"/>
      <c r="F26" s="129"/>
      <c r="G26" s="129"/>
      <c r="H26" s="129"/>
      <c r="I26" s="129"/>
      <c r="J26" s="129"/>
      <c r="K26" s="130"/>
      <c r="L26" s="129">
        <v>2835714000</v>
      </c>
      <c r="M26" s="129">
        <f>2835714000+1714686000</f>
        <v>4550400000</v>
      </c>
      <c r="N26" s="129">
        <f>2835714000+1714686000</f>
        <v>4550400000</v>
      </c>
      <c r="O26" s="129">
        <f>2835714000+1714686000</f>
        <v>4550400000</v>
      </c>
      <c r="P26" s="129">
        <v>5550400000</v>
      </c>
      <c r="Q26" s="129">
        <v>5550400000</v>
      </c>
      <c r="R26" s="185">
        <f t="shared" si="0"/>
        <v>0</v>
      </c>
    </row>
    <row r="27" spans="1:18" ht="23.1" customHeight="1">
      <c r="A27" s="169">
        <v>22141</v>
      </c>
      <c r="B27" s="129" t="s">
        <v>381</v>
      </c>
      <c r="C27" s="129"/>
      <c r="D27" s="129"/>
      <c r="E27" s="129"/>
      <c r="F27" s="129"/>
      <c r="G27" s="129"/>
      <c r="H27" s="129"/>
      <c r="I27" s="129"/>
      <c r="J27" s="129"/>
      <c r="K27" s="130"/>
      <c r="L27" s="129"/>
      <c r="M27" s="129">
        <v>0</v>
      </c>
      <c r="N27" s="129">
        <v>255000000</v>
      </c>
      <c r="O27" s="129"/>
      <c r="P27" s="129"/>
      <c r="Q27" s="129"/>
      <c r="R27" s="185">
        <f t="shared" si="0"/>
        <v>0</v>
      </c>
    </row>
    <row r="28" spans="1:18" ht="23.1" customHeight="1">
      <c r="A28" s="169">
        <v>22144</v>
      </c>
      <c r="B28" s="129" t="s">
        <v>583</v>
      </c>
      <c r="C28" s="129"/>
      <c r="D28" s="129"/>
      <c r="E28" s="129"/>
      <c r="F28" s="129"/>
      <c r="G28" s="129"/>
      <c r="H28" s="129"/>
      <c r="I28" s="129"/>
      <c r="J28" s="129"/>
      <c r="K28" s="130"/>
      <c r="L28" s="129"/>
      <c r="M28" s="129"/>
      <c r="N28" s="129">
        <v>0</v>
      </c>
      <c r="O28" s="129">
        <v>200000000</v>
      </c>
      <c r="P28" s="129">
        <v>200000000</v>
      </c>
      <c r="Q28" s="129">
        <v>200000000</v>
      </c>
      <c r="R28" s="185">
        <f t="shared" si="0"/>
        <v>0</v>
      </c>
    </row>
    <row r="29" spans="1:18" ht="23.1" customHeight="1">
      <c r="A29" s="169">
        <v>22150</v>
      </c>
      <c r="B29" s="129" t="s">
        <v>382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>
        <v>200000000</v>
      </c>
      <c r="M29" s="129">
        <v>0</v>
      </c>
      <c r="N29" s="129">
        <v>3745000000</v>
      </c>
      <c r="O29" s="129">
        <v>3745000000</v>
      </c>
      <c r="P29" s="129">
        <v>4745000000</v>
      </c>
      <c r="Q29" s="129">
        <v>5425027200</v>
      </c>
      <c r="R29" s="185">
        <f t="shared" si="0"/>
        <v>680027200</v>
      </c>
    </row>
    <row r="30" spans="1:18" ht="23.1" customHeight="1">
      <c r="A30" s="169">
        <v>22165</v>
      </c>
      <c r="B30" s="129" t="s">
        <v>588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>
        <v>0</v>
      </c>
      <c r="O30" s="129">
        <v>388000000</v>
      </c>
      <c r="P30" s="129">
        <v>388000000</v>
      </c>
      <c r="Q30" s="129">
        <v>388000000</v>
      </c>
      <c r="R30" s="185">
        <f t="shared" si="0"/>
        <v>0</v>
      </c>
    </row>
    <row r="31" spans="1:18" ht="23.1" customHeight="1">
      <c r="A31" s="169"/>
      <c r="B31" s="130" t="s">
        <v>59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/>
      <c r="L31" s="130">
        <f>SUM(L13:L29)</f>
        <v>3912203840</v>
      </c>
      <c r="M31" s="130">
        <f>SUM(M13:M29)</f>
        <v>5982302888</v>
      </c>
      <c r="N31" s="130">
        <f>SUM(N13:N30)</f>
        <v>9422573508</v>
      </c>
      <c r="O31" s="130">
        <f>SUM(O13:O30)</f>
        <v>9972730288</v>
      </c>
      <c r="P31" s="130">
        <f>SUM(P13:P30)</f>
        <v>12272730288</v>
      </c>
      <c r="Q31" s="130">
        <f>SUM(Q13:Q30)</f>
        <v>13507330288</v>
      </c>
      <c r="R31" s="183">
        <f t="shared" si="0"/>
        <v>1234600000</v>
      </c>
    </row>
    <row r="32" spans="1:18" ht="23.1" customHeight="1">
      <c r="A32" s="249">
        <v>2220</v>
      </c>
      <c r="B32" s="130" t="s">
        <v>161</v>
      </c>
      <c r="C32" s="129">
        <v>803200000</v>
      </c>
      <c r="D32" s="129">
        <v>758200000</v>
      </c>
      <c r="E32" s="129">
        <f>884200000-126000000</f>
        <v>758200000</v>
      </c>
      <c r="F32" s="129">
        <f>1213800000+29400000+12600000</f>
        <v>1255800000</v>
      </c>
      <c r="G32" s="129">
        <v>1356600000</v>
      </c>
      <c r="H32" s="129">
        <v>1404900000</v>
      </c>
      <c r="I32" s="129">
        <v>1404900000</v>
      </c>
      <c r="J32" s="129">
        <v>2053800000</v>
      </c>
      <c r="K32" s="129">
        <v>0</v>
      </c>
      <c r="L32" s="129"/>
      <c r="M32" s="129"/>
      <c r="N32" s="129"/>
      <c r="O32" s="129"/>
      <c r="P32" s="129"/>
      <c r="Q32" s="129"/>
      <c r="R32" s="185">
        <f t="shared" si="0"/>
        <v>0</v>
      </c>
    </row>
    <row r="33" spans="1:19" ht="23.1" customHeight="1">
      <c r="A33" s="169">
        <v>22201</v>
      </c>
      <c r="B33" s="129" t="s">
        <v>90</v>
      </c>
      <c r="C33" s="129">
        <v>0</v>
      </c>
      <c r="D33" s="129">
        <v>40000000</v>
      </c>
      <c r="E33" s="129">
        <v>40000000</v>
      </c>
      <c r="F33" s="129">
        <v>40000000</v>
      </c>
      <c r="G33" s="129">
        <v>70000000</v>
      </c>
      <c r="H33" s="129">
        <v>85000000</v>
      </c>
      <c r="I33" s="129">
        <v>74480000</v>
      </c>
      <c r="J33" s="129">
        <v>110000000</v>
      </c>
      <c r="K33" s="130">
        <f t="shared" ref="K33:P33" si="4">SUM(K32)</f>
        <v>0</v>
      </c>
      <c r="L33" s="130">
        <f t="shared" si="4"/>
        <v>0</v>
      </c>
      <c r="M33" s="130">
        <f t="shared" si="4"/>
        <v>0</v>
      </c>
      <c r="N33" s="130">
        <f t="shared" si="4"/>
        <v>0</v>
      </c>
      <c r="O33" s="130">
        <f t="shared" si="4"/>
        <v>0</v>
      </c>
      <c r="P33" s="130">
        <f t="shared" si="4"/>
        <v>0</v>
      </c>
      <c r="Q33" s="130">
        <f>SUM(Q32)</f>
        <v>0</v>
      </c>
      <c r="R33" s="185">
        <f t="shared" si="0"/>
        <v>0</v>
      </c>
      <c r="S33" s="531"/>
    </row>
    <row r="34" spans="1:19" ht="23.1" customHeight="1">
      <c r="A34" s="169">
        <v>22202</v>
      </c>
      <c r="B34" s="129" t="s">
        <v>91</v>
      </c>
      <c r="C34" s="129">
        <v>0</v>
      </c>
      <c r="D34" s="129">
        <v>0</v>
      </c>
      <c r="E34" s="129">
        <v>0</v>
      </c>
      <c r="F34" s="129">
        <v>0</v>
      </c>
      <c r="G34" s="129">
        <v>10000000</v>
      </c>
      <c r="H34" s="129">
        <v>10000000</v>
      </c>
      <c r="I34" s="129">
        <v>7448000</v>
      </c>
      <c r="J34" s="129">
        <v>7448000</v>
      </c>
      <c r="K34" s="129"/>
      <c r="L34" s="129">
        <v>160000000</v>
      </c>
      <c r="M34" s="129">
        <f>160000000*70%</f>
        <v>112000000</v>
      </c>
      <c r="N34" s="129">
        <f>M34*80%</f>
        <v>89600000</v>
      </c>
      <c r="O34" s="129">
        <v>149600000</v>
      </c>
      <c r="P34" s="129">
        <v>149600000</v>
      </c>
      <c r="Q34" s="129">
        <v>250000000</v>
      </c>
      <c r="R34" s="185">
        <f t="shared" si="0"/>
        <v>100400000</v>
      </c>
    </row>
    <row r="35" spans="1:19" ht="23.1" customHeight="1">
      <c r="A35" s="169">
        <v>22203</v>
      </c>
      <c r="B35" s="129" t="s">
        <v>85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14896000</v>
      </c>
      <c r="L35" s="129">
        <v>30018000</v>
      </c>
      <c r="M35" s="129">
        <f>30018000*70%</f>
        <v>21012600</v>
      </c>
      <c r="N35" s="129">
        <f>30018000*70%</f>
        <v>21012600</v>
      </c>
      <c r="O35" s="129">
        <f>30018000*70%</f>
        <v>21012600</v>
      </c>
      <c r="P35" s="129">
        <f>30018000*70%</f>
        <v>21012600</v>
      </c>
      <c r="Q35" s="129">
        <v>40000000</v>
      </c>
      <c r="R35" s="185">
        <f t="shared" si="0"/>
        <v>18987400</v>
      </c>
    </row>
    <row r="36" spans="1:19" ht="23.1" customHeight="1">
      <c r="A36" s="169">
        <v>22204</v>
      </c>
      <c r="B36" s="129" t="s">
        <v>86</v>
      </c>
      <c r="C36" s="129">
        <v>4320000</v>
      </c>
      <c r="D36" s="129">
        <v>3511733</v>
      </c>
      <c r="E36" s="129">
        <v>3511733</v>
      </c>
      <c r="F36" s="129">
        <v>3511733</v>
      </c>
      <c r="G36" s="129">
        <v>13500000</v>
      </c>
      <c r="H36" s="129">
        <v>13500000</v>
      </c>
      <c r="I36" s="129">
        <v>14896000</v>
      </c>
      <c r="J36" s="129">
        <v>25000000</v>
      </c>
      <c r="K36" s="129">
        <v>7448000</v>
      </c>
      <c r="L36" s="129">
        <v>63308000</v>
      </c>
      <c r="M36" s="129">
        <f>63308000*70%</f>
        <v>44315600</v>
      </c>
      <c r="N36" s="129">
        <f>63308000*70%</f>
        <v>44315600</v>
      </c>
      <c r="O36" s="129">
        <f>63308000*70%</f>
        <v>44315600</v>
      </c>
      <c r="P36" s="129">
        <f>63308000*70%</f>
        <v>44315600</v>
      </c>
      <c r="Q36" s="129">
        <f>63308000*70%</f>
        <v>44315600</v>
      </c>
      <c r="R36" s="185">
        <f t="shared" si="0"/>
        <v>0</v>
      </c>
    </row>
    <row r="37" spans="1:19" ht="23.1" customHeight="1">
      <c r="A37" s="169"/>
      <c r="B37" s="130" t="s">
        <v>59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3">
        <f t="shared" ref="L37:P37" si="5">SUM(L33:L36)</f>
        <v>253326000</v>
      </c>
      <c r="M37" s="183">
        <f t="shared" si="5"/>
        <v>177328200</v>
      </c>
      <c r="N37" s="183">
        <f t="shared" si="5"/>
        <v>154928200</v>
      </c>
      <c r="O37" s="183">
        <f t="shared" si="5"/>
        <v>214928200</v>
      </c>
      <c r="P37" s="183">
        <f t="shared" si="5"/>
        <v>214928200</v>
      </c>
      <c r="Q37" s="183">
        <f>SUM(Q33:Q36)</f>
        <v>334315600</v>
      </c>
      <c r="R37" s="185">
        <f t="shared" si="0"/>
        <v>119387400</v>
      </c>
    </row>
    <row r="38" spans="1:19" ht="23.1" customHeight="1">
      <c r="A38" s="249">
        <v>2230</v>
      </c>
      <c r="B38" s="130" t="s">
        <v>88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29"/>
      <c r="M38" s="129"/>
      <c r="N38" s="129"/>
      <c r="O38" s="129"/>
      <c r="P38" s="129"/>
      <c r="Q38" s="129"/>
      <c r="R38" s="185">
        <f t="shared" si="0"/>
        <v>0</v>
      </c>
    </row>
    <row r="39" spans="1:19" ht="23.1" customHeight="1">
      <c r="A39" s="169">
        <v>22301</v>
      </c>
      <c r="B39" s="129" t="s">
        <v>31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29">
        <v>30000000</v>
      </c>
      <c r="M39" s="129">
        <f>30000000*70%</f>
        <v>21000000</v>
      </c>
      <c r="N39" s="129">
        <f>30000000*70%</f>
        <v>21000000</v>
      </c>
      <c r="O39" s="129">
        <v>41000000</v>
      </c>
      <c r="P39" s="129">
        <v>41000000</v>
      </c>
      <c r="Q39" s="129">
        <v>60000000</v>
      </c>
      <c r="R39" s="185">
        <f t="shared" si="0"/>
        <v>19000000</v>
      </c>
    </row>
    <row r="40" spans="1:19" ht="23.1" customHeight="1">
      <c r="A40" s="169">
        <v>22302</v>
      </c>
      <c r="B40" s="129" t="s">
        <v>162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29">
        <v>7448000</v>
      </c>
      <c r="M40" s="129">
        <f>100000000*70%</f>
        <v>70000000</v>
      </c>
      <c r="N40" s="129">
        <f>100000000*70%</f>
        <v>70000000</v>
      </c>
      <c r="O40" s="129">
        <v>50000000</v>
      </c>
      <c r="P40" s="129">
        <v>50000000</v>
      </c>
      <c r="Q40" s="129">
        <v>50000000</v>
      </c>
      <c r="R40" s="185">
        <f t="shared" si="0"/>
        <v>0</v>
      </c>
    </row>
    <row r="41" spans="1:19" ht="23.1" customHeight="1">
      <c r="A41" s="169">
        <v>22305</v>
      </c>
      <c r="B41" s="129" t="s">
        <v>163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85">
        <f t="shared" si="0"/>
        <v>0</v>
      </c>
    </row>
    <row r="42" spans="1:19" ht="23.1" customHeight="1">
      <c r="A42" s="169"/>
      <c r="B42" s="130" t="s">
        <v>59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3">
        <f t="shared" ref="L42:P42" si="6">SUM(L39:L41)</f>
        <v>37448000</v>
      </c>
      <c r="M42" s="183">
        <f t="shared" si="6"/>
        <v>91000000</v>
      </c>
      <c r="N42" s="183">
        <f t="shared" si="6"/>
        <v>91000000</v>
      </c>
      <c r="O42" s="183">
        <f t="shared" si="6"/>
        <v>91000000</v>
      </c>
      <c r="P42" s="183">
        <f t="shared" si="6"/>
        <v>91000000</v>
      </c>
      <c r="Q42" s="183">
        <f>SUM(Q39:Q41)</f>
        <v>110000000</v>
      </c>
      <c r="R42" s="183">
        <f t="shared" si="0"/>
        <v>19000000</v>
      </c>
    </row>
    <row r="43" spans="1:19" ht="23.1" customHeight="1">
      <c r="A43" s="249">
        <v>230</v>
      </c>
      <c r="B43" s="130" t="s">
        <v>165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5">
        <f t="shared" si="0"/>
        <v>0</v>
      </c>
    </row>
    <row r="44" spans="1:19" ht="23.1" customHeight="1">
      <c r="A44" s="249">
        <v>2310</v>
      </c>
      <c r="B44" s="130" t="s">
        <v>164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5">
        <f t="shared" si="0"/>
        <v>0</v>
      </c>
    </row>
    <row r="45" spans="1:19" ht="23.1" customHeight="1">
      <c r="A45" s="169">
        <v>23101</v>
      </c>
      <c r="B45" s="129" t="s">
        <v>172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5">
        <f t="shared" ref="L45:Q49" si="7">K45-J45</f>
        <v>0</v>
      </c>
      <c r="M45" s="185">
        <f>60000000*70%</f>
        <v>42000000</v>
      </c>
      <c r="N45" s="185">
        <v>0</v>
      </c>
      <c r="O45" s="185">
        <v>0</v>
      </c>
      <c r="P45" s="185">
        <v>0</v>
      </c>
      <c r="Q45" s="185">
        <v>150000000</v>
      </c>
      <c r="R45" s="185">
        <f t="shared" si="0"/>
        <v>150000000</v>
      </c>
    </row>
    <row r="46" spans="1:19" ht="23.1" customHeight="1">
      <c r="A46" s="169">
        <v>23102</v>
      </c>
      <c r="B46" s="129" t="s">
        <v>682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5">
        <f t="shared" si="7"/>
        <v>0</v>
      </c>
      <c r="M46" s="185">
        <v>42000000</v>
      </c>
      <c r="N46" s="185">
        <v>0</v>
      </c>
      <c r="O46" s="185">
        <v>240000000</v>
      </c>
      <c r="P46" s="185">
        <v>300000000</v>
      </c>
      <c r="Q46" s="185">
        <v>300000000</v>
      </c>
      <c r="R46" s="185">
        <f t="shared" si="0"/>
        <v>0</v>
      </c>
    </row>
    <row r="47" spans="1:19" ht="23.1" customHeight="1">
      <c r="A47" s="169">
        <v>23103</v>
      </c>
      <c r="B47" s="129" t="s">
        <v>106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5">
        <f t="shared" si="7"/>
        <v>0</v>
      </c>
      <c r="M47" s="185">
        <f t="shared" si="7"/>
        <v>0</v>
      </c>
      <c r="N47" s="185">
        <f t="shared" si="7"/>
        <v>0</v>
      </c>
      <c r="O47" s="185">
        <f t="shared" si="7"/>
        <v>0</v>
      </c>
      <c r="P47" s="185">
        <f t="shared" si="7"/>
        <v>0</v>
      </c>
      <c r="Q47" s="185">
        <f t="shared" si="7"/>
        <v>0</v>
      </c>
      <c r="R47" s="185">
        <f t="shared" si="0"/>
        <v>0</v>
      </c>
    </row>
    <row r="48" spans="1:19" ht="23.1" customHeight="1">
      <c r="A48" s="169">
        <v>23104</v>
      </c>
      <c r="B48" s="129" t="s">
        <v>107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5">
        <f t="shared" si="7"/>
        <v>0</v>
      </c>
      <c r="M48" s="185">
        <f t="shared" si="7"/>
        <v>0</v>
      </c>
      <c r="N48" s="185">
        <f t="shared" si="7"/>
        <v>0</v>
      </c>
      <c r="O48" s="185">
        <f t="shared" si="7"/>
        <v>0</v>
      </c>
      <c r="P48" s="185">
        <f t="shared" si="7"/>
        <v>0</v>
      </c>
      <c r="Q48" s="185">
        <f t="shared" si="7"/>
        <v>0</v>
      </c>
      <c r="R48" s="185">
        <f t="shared" si="0"/>
        <v>0</v>
      </c>
    </row>
    <row r="49" spans="1:18" ht="23.1" customHeight="1">
      <c r="A49" s="169"/>
      <c r="B49" s="130" t="s">
        <v>59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5">
        <f t="shared" si="7"/>
        <v>0</v>
      </c>
      <c r="M49" s="183">
        <f>SUM(M45:M48)</f>
        <v>84000000</v>
      </c>
      <c r="N49" s="185">
        <f>SUM(N45:N48)</f>
        <v>0</v>
      </c>
      <c r="O49" s="183">
        <f>SUM(O45:O48)</f>
        <v>240000000</v>
      </c>
      <c r="P49" s="183">
        <f>SUM(P45:P48)</f>
        <v>300000000</v>
      </c>
      <c r="Q49" s="183">
        <f>SUM(Q45:Q48)</f>
        <v>450000000</v>
      </c>
      <c r="R49" s="183">
        <f t="shared" si="0"/>
        <v>150000000</v>
      </c>
    </row>
    <row r="50" spans="1:18" ht="23.1" customHeight="1">
      <c r="A50" s="169">
        <v>2320</v>
      </c>
      <c r="B50" s="130" t="s">
        <v>907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5"/>
      <c r="M50" s="183"/>
      <c r="N50" s="185"/>
      <c r="O50" s="183"/>
      <c r="P50" s="183"/>
      <c r="Q50" s="183"/>
      <c r="R50" s="183"/>
    </row>
    <row r="51" spans="1:18" ht="23.1" customHeight="1">
      <c r="A51" s="169">
        <v>23201</v>
      </c>
      <c r="B51" s="129" t="s">
        <v>908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5"/>
      <c r="M51" s="183"/>
      <c r="N51" s="185"/>
      <c r="O51" s="183"/>
      <c r="P51" s="183">
        <v>0</v>
      </c>
      <c r="Q51" s="185">
        <v>522000000</v>
      </c>
      <c r="R51" s="183"/>
    </row>
    <row r="52" spans="1:18" ht="23.1" customHeight="1">
      <c r="A52" s="169"/>
      <c r="B52" s="130" t="s">
        <v>59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5"/>
      <c r="M52" s="183"/>
      <c r="N52" s="185"/>
      <c r="O52" s="183"/>
      <c r="P52" s="183"/>
      <c r="Q52" s="183">
        <f>SUM(Q51)</f>
        <v>522000000</v>
      </c>
      <c r="R52" s="183"/>
    </row>
    <row r="53" spans="1:18" ht="23.1" customHeight="1">
      <c r="A53" s="169"/>
      <c r="B53" s="130" t="s">
        <v>18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3">
        <f>L49+L42+L37+L31+L10</f>
        <v>4597004640</v>
      </c>
      <c r="M53" s="183" t="e">
        <f>M49+M42+M37+M31+M10</f>
        <v>#REF!</v>
      </c>
      <c r="N53" s="183">
        <f>N49+N42+N37+N31+N10</f>
        <v>10308034508</v>
      </c>
      <c r="O53" s="183">
        <f>O49+O42+O37+O31+O10</f>
        <v>11346591288</v>
      </c>
      <c r="P53" s="183">
        <f>P49+P42+P37+P31+P10</f>
        <v>13977637688</v>
      </c>
      <c r="Q53" s="183">
        <f>Q52+Q49+Q42+Q37+Q31+Q10</f>
        <v>16210847488</v>
      </c>
      <c r="R53" s="183">
        <f t="shared" si="0"/>
        <v>2233209800</v>
      </c>
    </row>
  </sheetData>
  <phoneticPr fontId="0" type="noConversion"/>
  <printOptions gridLines="1"/>
  <pageMargins left="0.67" right="0.25" top="0.89" bottom="0.71" header="0.3" footer="0.42"/>
  <pageSetup scale="54" orientation="portrait" r:id="rId1"/>
  <headerFooter alignWithMargins="0">
    <oddHeader>&amp;C&amp;"Algerian,Bold"&amp;36WASAARADdA ARIMAHA DIBADA</oddHeader>
    <oddFooter>&amp;R&amp;"Times New Roman,Bold"&amp;14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14"/>
  <sheetViews>
    <sheetView view="pageBreakPreview" topLeftCell="A4" zoomScale="60" zoomScaleNormal="100" workbookViewId="0">
      <selection activeCell="E12" sqref="E12"/>
    </sheetView>
  </sheetViews>
  <sheetFormatPr defaultRowHeight="35.1" customHeight="1"/>
  <cols>
    <col min="1" max="1" width="19.33203125" style="63" bestFit="1" customWidth="1"/>
    <col min="2" max="2" width="92.1640625" bestFit="1" customWidth="1"/>
    <col min="3" max="3" width="44" style="22" customWidth="1"/>
    <col min="4" max="4" width="26.33203125" style="6" bestFit="1" customWidth="1"/>
  </cols>
  <sheetData>
    <row r="4" spans="1:4" ht="35.1" customHeight="1">
      <c r="A4" s="545" t="s">
        <v>963</v>
      </c>
      <c r="B4" s="546"/>
      <c r="C4" s="546"/>
      <c r="D4" s="547"/>
    </row>
    <row r="5" spans="1:4" s="54" customFormat="1" ht="35.1" customHeight="1">
      <c r="A5" s="61" t="s">
        <v>6</v>
      </c>
      <c r="B5" s="57" t="s">
        <v>410</v>
      </c>
      <c r="C5" s="55" t="s">
        <v>964</v>
      </c>
      <c r="D5" s="64" t="s">
        <v>412</v>
      </c>
    </row>
    <row r="6" spans="1:4" ht="35.1" customHeight="1">
      <c r="A6" s="60">
        <v>210</v>
      </c>
      <c r="B6" s="56" t="s">
        <v>8</v>
      </c>
      <c r="C6" s="59">
        <f>'Soo koobida guud'!D61</f>
        <v>517382579360</v>
      </c>
      <c r="D6" s="82">
        <f>C6/C14</f>
        <v>0.47905794385180306</v>
      </c>
    </row>
    <row r="7" spans="1:4" ht="35.1" customHeight="1">
      <c r="A7" s="60">
        <v>2210</v>
      </c>
      <c r="B7" s="56" t="s">
        <v>406</v>
      </c>
      <c r="C7" s="59">
        <f>'Soo koobida guud'!E61</f>
        <v>264806713544.71002</v>
      </c>
      <c r="D7" s="82">
        <f>C7/C14</f>
        <v>0.24519140143026208</v>
      </c>
    </row>
    <row r="8" spans="1:4" ht="35.1" customHeight="1">
      <c r="A8" s="60">
        <v>2220</v>
      </c>
      <c r="B8" s="56" t="s">
        <v>407</v>
      </c>
      <c r="C8" s="59">
        <f>'Soo koobida guud'!F61</f>
        <v>121540861133.89999</v>
      </c>
      <c r="D8" s="82">
        <f>C8/C14</f>
        <v>0.11253783438322927</v>
      </c>
    </row>
    <row r="9" spans="1:4" ht="35.1" customHeight="1">
      <c r="A9" s="60">
        <v>2230</v>
      </c>
      <c r="B9" s="56" t="s">
        <v>408</v>
      </c>
      <c r="C9" s="59">
        <f>'Soo koobida guud'!G61</f>
        <v>10728208261.5</v>
      </c>
      <c r="D9" s="82">
        <f>C9/C14</f>
        <v>9.9335261680545441E-3</v>
      </c>
    </row>
    <row r="10" spans="1:4" ht="35.1" customHeight="1">
      <c r="A10" s="60">
        <v>2310</v>
      </c>
      <c r="B10" s="56" t="s">
        <v>285</v>
      </c>
      <c r="C10" s="59">
        <f>'Soo koobida guud'!H61</f>
        <v>18989411720</v>
      </c>
      <c r="D10" s="82">
        <f>C10/C14</f>
        <v>1.7582788629627838E-2</v>
      </c>
    </row>
    <row r="11" spans="1:4" ht="35.1" customHeight="1">
      <c r="A11" s="60">
        <v>2320</v>
      </c>
      <c r="B11" s="56" t="s">
        <v>169</v>
      </c>
      <c r="C11" s="59">
        <f>'Soo koobida guud'!I61</f>
        <v>56346378000</v>
      </c>
      <c r="D11" s="82">
        <f>C11/C14</f>
        <v>5.2172572222216912E-2</v>
      </c>
    </row>
    <row r="12" spans="1:4" ht="35.1" customHeight="1">
      <c r="A12" s="60">
        <v>2630</v>
      </c>
      <c r="B12" s="56" t="s">
        <v>409</v>
      </c>
      <c r="C12" s="59">
        <f>'Soo koobida guud'!J61</f>
        <v>20838790800</v>
      </c>
      <c r="D12" s="82">
        <f>C12/C14</f>
        <v>1.9295176666664703E-2</v>
      </c>
    </row>
    <row r="13" spans="1:4" ht="35.1" customHeight="1">
      <c r="A13" s="60">
        <v>2740</v>
      </c>
      <c r="B13" s="56" t="s">
        <v>599</v>
      </c>
      <c r="C13" s="59">
        <f>'Soo koobida guud'!K61</f>
        <v>69367057180</v>
      </c>
      <c r="D13" s="82">
        <f>C13/C14</f>
        <v>6.4228756648141608E-2</v>
      </c>
    </row>
    <row r="14" spans="1:4" ht="35.1" customHeight="1">
      <c r="A14" s="62"/>
      <c r="B14" s="58" t="s">
        <v>411</v>
      </c>
      <c r="C14" s="65">
        <f>SUM(C6:C13)</f>
        <v>1080000000000.11</v>
      </c>
      <c r="D14" s="83">
        <f>C14/C14</f>
        <v>1</v>
      </c>
    </row>
  </sheetData>
  <mergeCells count="1">
    <mergeCell ref="A4:D4"/>
  </mergeCells>
  <pageMargins left="0.45" right="0.37" top="3.18" bottom="0.75" header="1.91" footer="0.3"/>
  <pageSetup scale="60" orientation="portrait" r:id="rId1"/>
  <headerFooter>
    <oddHeader>&amp;C&amp;"Agency FB,Bold"&amp;36Shaxda Kharashka Guud ee Miisaaniyadda Sannadka 2015.</oddHeader>
    <oddFooter xml:space="preserve">&amp;R&amp;"Times New Roman,Bold"&amp;12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R49"/>
  <sheetViews>
    <sheetView view="pageBreakPreview" zoomScale="60" workbookViewId="0">
      <selection activeCell="Q4" sqref="Q4"/>
    </sheetView>
  </sheetViews>
  <sheetFormatPr defaultRowHeight="24" customHeight="1"/>
  <cols>
    <col min="1" max="1" width="21" style="402" bestFit="1" customWidth="1"/>
    <col min="2" max="2" width="79.5" style="304" customWidth="1"/>
    <col min="3" max="3" width="16.5" style="304" hidden="1" customWidth="1"/>
    <col min="4" max="4" width="16.33203125" style="304" hidden="1" customWidth="1"/>
    <col min="5" max="5" width="18" style="304" hidden="1" customWidth="1"/>
    <col min="6" max="6" width="16.33203125" style="304" hidden="1" customWidth="1"/>
    <col min="7" max="7" width="0.1640625" style="304" hidden="1" customWidth="1"/>
    <col min="8" max="8" width="16.33203125" style="304" hidden="1" customWidth="1"/>
    <col min="9" max="9" width="0.1640625" style="304" hidden="1" customWidth="1"/>
    <col min="10" max="10" width="19.83203125" style="304" hidden="1" customWidth="1"/>
    <col min="11" max="11" width="20.33203125" style="304" hidden="1" customWidth="1"/>
    <col min="12" max="12" width="21.6640625" style="304" hidden="1" customWidth="1"/>
    <col min="13" max="13" width="27.33203125" style="304" hidden="1" customWidth="1"/>
    <col min="14" max="14" width="31" style="304" hidden="1" customWidth="1"/>
    <col min="15" max="15" width="27.6640625" style="304" hidden="1" customWidth="1"/>
    <col min="16" max="16" width="31" style="273" bestFit="1" customWidth="1"/>
    <col min="17" max="17" width="31" style="273" customWidth="1"/>
    <col min="18" max="18" width="27.6640625" style="304" bestFit="1" customWidth="1"/>
    <col min="19" max="16384" width="9.33203125" style="304"/>
  </cols>
  <sheetData>
    <row r="1" spans="1:18" ht="24" customHeight="1">
      <c r="A1" s="353" t="s">
        <v>21</v>
      </c>
      <c r="B1" s="354" t="s">
        <v>772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06"/>
      <c r="Q1" s="106"/>
      <c r="R1" s="303"/>
    </row>
    <row r="2" spans="1:18" s="414" customFormat="1" ht="24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64</v>
      </c>
      <c r="J2" s="256" t="s">
        <v>69</v>
      </c>
      <c r="K2" s="256" t="s">
        <v>78</v>
      </c>
      <c r="L2" s="256" t="s">
        <v>110</v>
      </c>
      <c r="M2" s="256" t="s">
        <v>201</v>
      </c>
      <c r="N2" s="256" t="s">
        <v>318</v>
      </c>
      <c r="O2" s="256" t="s">
        <v>530</v>
      </c>
      <c r="P2" s="256" t="s">
        <v>605</v>
      </c>
      <c r="Q2" s="256" t="s">
        <v>721</v>
      </c>
      <c r="R2" s="112" t="s">
        <v>34</v>
      </c>
    </row>
    <row r="3" spans="1:18" ht="24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03"/>
    </row>
    <row r="4" spans="1:18" ht="24" customHeight="1">
      <c r="A4" s="169">
        <v>21101</v>
      </c>
      <c r="B4" s="66" t="s">
        <v>9</v>
      </c>
      <c r="C4" s="66">
        <v>52881000</v>
      </c>
      <c r="D4" s="66">
        <v>78528000</v>
      </c>
      <c r="E4" s="66">
        <v>97212000</v>
      </c>
      <c r="F4" s="66">
        <v>76320000</v>
      </c>
      <c r="G4" s="66">
        <f>85872000-3192000</f>
        <v>82680000</v>
      </c>
      <c r="H4" s="66">
        <v>87312000</v>
      </c>
      <c r="I4" s="66">
        <f>113505600+4149600</f>
        <v>117655200</v>
      </c>
      <c r="J4" s="66">
        <f>119527200+4149600+54000000+6000000</f>
        <v>183676800</v>
      </c>
      <c r="K4" s="66">
        <f>183676800+12000000+27690000-4149600+4149600+4134000+4149600</f>
        <v>231650400</v>
      </c>
      <c r="L4" s="66">
        <v>231650400</v>
      </c>
      <c r="M4" s="66" t="e">
        <f>#REF!+36000000</f>
        <v>#REF!</v>
      </c>
      <c r="N4" s="66">
        <v>330865600</v>
      </c>
      <c r="O4" s="66">
        <v>484567200</v>
      </c>
      <c r="P4" s="66">
        <v>850037760</v>
      </c>
      <c r="Q4" s="66">
        <v>990025920</v>
      </c>
      <c r="R4" s="100">
        <f>Q4-P4</f>
        <v>139988160</v>
      </c>
    </row>
    <row r="5" spans="1:18" ht="24" customHeight="1">
      <c r="A5" s="169">
        <v>21102</v>
      </c>
      <c r="B5" s="66" t="s">
        <v>417</v>
      </c>
      <c r="C5" s="66">
        <v>980000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97200000</v>
      </c>
      <c r="O5" s="66">
        <v>97200000</v>
      </c>
      <c r="P5" s="66">
        <v>194400000</v>
      </c>
      <c r="Q5" s="66">
        <v>470400000</v>
      </c>
      <c r="R5" s="100">
        <f t="shared" ref="R5:R48" si="0">Q5-P5</f>
        <v>276000000</v>
      </c>
    </row>
    <row r="6" spans="1:18" ht="24" customHeight="1">
      <c r="A6" s="169">
        <v>21103</v>
      </c>
      <c r="B6" s="66" t="s">
        <v>532</v>
      </c>
      <c r="C6" s="66">
        <v>10800000</v>
      </c>
      <c r="D6" s="66">
        <v>13944000</v>
      </c>
      <c r="E6" s="66">
        <v>17688000</v>
      </c>
      <c r="F6" s="66">
        <v>17688000</v>
      </c>
      <c r="G6" s="66">
        <v>21288000</v>
      </c>
      <c r="H6" s="66">
        <f>G6</f>
        <v>21288000</v>
      </c>
      <c r="I6" s="66">
        <v>21288000</v>
      </c>
      <c r="J6" s="66">
        <f>21288000+32400000+1440000</f>
        <v>55128000</v>
      </c>
      <c r="K6" s="66">
        <f>55128000+1440000+7920000</f>
        <v>64488000</v>
      </c>
      <c r="L6" s="66">
        <f>64488000+3600000</f>
        <v>68088000</v>
      </c>
      <c r="M6" s="66">
        <f>45888000+600000</f>
        <v>46488000</v>
      </c>
      <c r="N6" s="66">
        <v>86088000</v>
      </c>
      <c r="O6" s="66">
        <v>162000000</v>
      </c>
      <c r="P6" s="66">
        <v>306000000</v>
      </c>
      <c r="Q6" s="66">
        <v>488400000</v>
      </c>
      <c r="R6" s="100">
        <f t="shared" si="0"/>
        <v>182400000</v>
      </c>
    </row>
    <row r="7" spans="1:18" ht="24" customHeight="1">
      <c r="A7" s="169">
        <v>21104</v>
      </c>
      <c r="B7" s="66" t="s">
        <v>98</v>
      </c>
      <c r="C7" s="66"/>
      <c r="D7" s="66"/>
      <c r="E7" s="66"/>
      <c r="F7" s="66"/>
      <c r="G7" s="66"/>
      <c r="H7" s="66"/>
      <c r="I7" s="66"/>
      <c r="J7" s="66">
        <v>0</v>
      </c>
      <c r="K7" s="66">
        <v>0</v>
      </c>
      <c r="L7" s="66"/>
      <c r="M7" s="66"/>
      <c r="N7" s="66"/>
      <c r="O7" s="66"/>
      <c r="P7" s="66"/>
      <c r="Q7" s="66"/>
      <c r="R7" s="100">
        <f t="shared" si="0"/>
        <v>0</v>
      </c>
    </row>
    <row r="8" spans="1:18" s="282" customFormat="1" ht="24" customHeight="1">
      <c r="A8" s="169">
        <v>21105</v>
      </c>
      <c r="B8" s="66" t="s">
        <v>399</v>
      </c>
      <c r="C8" s="106">
        <f t="shared" ref="C8:J8" si="1">SUM(C4:C7)</f>
        <v>64661000</v>
      </c>
      <c r="D8" s="106">
        <f t="shared" si="1"/>
        <v>92472000</v>
      </c>
      <c r="E8" s="106">
        <f t="shared" si="1"/>
        <v>114900000</v>
      </c>
      <c r="F8" s="106">
        <f t="shared" si="1"/>
        <v>94008000</v>
      </c>
      <c r="G8" s="106">
        <f t="shared" si="1"/>
        <v>103968000</v>
      </c>
      <c r="H8" s="106">
        <f t="shared" si="1"/>
        <v>108600000</v>
      </c>
      <c r="I8" s="106">
        <f t="shared" si="1"/>
        <v>138943200</v>
      </c>
      <c r="J8" s="106">
        <f t="shared" si="1"/>
        <v>238804800</v>
      </c>
      <c r="K8" s="66">
        <v>3600000</v>
      </c>
      <c r="L8" s="66">
        <v>3600000</v>
      </c>
      <c r="M8" s="66">
        <v>33600000</v>
      </c>
      <c r="N8" s="66">
        <f>M8</f>
        <v>33600000</v>
      </c>
      <c r="O8" s="66">
        <v>40488000</v>
      </c>
      <c r="P8" s="66">
        <v>1089288000</v>
      </c>
      <c r="Q8" s="66">
        <v>1186488000</v>
      </c>
      <c r="R8" s="100">
        <f t="shared" si="0"/>
        <v>97200000</v>
      </c>
    </row>
    <row r="9" spans="1:18" ht="24" customHeight="1">
      <c r="A9" s="249">
        <v>2120</v>
      </c>
      <c r="B9" s="106" t="s">
        <v>156</v>
      </c>
      <c r="C9" s="66"/>
      <c r="D9" s="66"/>
      <c r="E9" s="66"/>
      <c r="F9" s="66"/>
      <c r="G9" s="66"/>
      <c r="H9" s="66"/>
      <c r="I9" s="66"/>
      <c r="J9" s="66"/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100">
        <f t="shared" si="0"/>
        <v>0</v>
      </c>
    </row>
    <row r="10" spans="1:18" ht="24" customHeight="1">
      <c r="A10" s="169">
        <v>21201</v>
      </c>
      <c r="B10" s="66" t="s">
        <v>157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106">
        <f>SUM(K4:K9)</f>
        <v>299738400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0">
        <f t="shared" si="0"/>
        <v>0</v>
      </c>
    </row>
    <row r="11" spans="1:18" ht="24" customHeight="1">
      <c r="A11" s="169">
        <v>21202</v>
      </c>
      <c r="B11" s="66" t="s">
        <v>154</v>
      </c>
      <c r="C11" s="66">
        <v>17681000</v>
      </c>
      <c r="D11" s="66">
        <v>34100000</v>
      </c>
      <c r="E11" s="66">
        <v>34100000</v>
      </c>
      <c r="F11" s="66">
        <v>34100000</v>
      </c>
      <c r="G11" s="66">
        <v>42336000</v>
      </c>
      <c r="H11" s="66">
        <v>100000000</v>
      </c>
      <c r="I11" s="66">
        <v>100000000</v>
      </c>
      <c r="J11" s="66">
        <v>150000000</v>
      </c>
      <c r="K11" s="66"/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100">
        <f t="shared" si="0"/>
        <v>0</v>
      </c>
    </row>
    <row r="12" spans="1:18" ht="24" customHeight="1">
      <c r="A12" s="169">
        <v>21203</v>
      </c>
      <c r="B12" s="66" t="s">
        <v>158</v>
      </c>
      <c r="C12" s="66">
        <v>11700000</v>
      </c>
      <c r="D12" s="66">
        <v>15000000</v>
      </c>
      <c r="E12" s="66">
        <v>15000000</v>
      </c>
      <c r="F12" s="66">
        <v>15000000</v>
      </c>
      <c r="G12" s="66">
        <v>14400000</v>
      </c>
      <c r="H12" s="66">
        <v>20000000</v>
      </c>
      <c r="I12" s="66">
        <v>19364800</v>
      </c>
      <c r="J12" s="66">
        <v>19364800</v>
      </c>
      <c r="K12" s="66">
        <v>5958400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100">
        <f t="shared" si="0"/>
        <v>0</v>
      </c>
    </row>
    <row r="13" spans="1:18" ht="24" customHeight="1">
      <c r="A13" s="169"/>
      <c r="B13" s="106" t="s">
        <v>59</v>
      </c>
      <c r="C13" s="66">
        <v>5000000</v>
      </c>
      <c r="D13" s="66">
        <v>2000000</v>
      </c>
      <c r="E13" s="66">
        <v>2000000</v>
      </c>
      <c r="F13" s="66">
        <v>6000000</v>
      </c>
      <c r="G13" s="66">
        <v>4800000</v>
      </c>
      <c r="H13" s="66">
        <v>6000000</v>
      </c>
      <c r="I13" s="66">
        <v>4468800</v>
      </c>
      <c r="J13" s="66">
        <v>4468800</v>
      </c>
      <c r="K13" s="66">
        <v>26068000</v>
      </c>
      <c r="L13" s="106">
        <f t="shared" ref="L13:P13" si="2">SUM(L4:L12)</f>
        <v>303338400</v>
      </c>
      <c r="M13" s="106" t="e">
        <f t="shared" si="2"/>
        <v>#REF!</v>
      </c>
      <c r="N13" s="106">
        <f t="shared" si="2"/>
        <v>547753600</v>
      </c>
      <c r="O13" s="106">
        <f t="shared" si="2"/>
        <v>784255200</v>
      </c>
      <c r="P13" s="106">
        <f t="shared" si="2"/>
        <v>2439725760</v>
      </c>
      <c r="Q13" s="106">
        <f>SUM(Q4:Q12)</f>
        <v>3135313920</v>
      </c>
      <c r="R13" s="105">
        <f t="shared" si="0"/>
        <v>695588160</v>
      </c>
    </row>
    <row r="14" spans="1:18" ht="24" customHeight="1">
      <c r="A14" s="249">
        <v>220</v>
      </c>
      <c r="B14" s="106" t="s">
        <v>159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8937600</v>
      </c>
      <c r="L14" s="66"/>
      <c r="M14" s="66"/>
      <c r="N14" s="66"/>
      <c r="O14" s="66"/>
      <c r="P14" s="66"/>
      <c r="Q14" s="66"/>
      <c r="R14" s="100">
        <f t="shared" si="0"/>
        <v>0</v>
      </c>
    </row>
    <row r="15" spans="1:18" s="282" customFormat="1" ht="24" customHeight="1">
      <c r="A15" s="249">
        <v>2210</v>
      </c>
      <c r="B15" s="106" t="s">
        <v>160</v>
      </c>
      <c r="C15" s="106">
        <f t="shared" ref="C15:H15" si="3">SUM(C10:C14)</f>
        <v>34381000</v>
      </c>
      <c r="D15" s="106">
        <f t="shared" si="3"/>
        <v>51100000</v>
      </c>
      <c r="E15" s="106">
        <f t="shared" si="3"/>
        <v>51100000</v>
      </c>
      <c r="F15" s="106">
        <f t="shared" si="3"/>
        <v>55100000</v>
      </c>
      <c r="G15" s="106">
        <f t="shared" si="3"/>
        <v>61536000</v>
      </c>
      <c r="H15" s="106">
        <f t="shared" si="3"/>
        <v>126000000</v>
      </c>
      <c r="I15" s="106">
        <f>SUM(I10:I14)</f>
        <v>123833600</v>
      </c>
      <c r="J15" s="106">
        <f>SUM(J10:J14)</f>
        <v>173833600</v>
      </c>
      <c r="K15" s="66">
        <v>7448000</v>
      </c>
      <c r="L15" s="66"/>
      <c r="M15" s="66"/>
      <c r="N15" s="66"/>
      <c r="O15" s="66"/>
      <c r="P15" s="66"/>
      <c r="Q15" s="66"/>
      <c r="R15" s="100">
        <f t="shared" si="0"/>
        <v>0</v>
      </c>
    </row>
    <row r="16" spans="1:18" ht="24" customHeight="1">
      <c r="A16" s="169">
        <v>22101</v>
      </c>
      <c r="B16" s="66" t="s">
        <v>14</v>
      </c>
      <c r="C16" s="66"/>
      <c r="D16" s="66"/>
      <c r="E16" s="66"/>
      <c r="F16" s="66"/>
      <c r="G16" s="66"/>
      <c r="H16" s="66"/>
      <c r="I16" s="66"/>
      <c r="J16" s="66"/>
      <c r="K16" s="66">
        <v>0</v>
      </c>
      <c r="L16" s="66">
        <v>6000000</v>
      </c>
      <c r="M16" s="66">
        <f>6000000*70%</f>
        <v>4200000</v>
      </c>
      <c r="N16" s="66">
        <f>6000000*70%</f>
        <v>4200000</v>
      </c>
      <c r="O16" s="66">
        <v>30000000</v>
      </c>
      <c r="P16" s="66">
        <v>30000000</v>
      </c>
      <c r="Q16" s="66">
        <v>30000000</v>
      </c>
      <c r="R16" s="100">
        <f t="shared" si="0"/>
        <v>0</v>
      </c>
    </row>
    <row r="17" spans="1:18" ht="24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/>
      <c r="I17" s="66"/>
      <c r="J17" s="66"/>
      <c r="K17" s="66">
        <v>604024800</v>
      </c>
      <c r="L17" s="66">
        <v>40000000</v>
      </c>
      <c r="M17" s="66">
        <f>40000000*70%</f>
        <v>28000000</v>
      </c>
      <c r="N17" s="66">
        <f>40000000*70%</f>
        <v>28000000</v>
      </c>
      <c r="O17" s="66">
        <f>40000000*70%</f>
        <v>28000000</v>
      </c>
      <c r="P17" s="66">
        <v>48000000</v>
      </c>
      <c r="Q17" s="66">
        <v>48000000</v>
      </c>
      <c r="R17" s="100">
        <f t="shared" si="0"/>
        <v>0</v>
      </c>
    </row>
    <row r="18" spans="1:18" ht="24" customHeight="1">
      <c r="A18" s="169">
        <v>22105</v>
      </c>
      <c r="B18" s="66" t="s">
        <v>93</v>
      </c>
      <c r="C18" s="66">
        <v>3000000</v>
      </c>
      <c r="D18" s="66">
        <v>2000000</v>
      </c>
      <c r="E18" s="66">
        <v>2000000</v>
      </c>
      <c r="F18" s="66">
        <v>2000000</v>
      </c>
      <c r="G18" s="66">
        <v>3200000</v>
      </c>
      <c r="H18" s="66">
        <v>4000000</v>
      </c>
      <c r="I18" s="66">
        <v>2979200</v>
      </c>
      <c r="J18" s="66">
        <v>2979200</v>
      </c>
      <c r="K18" s="66">
        <v>11172000</v>
      </c>
      <c r="L18" s="66">
        <v>8937600</v>
      </c>
      <c r="M18" s="66">
        <f>8937600*70%</f>
        <v>6256320</v>
      </c>
      <c r="N18" s="66">
        <v>144000000</v>
      </c>
      <c r="O18" s="66">
        <v>0</v>
      </c>
      <c r="P18" s="66">
        <v>0</v>
      </c>
      <c r="Q18" s="66">
        <v>0</v>
      </c>
      <c r="R18" s="100">
        <f t="shared" si="0"/>
        <v>0</v>
      </c>
    </row>
    <row r="19" spans="1:18" ht="24" customHeight="1">
      <c r="A19" s="169">
        <v>22106</v>
      </c>
      <c r="B19" s="66" t="s">
        <v>84</v>
      </c>
      <c r="C19" s="66">
        <v>5000000</v>
      </c>
      <c r="D19" s="66">
        <v>1500000</v>
      </c>
      <c r="E19" s="66">
        <v>1500000</v>
      </c>
      <c r="F19" s="66">
        <v>1500000</v>
      </c>
      <c r="G19" s="66">
        <v>1600000</v>
      </c>
      <c r="H19" s="66">
        <v>2000000</v>
      </c>
      <c r="I19" s="66">
        <v>1489600</v>
      </c>
      <c r="J19" s="66">
        <v>1489600</v>
      </c>
      <c r="K19" s="66">
        <v>0</v>
      </c>
      <c r="L19" s="66">
        <v>9000000</v>
      </c>
      <c r="M19" s="66">
        <f>9000000*70%</f>
        <v>6300000</v>
      </c>
      <c r="N19" s="66">
        <v>0</v>
      </c>
      <c r="O19" s="66">
        <v>0</v>
      </c>
      <c r="P19" s="66">
        <v>0</v>
      </c>
      <c r="Q19" s="66">
        <v>0</v>
      </c>
      <c r="R19" s="100">
        <f t="shared" si="0"/>
        <v>0</v>
      </c>
    </row>
    <row r="20" spans="1:18" ht="24" customHeight="1">
      <c r="A20" s="169">
        <v>22107</v>
      </c>
      <c r="B20" s="66" t="s">
        <v>678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>
        <v>50000000</v>
      </c>
      <c r="Q20" s="66">
        <v>50400000</v>
      </c>
      <c r="R20" s="100">
        <f t="shared" si="0"/>
        <v>400000</v>
      </c>
    </row>
    <row r="21" spans="1:18" ht="24" customHeight="1">
      <c r="A21" s="169">
        <v>22108</v>
      </c>
      <c r="B21" s="66" t="s">
        <v>414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>
        <v>21600000</v>
      </c>
      <c r="O21" s="66">
        <v>40000000</v>
      </c>
      <c r="P21" s="66">
        <v>50000000</v>
      </c>
      <c r="Q21" s="66">
        <v>50000000</v>
      </c>
      <c r="R21" s="100">
        <f t="shared" si="0"/>
        <v>0</v>
      </c>
    </row>
    <row r="22" spans="1:18" ht="24" customHeight="1">
      <c r="A22" s="169">
        <v>22109</v>
      </c>
      <c r="B22" s="66" t="s">
        <v>94</v>
      </c>
      <c r="C22" s="66">
        <v>6000000</v>
      </c>
      <c r="D22" s="66">
        <f>7000000+1500000</f>
        <v>8500000</v>
      </c>
      <c r="E22" s="66">
        <v>8500000</v>
      </c>
      <c r="F22" s="66">
        <v>14500000</v>
      </c>
      <c r="G22" s="66">
        <v>12000000</v>
      </c>
      <c r="H22" s="66">
        <v>15000000</v>
      </c>
      <c r="I22" s="66">
        <v>18620000</v>
      </c>
      <c r="J22" s="66">
        <v>30000000</v>
      </c>
      <c r="K22" s="66">
        <v>0</v>
      </c>
      <c r="L22" s="66">
        <v>10000000</v>
      </c>
      <c r="M22" s="66">
        <f>10000000*70%</f>
        <v>7000000</v>
      </c>
      <c r="N22" s="66">
        <f>10000000*70%</f>
        <v>7000000</v>
      </c>
      <c r="O22" s="66">
        <f>10000000*70%</f>
        <v>7000000</v>
      </c>
      <c r="P22" s="66">
        <v>10000000</v>
      </c>
      <c r="Q22" s="66">
        <v>10000000</v>
      </c>
      <c r="R22" s="100">
        <f t="shared" si="0"/>
        <v>0</v>
      </c>
    </row>
    <row r="23" spans="1:18" ht="24" customHeight="1">
      <c r="A23" s="169">
        <v>22112</v>
      </c>
      <c r="B23" s="66" t="s">
        <v>16</v>
      </c>
      <c r="C23" s="66">
        <v>4000000</v>
      </c>
      <c r="D23" s="66">
        <v>0</v>
      </c>
      <c r="E23" s="66">
        <v>3500000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100000000</v>
      </c>
      <c r="L23" s="66">
        <v>8937600</v>
      </c>
      <c r="M23" s="66">
        <f>8937600*70%</f>
        <v>6256320</v>
      </c>
      <c r="N23" s="66">
        <v>36072000</v>
      </c>
      <c r="O23" s="66">
        <v>36072000</v>
      </c>
      <c r="P23" s="66">
        <v>41072000</v>
      </c>
      <c r="Q23" s="66">
        <v>60072000</v>
      </c>
      <c r="R23" s="100">
        <f t="shared" si="0"/>
        <v>19000000</v>
      </c>
    </row>
    <row r="24" spans="1:18" ht="24" customHeight="1">
      <c r="A24" s="169">
        <v>22114</v>
      </c>
      <c r="B24" s="66" t="s">
        <v>552</v>
      </c>
      <c r="C24" s="66">
        <v>30688000</v>
      </c>
      <c r="D24" s="66">
        <v>3000000</v>
      </c>
      <c r="E24" s="66">
        <v>3000000</v>
      </c>
      <c r="F24" s="66">
        <v>3000000</v>
      </c>
      <c r="G24" s="66">
        <v>2400000</v>
      </c>
      <c r="H24" s="66">
        <v>3000000</v>
      </c>
      <c r="I24" s="66">
        <v>2234400</v>
      </c>
      <c r="J24" s="66">
        <v>2234400</v>
      </c>
      <c r="K24" s="66">
        <v>30688000</v>
      </c>
      <c r="L24" s="66">
        <f>30688000*70%</f>
        <v>21481600</v>
      </c>
      <c r="M24" s="66">
        <f>30688000*70%</f>
        <v>21481600</v>
      </c>
      <c r="N24" s="66">
        <v>0</v>
      </c>
      <c r="O24" s="66">
        <v>126000000</v>
      </c>
      <c r="P24" s="66">
        <v>0</v>
      </c>
      <c r="Q24" s="66">
        <v>0</v>
      </c>
      <c r="R24" s="100">
        <f t="shared" si="0"/>
        <v>0</v>
      </c>
    </row>
    <row r="25" spans="1:18" ht="24" customHeight="1">
      <c r="A25" s="169">
        <v>22132</v>
      </c>
      <c r="B25" s="66" t="s">
        <v>909</v>
      </c>
      <c r="C25" s="66"/>
      <c r="D25" s="66"/>
      <c r="E25" s="66"/>
      <c r="F25" s="66"/>
      <c r="G25" s="66"/>
      <c r="H25" s="66"/>
      <c r="I25" s="66"/>
      <c r="J25" s="66"/>
      <c r="K25" s="106">
        <f>SUM(K22:K23)</f>
        <v>100000000</v>
      </c>
      <c r="L25" s="66">
        <v>11172000</v>
      </c>
      <c r="M25" s="66">
        <f>11172000*70%</f>
        <v>7820399.9999999991</v>
      </c>
      <c r="N25" s="66">
        <v>0</v>
      </c>
      <c r="O25" s="66">
        <v>0</v>
      </c>
      <c r="P25" s="66">
        <v>0</v>
      </c>
      <c r="Q25" s="66">
        <v>107600000</v>
      </c>
      <c r="R25" s="100">
        <f t="shared" si="0"/>
        <v>107600000</v>
      </c>
    </row>
    <row r="26" spans="1:18" ht="24" customHeight="1">
      <c r="A26" s="169">
        <v>22141</v>
      </c>
      <c r="B26" s="66" t="s">
        <v>381</v>
      </c>
      <c r="C26" s="66"/>
      <c r="D26" s="66"/>
      <c r="E26" s="66"/>
      <c r="F26" s="66"/>
      <c r="G26" s="66"/>
      <c r="H26" s="66"/>
      <c r="I26" s="66"/>
      <c r="J26" s="66"/>
      <c r="K26" s="106"/>
      <c r="L26" s="66"/>
      <c r="M26" s="66"/>
      <c r="N26" s="66">
        <v>5274720</v>
      </c>
      <c r="O26" s="66"/>
      <c r="P26" s="66"/>
      <c r="Q26" s="66"/>
      <c r="R26" s="100">
        <f t="shared" si="0"/>
        <v>0</v>
      </c>
    </row>
    <row r="27" spans="1:18" ht="24" customHeight="1">
      <c r="A27" s="169"/>
      <c r="B27" s="106" t="s">
        <v>59</v>
      </c>
      <c r="C27" s="66">
        <v>10000000</v>
      </c>
      <c r="D27" s="66">
        <v>0</v>
      </c>
      <c r="E27" s="66">
        <v>0</v>
      </c>
      <c r="F27" s="66">
        <v>0</v>
      </c>
      <c r="G27" s="66">
        <v>0</v>
      </c>
      <c r="H27" s="66">
        <v>15000000</v>
      </c>
      <c r="I27" s="66">
        <v>11172000</v>
      </c>
      <c r="J27" s="66">
        <v>11172000</v>
      </c>
      <c r="K27" s="106" t="e">
        <f>SUM(#REF!)</f>
        <v>#REF!</v>
      </c>
      <c r="L27" s="106">
        <f>SUM(L14:L25)</f>
        <v>115528800</v>
      </c>
      <c r="M27" s="106">
        <f>SUM(M16:M25)</f>
        <v>87314640</v>
      </c>
      <c r="N27" s="106">
        <f>SUM(N16:N26)</f>
        <v>246146720</v>
      </c>
      <c r="O27" s="106">
        <f>SUM(O16:O26)</f>
        <v>267072000</v>
      </c>
      <c r="P27" s="106">
        <f>SUM(P16:P26)</f>
        <v>229072000</v>
      </c>
      <c r="Q27" s="106">
        <f>SUM(Q16:Q26)</f>
        <v>356072000</v>
      </c>
      <c r="R27" s="105">
        <f t="shared" si="0"/>
        <v>127000000</v>
      </c>
    </row>
    <row r="28" spans="1:18" ht="24" customHeight="1">
      <c r="A28" s="249">
        <v>2220</v>
      </c>
      <c r="B28" s="106" t="s">
        <v>161</v>
      </c>
      <c r="C28" s="66">
        <v>0</v>
      </c>
      <c r="D28" s="66">
        <v>0</v>
      </c>
      <c r="E28" s="66">
        <v>3418500</v>
      </c>
      <c r="F28" s="66">
        <v>27430292</v>
      </c>
      <c r="G28" s="66">
        <v>0</v>
      </c>
      <c r="H28" s="66">
        <v>0</v>
      </c>
      <c r="I28" s="66">
        <v>0</v>
      </c>
      <c r="J28" s="66">
        <v>0</v>
      </c>
      <c r="K28" s="66"/>
      <c r="L28" s="66"/>
      <c r="M28" s="66"/>
      <c r="N28" s="66"/>
      <c r="O28" s="66"/>
      <c r="P28" s="66"/>
      <c r="Q28" s="66"/>
      <c r="R28" s="100">
        <f t="shared" si="0"/>
        <v>0</v>
      </c>
    </row>
    <row r="29" spans="1:18" s="282" customFormat="1" ht="24" customHeight="1">
      <c r="A29" s="169">
        <v>22201</v>
      </c>
      <c r="B29" s="66" t="s">
        <v>90</v>
      </c>
      <c r="C29" s="66"/>
      <c r="D29" s="66"/>
      <c r="E29" s="66"/>
      <c r="F29" s="66"/>
      <c r="G29" s="66"/>
      <c r="H29" s="66">
        <v>0</v>
      </c>
      <c r="I29" s="66">
        <v>150000000</v>
      </c>
      <c r="J29" s="66">
        <v>224480000</v>
      </c>
      <c r="K29" s="66">
        <v>18620000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100">
        <f t="shared" si="0"/>
        <v>0</v>
      </c>
    </row>
    <row r="30" spans="1:18" ht="24" customHeight="1">
      <c r="A30" s="169">
        <v>22202</v>
      </c>
      <c r="B30" s="66" t="s">
        <v>91</v>
      </c>
      <c r="C30" s="106" t="e">
        <f>#REF!+#REF!+#REF!+C15+C8</f>
        <v>#REF!</v>
      </c>
      <c r="D30" s="106" t="e">
        <f>#REF!+#REF!+#REF!+D15+D8</f>
        <v>#REF!</v>
      </c>
      <c r="E30" s="106" t="e">
        <f>#REF!+#REF!+#REF!+E15+E8</f>
        <v>#REF!</v>
      </c>
      <c r="F30" s="106" t="e">
        <f>#REF!+#REF!+#REF!+F15+F8</f>
        <v>#REF!</v>
      </c>
      <c r="G30" s="106" t="e">
        <f>#REF!+#REF!+#REF!+G15+G8</f>
        <v>#REF!</v>
      </c>
      <c r="H30" s="106" t="e">
        <f>#REF!+#REF!+#REF!+H15+H8</f>
        <v>#REF!</v>
      </c>
      <c r="I30" s="106" t="e">
        <f>#REF!+#REF!+#REF!+I15+I8</f>
        <v>#REF!</v>
      </c>
      <c r="J30" s="106" t="e">
        <f>#REF!+#REF!+#REF!+J15+J8</f>
        <v>#REF!</v>
      </c>
      <c r="K30" s="66">
        <v>2234400</v>
      </c>
      <c r="L30" s="66">
        <v>200000000</v>
      </c>
      <c r="M30" s="66">
        <f>200000000*70%+9900000</f>
        <v>149900000</v>
      </c>
      <c r="N30" s="66">
        <f>M30*80%</f>
        <v>119920000</v>
      </c>
      <c r="O30" s="66">
        <v>239840000</v>
      </c>
      <c r="P30" s="66">
        <v>239840000</v>
      </c>
      <c r="Q30" s="66">
        <v>239840000</v>
      </c>
      <c r="R30" s="100">
        <f t="shared" si="0"/>
        <v>0</v>
      </c>
    </row>
    <row r="31" spans="1:18" ht="24" customHeight="1">
      <c r="A31" s="169">
        <v>22203</v>
      </c>
      <c r="B31" s="66" t="s">
        <v>85</v>
      </c>
      <c r="C31" s="118"/>
      <c r="D31" s="118"/>
      <c r="E31" s="118"/>
      <c r="F31" s="100" t="e">
        <f>SUM(F25:F30)</f>
        <v>#REF!</v>
      </c>
      <c r="G31" s="100"/>
      <c r="H31" s="100" t="s">
        <v>4</v>
      </c>
      <c r="I31" s="100"/>
      <c r="J31" s="100"/>
      <c r="K31" s="105">
        <f>SUM(K29:K30)</f>
        <v>20854400</v>
      </c>
      <c r="L31" s="100">
        <v>26000000</v>
      </c>
      <c r="M31" s="100">
        <f>26000000*70%</f>
        <v>18200000</v>
      </c>
      <c r="N31" s="100">
        <v>22000000</v>
      </c>
      <c r="O31" s="100">
        <v>30000000</v>
      </c>
      <c r="P31" s="100">
        <v>30000000</v>
      </c>
      <c r="Q31" s="100">
        <v>40000000</v>
      </c>
      <c r="R31" s="100">
        <f t="shared" si="0"/>
        <v>10000000</v>
      </c>
    </row>
    <row r="32" spans="1:18" ht="24" customHeight="1">
      <c r="A32" s="169">
        <v>22204</v>
      </c>
      <c r="B32" s="66" t="s">
        <v>86</v>
      </c>
      <c r="C32" s="118"/>
      <c r="D32" s="118"/>
      <c r="E32" s="118"/>
      <c r="F32" s="100" t="e">
        <f>F30-F31</f>
        <v>#REF!</v>
      </c>
      <c r="G32" s="100"/>
      <c r="H32" s="100"/>
      <c r="I32" s="100"/>
      <c r="J32" s="100"/>
      <c r="K32" s="105" t="e">
        <f>K31+K27+K25+#REF!+K10</f>
        <v>#REF!</v>
      </c>
      <c r="L32" s="100">
        <v>6000000</v>
      </c>
      <c r="M32" s="100">
        <f>6000000*70%</f>
        <v>4200000</v>
      </c>
      <c r="N32" s="100">
        <f>6000000*70%</f>
        <v>4200000</v>
      </c>
      <c r="O32" s="100">
        <f>6000000*70%</f>
        <v>4200000</v>
      </c>
      <c r="P32" s="100">
        <f>6000000*70%</f>
        <v>4200000</v>
      </c>
      <c r="Q32" s="100">
        <f>6000000*70%</f>
        <v>4200000</v>
      </c>
      <c r="R32" s="100">
        <f t="shared" si="0"/>
        <v>0</v>
      </c>
    </row>
    <row r="33" spans="1:18" ht="24" customHeight="1">
      <c r="A33" s="169"/>
      <c r="B33" s="106" t="s">
        <v>59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05">
        <f t="shared" ref="L33:P33" si="4">SUM(L30:L32)</f>
        <v>232000000</v>
      </c>
      <c r="M33" s="105">
        <f t="shared" si="4"/>
        <v>172300000</v>
      </c>
      <c r="N33" s="105">
        <f t="shared" si="4"/>
        <v>146120000</v>
      </c>
      <c r="O33" s="105">
        <f t="shared" si="4"/>
        <v>274040000</v>
      </c>
      <c r="P33" s="105">
        <f t="shared" si="4"/>
        <v>274040000</v>
      </c>
      <c r="Q33" s="105">
        <f>SUM(Q30:Q32)</f>
        <v>284040000</v>
      </c>
      <c r="R33" s="105">
        <f t="shared" si="0"/>
        <v>10000000</v>
      </c>
    </row>
    <row r="34" spans="1:18" ht="24" customHeight="1">
      <c r="A34" s="249">
        <v>2230</v>
      </c>
      <c r="B34" s="106" t="s">
        <v>88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00">
        <f t="shared" si="0"/>
        <v>0</v>
      </c>
    </row>
    <row r="35" spans="1:18" ht="24" customHeight="1">
      <c r="A35" s="169">
        <v>22301</v>
      </c>
      <c r="B35" s="66" t="s">
        <v>31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6">
        <v>30000000</v>
      </c>
      <c r="M35" s="116">
        <f>30000000*70%</f>
        <v>21000000</v>
      </c>
      <c r="N35" s="116">
        <f>30000000*70%</f>
        <v>21000000</v>
      </c>
      <c r="O35" s="116">
        <f>30000000*70%</f>
        <v>21000000</v>
      </c>
      <c r="P35" s="116">
        <f>30000000*70%</f>
        <v>21000000</v>
      </c>
      <c r="Q35" s="116">
        <v>30000000</v>
      </c>
      <c r="R35" s="100">
        <f t="shared" si="0"/>
        <v>9000000</v>
      </c>
    </row>
    <row r="36" spans="1:18" ht="24" customHeight="1">
      <c r="A36" s="169">
        <v>22302</v>
      </c>
      <c r="B36" s="66" t="s">
        <v>162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6">
        <v>5000000</v>
      </c>
      <c r="M36" s="116">
        <f>5000000*70%</f>
        <v>3500000</v>
      </c>
      <c r="N36" s="116">
        <f>5000000*70%</f>
        <v>3500000</v>
      </c>
      <c r="O36" s="116">
        <f>5000000*70%</f>
        <v>3500000</v>
      </c>
      <c r="P36" s="116">
        <f>5000000*70%</f>
        <v>3500000</v>
      </c>
      <c r="Q36" s="116">
        <f>5000000*70%</f>
        <v>3500000</v>
      </c>
      <c r="R36" s="100">
        <f t="shared" si="0"/>
        <v>0</v>
      </c>
    </row>
    <row r="37" spans="1:18" ht="24" customHeight="1">
      <c r="A37" s="169"/>
      <c r="B37" s="106" t="s">
        <v>59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7">
        <f t="shared" ref="L37:P37" si="5">SUM(L35:L36)</f>
        <v>35000000</v>
      </c>
      <c r="M37" s="117">
        <f t="shared" si="5"/>
        <v>24500000</v>
      </c>
      <c r="N37" s="117">
        <f t="shared" si="5"/>
        <v>24500000</v>
      </c>
      <c r="O37" s="117">
        <f t="shared" si="5"/>
        <v>24500000</v>
      </c>
      <c r="P37" s="117">
        <f t="shared" si="5"/>
        <v>24500000</v>
      </c>
      <c r="Q37" s="117">
        <f>SUM(Q35:Q36)</f>
        <v>33500000</v>
      </c>
      <c r="R37" s="105">
        <f t="shared" si="0"/>
        <v>9000000</v>
      </c>
    </row>
    <row r="38" spans="1:18" ht="24" customHeight="1">
      <c r="A38" s="249">
        <v>230</v>
      </c>
      <c r="B38" s="106" t="s">
        <v>165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00">
        <f t="shared" si="0"/>
        <v>0</v>
      </c>
    </row>
    <row r="39" spans="1:18" ht="24" customHeight="1">
      <c r="A39" s="249">
        <v>2310</v>
      </c>
      <c r="B39" s="106" t="s">
        <v>164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00">
        <f t="shared" si="0"/>
        <v>0</v>
      </c>
    </row>
    <row r="40" spans="1:18" ht="24" customHeight="1">
      <c r="A40" s="169">
        <v>23101</v>
      </c>
      <c r="B40" s="66" t="s">
        <v>172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6">
        <v>10000000</v>
      </c>
      <c r="M40" s="116">
        <f>18657570*70%</f>
        <v>13060299</v>
      </c>
      <c r="N40" s="66">
        <v>0</v>
      </c>
      <c r="O40" s="66">
        <v>50000000</v>
      </c>
      <c r="P40" s="66">
        <v>0</v>
      </c>
      <c r="Q40" s="66">
        <v>0</v>
      </c>
      <c r="R40" s="100">
        <f t="shared" si="0"/>
        <v>0</v>
      </c>
    </row>
    <row r="41" spans="1:18" ht="24" customHeight="1">
      <c r="A41" s="169">
        <v>23102</v>
      </c>
      <c r="B41" s="66" t="s">
        <v>910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>
        <v>0</v>
      </c>
      <c r="M41" s="116">
        <f>108000000*70%+32400000+108000000</f>
        <v>216000000</v>
      </c>
      <c r="N41" s="66">
        <v>67200000</v>
      </c>
      <c r="O41" s="66">
        <v>0</v>
      </c>
      <c r="P41" s="66">
        <v>42000000</v>
      </c>
      <c r="Q41" s="66">
        <v>120000000</v>
      </c>
      <c r="R41" s="100">
        <f t="shared" si="0"/>
        <v>78000000</v>
      </c>
    </row>
    <row r="42" spans="1:18" ht="24" customHeight="1">
      <c r="A42" s="169">
        <v>23103</v>
      </c>
      <c r="B42" s="66" t="s">
        <v>106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6">
        <v>4000000</v>
      </c>
      <c r="M42" s="116">
        <f>4000000*70%</f>
        <v>2800000</v>
      </c>
      <c r="N42" s="66">
        <v>0</v>
      </c>
      <c r="O42" s="66">
        <v>15000000</v>
      </c>
      <c r="P42" s="66">
        <v>15000000</v>
      </c>
      <c r="Q42" s="66"/>
      <c r="R42" s="100">
        <f t="shared" si="0"/>
        <v>-15000000</v>
      </c>
    </row>
    <row r="43" spans="1:18" ht="24" customHeight="1">
      <c r="A43" s="169">
        <v>23104</v>
      </c>
      <c r="B43" s="66" t="s">
        <v>107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6">
        <v>1489600</v>
      </c>
      <c r="M43" s="116">
        <f>1489600*70%</f>
        <v>1042719.9999999999</v>
      </c>
      <c r="N43" s="66">
        <v>0</v>
      </c>
      <c r="O43" s="66">
        <v>10000000</v>
      </c>
      <c r="P43" s="66">
        <v>10000000</v>
      </c>
      <c r="Q43" s="66"/>
      <c r="R43" s="100">
        <f t="shared" si="0"/>
        <v>-10000000</v>
      </c>
    </row>
    <row r="44" spans="1:18" ht="24" customHeight="1">
      <c r="A44" s="169"/>
      <c r="B44" s="106" t="s">
        <v>59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7">
        <f t="shared" ref="L44:P44" si="6">SUM(L40:L43)</f>
        <v>15489600</v>
      </c>
      <c r="M44" s="117">
        <f t="shared" si="6"/>
        <v>232903019</v>
      </c>
      <c r="N44" s="106">
        <f t="shared" si="6"/>
        <v>67200000</v>
      </c>
      <c r="O44" s="106">
        <f t="shared" si="6"/>
        <v>75000000</v>
      </c>
      <c r="P44" s="106">
        <f t="shared" si="6"/>
        <v>67000000</v>
      </c>
      <c r="Q44" s="106">
        <f>SUM(Q40:Q43)</f>
        <v>120000000</v>
      </c>
      <c r="R44" s="105">
        <f t="shared" si="0"/>
        <v>53000000</v>
      </c>
    </row>
    <row r="45" spans="1:18" ht="24" customHeight="1">
      <c r="A45" s="249">
        <v>2320</v>
      </c>
      <c r="B45" s="106" t="s">
        <v>372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7"/>
      <c r="M45" s="117"/>
      <c r="N45" s="66"/>
      <c r="O45" s="66"/>
      <c r="P45" s="66"/>
      <c r="Q45" s="66"/>
      <c r="R45" s="100">
        <f t="shared" si="0"/>
        <v>0</v>
      </c>
    </row>
    <row r="46" spans="1:18" ht="24" customHeight="1">
      <c r="A46" s="249">
        <v>23201</v>
      </c>
      <c r="B46" s="66" t="s">
        <v>342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7"/>
      <c r="M46" s="116">
        <v>0</v>
      </c>
      <c r="N46" s="66">
        <v>600000000</v>
      </c>
      <c r="O46" s="66">
        <v>360000000</v>
      </c>
      <c r="P46" s="66">
        <v>0</v>
      </c>
      <c r="Q46" s="66">
        <v>182808000</v>
      </c>
      <c r="R46" s="100">
        <f t="shared" si="0"/>
        <v>182808000</v>
      </c>
    </row>
    <row r="47" spans="1:18" ht="24" customHeight="1">
      <c r="A47" s="169"/>
      <c r="B47" s="106" t="s">
        <v>59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7"/>
      <c r="M47" s="116">
        <v>0</v>
      </c>
      <c r="N47" s="106">
        <f>SUM(N46)</f>
        <v>600000000</v>
      </c>
      <c r="O47" s="106">
        <f>SUM(O46)</f>
        <v>360000000</v>
      </c>
      <c r="P47" s="106">
        <f>SUM(P46)</f>
        <v>0</v>
      </c>
      <c r="Q47" s="106">
        <f>SUM(Q46)</f>
        <v>182808000</v>
      </c>
      <c r="R47" s="100">
        <f t="shared" si="0"/>
        <v>182808000</v>
      </c>
    </row>
    <row r="48" spans="1:18" ht="24" customHeight="1">
      <c r="A48" s="169"/>
      <c r="B48" s="106" t="s">
        <v>18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05">
        <f>L44+L37+L33+L27+L13</f>
        <v>701356800</v>
      </c>
      <c r="M48" s="105" t="e">
        <f>M44+M37+M33+M27+M13</f>
        <v>#REF!</v>
      </c>
      <c r="N48" s="105">
        <f>N47+N44+N37+N33+N27+N13</f>
        <v>1631720320</v>
      </c>
      <c r="O48" s="105">
        <f>O47+O44+O37+O33+O27+O13</f>
        <v>1784867200</v>
      </c>
      <c r="P48" s="105">
        <f>P47+P44+P37+P33+P27+P13</f>
        <v>3034337760</v>
      </c>
      <c r="Q48" s="105">
        <f>Q47+Q44+Q37+Q33+Q27+Q13</f>
        <v>4111733920</v>
      </c>
      <c r="R48" s="105">
        <f t="shared" si="0"/>
        <v>1077396160</v>
      </c>
    </row>
    <row r="49" spans="2:17" ht="24" customHeight="1"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515"/>
      <c r="O49" s="515"/>
      <c r="P49" s="516"/>
      <c r="Q49" s="516"/>
    </row>
  </sheetData>
  <phoneticPr fontId="0" type="noConversion"/>
  <printOptions horizontalCentered="1" verticalCentered="1" gridLines="1"/>
  <pageMargins left="0.3" right="0.4" top="0.67" bottom="0.81" header="0.25" footer="0.5"/>
  <pageSetup scale="58" orientation="portrait" r:id="rId1"/>
  <headerFooter alignWithMargins="0">
    <oddHeader>&amp;C&amp;"Algerian,Bold"&amp;36Wasaaradda Cadaaladda IYO GARSOORKA</oddHeader>
    <oddFooter>&amp;R&amp;"Times New Roman,Bold"&amp;14 15</oddFooter>
  </headerFooter>
  <ignoredErrors>
    <ignoredError sqref="L44 L37 L3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1:S52"/>
  <sheetViews>
    <sheetView view="pageBreakPreview" zoomScale="60" zoomScaleNormal="75" zoomScalePageLayoutView="70" workbookViewId="0">
      <selection activeCell="P38" sqref="P38"/>
    </sheetView>
  </sheetViews>
  <sheetFormatPr defaultRowHeight="12.75"/>
  <cols>
    <col min="1" max="1" width="19.1640625" style="304" bestFit="1" customWidth="1"/>
    <col min="2" max="2" width="93.6640625" style="304" customWidth="1"/>
    <col min="3" max="3" width="0.1640625" style="304" hidden="1" customWidth="1"/>
    <col min="4" max="4" width="17.6640625" style="304" hidden="1" customWidth="1"/>
    <col min="5" max="5" width="18" style="304" hidden="1" customWidth="1"/>
    <col min="6" max="6" width="17.6640625" style="304" hidden="1" customWidth="1"/>
    <col min="7" max="7" width="20.33203125" style="304" hidden="1" customWidth="1"/>
    <col min="8" max="8" width="22" style="304" hidden="1" customWidth="1"/>
    <col min="9" max="9" width="1.33203125" style="304" hidden="1" customWidth="1"/>
    <col min="10" max="10" width="0.83203125" style="304" hidden="1" customWidth="1"/>
    <col min="11" max="11" width="22.33203125" style="304" hidden="1" customWidth="1"/>
    <col min="12" max="12" width="25.1640625" style="304" hidden="1" customWidth="1"/>
    <col min="13" max="13" width="31.1640625" style="304" hidden="1" customWidth="1"/>
    <col min="14" max="14" width="31.6640625" style="304" hidden="1" customWidth="1"/>
    <col min="15" max="15" width="32" style="304" hidden="1" customWidth="1"/>
    <col min="16" max="16" width="31.5" style="304" bestFit="1" customWidth="1"/>
    <col min="17" max="17" width="31.5" style="304" customWidth="1"/>
    <col min="18" max="18" width="29.6640625" style="304" bestFit="1" customWidth="1"/>
    <col min="19" max="16384" width="9.33203125" style="304"/>
  </cols>
  <sheetData>
    <row r="1" spans="1:19" ht="30" customHeight="1">
      <c r="A1" s="251" t="s">
        <v>21</v>
      </c>
      <c r="B1" s="354" t="s">
        <v>773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303"/>
    </row>
    <row r="2" spans="1:19" s="305" customFormat="1" ht="30" customHeight="1">
      <c r="A2" s="249">
        <v>210</v>
      </c>
      <c r="B2" s="106" t="s">
        <v>95</v>
      </c>
      <c r="C2" s="256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110</v>
      </c>
      <c r="L2" s="256" t="s">
        <v>110</v>
      </c>
      <c r="M2" s="256" t="s">
        <v>166</v>
      </c>
      <c r="N2" s="256" t="s">
        <v>318</v>
      </c>
      <c r="O2" s="256" t="s">
        <v>530</v>
      </c>
      <c r="P2" s="256" t="s">
        <v>605</v>
      </c>
      <c r="Q2" s="256" t="s">
        <v>725</v>
      </c>
      <c r="R2" s="112" t="s">
        <v>34</v>
      </c>
    </row>
    <row r="3" spans="1:19" ht="30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9" ht="30" customHeight="1">
      <c r="A4" s="169">
        <v>21101</v>
      </c>
      <c r="B4" s="66" t="s">
        <v>9</v>
      </c>
      <c r="C4" s="66">
        <v>2136768000</v>
      </c>
      <c r="D4" s="66">
        <v>2136768000</v>
      </c>
      <c r="E4" s="66">
        <v>2567568000</v>
      </c>
      <c r="F4" s="66">
        <v>2653728000</v>
      </c>
      <c r="G4" s="66">
        <v>3515328000</v>
      </c>
      <c r="H4" s="66">
        <f>G4</f>
        <v>3515328000</v>
      </c>
      <c r="I4" s="66">
        <f>4569926400+318240000</f>
        <v>4888166400</v>
      </c>
      <c r="J4" s="66">
        <v>5152305600</v>
      </c>
      <c r="K4" s="66">
        <v>5788785600</v>
      </c>
      <c r="L4" s="66">
        <f>5152305600+636480000</f>
        <v>5788785600</v>
      </c>
      <c r="M4" s="66">
        <v>13817980800</v>
      </c>
      <c r="N4" s="66">
        <v>13817980800</v>
      </c>
      <c r="O4" s="66">
        <v>13633401600</v>
      </c>
      <c r="P4" s="66">
        <v>16543163520</v>
      </c>
      <c r="Q4" s="66">
        <v>18578471040</v>
      </c>
      <c r="R4" s="100">
        <f>Q4-P4</f>
        <v>2035307520</v>
      </c>
    </row>
    <row r="5" spans="1:19" ht="30" customHeight="1">
      <c r="A5" s="169">
        <v>21102</v>
      </c>
      <c r="B5" s="66" t="s">
        <v>10</v>
      </c>
      <c r="C5" s="66">
        <v>7200000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/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100">
        <f t="shared" ref="R5:R50" si="0">Q5-P5</f>
        <v>0</v>
      </c>
    </row>
    <row r="6" spans="1:19" ht="30" customHeight="1">
      <c r="A6" s="169">
        <v>21103</v>
      </c>
      <c r="B6" s="66" t="s">
        <v>656</v>
      </c>
      <c r="C6" s="66">
        <v>23600000</v>
      </c>
      <c r="D6" s="66">
        <v>23600000</v>
      </c>
      <c r="E6" s="66">
        <v>23600000</v>
      </c>
      <c r="F6" s="66">
        <v>23600000</v>
      </c>
      <c r="G6" s="66">
        <f>F6</f>
        <v>23600000</v>
      </c>
      <c r="H6" s="66">
        <v>60000000</v>
      </c>
      <c r="I6" s="66">
        <v>100000000</v>
      </c>
      <c r="J6" s="66">
        <v>100000000</v>
      </c>
      <c r="K6" s="66">
        <v>100000000</v>
      </c>
      <c r="L6" s="66">
        <v>100000000</v>
      </c>
      <c r="M6" s="66">
        <v>695600000</v>
      </c>
      <c r="N6" s="66">
        <f>M6</f>
        <v>695600000</v>
      </c>
      <c r="O6" s="66">
        <f>N6</f>
        <v>695600000</v>
      </c>
      <c r="P6" s="66">
        <v>270000000</v>
      </c>
      <c r="Q6" s="66">
        <v>965600000</v>
      </c>
      <c r="R6" s="105">
        <f t="shared" si="0"/>
        <v>695600000</v>
      </c>
    </row>
    <row r="7" spans="1:19" ht="30" customHeight="1">
      <c r="A7" s="249">
        <v>2120</v>
      </c>
      <c r="B7" s="106" t="s">
        <v>156</v>
      </c>
      <c r="C7" s="66">
        <v>12777300</v>
      </c>
      <c r="D7" s="66">
        <v>22777350</v>
      </c>
      <c r="E7" s="66">
        <v>22777350</v>
      </c>
      <c r="F7" s="66">
        <v>22777350</v>
      </c>
      <c r="G7" s="66">
        <v>32000000</v>
      </c>
      <c r="H7" s="66">
        <v>40000000</v>
      </c>
      <c r="I7" s="66">
        <v>29792000</v>
      </c>
      <c r="J7" s="66">
        <v>35000000</v>
      </c>
      <c r="K7" s="66"/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100">
        <f t="shared" si="0"/>
        <v>0</v>
      </c>
    </row>
    <row r="8" spans="1:19" ht="30" customHeight="1">
      <c r="A8" s="169">
        <v>21201</v>
      </c>
      <c r="B8" s="66" t="s">
        <v>157</v>
      </c>
      <c r="C8" s="66">
        <v>10000000</v>
      </c>
      <c r="D8" s="66">
        <v>10000000</v>
      </c>
      <c r="E8" s="66">
        <v>10000000</v>
      </c>
      <c r="F8" s="66">
        <v>10000000</v>
      </c>
      <c r="G8" s="66">
        <v>12000000</v>
      </c>
      <c r="H8" s="66">
        <v>15000000</v>
      </c>
      <c r="I8" s="66">
        <v>11172000</v>
      </c>
      <c r="J8" s="66">
        <v>15000000</v>
      </c>
      <c r="K8" s="66"/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100">
        <f t="shared" si="0"/>
        <v>0</v>
      </c>
      <c r="S8" s="439"/>
    </row>
    <row r="9" spans="1:19" ht="30" customHeight="1">
      <c r="A9" s="169">
        <v>21202</v>
      </c>
      <c r="B9" s="66" t="s">
        <v>154</v>
      </c>
      <c r="C9" s="66">
        <v>620352000</v>
      </c>
      <c r="D9" s="66">
        <v>558316800</v>
      </c>
      <c r="E9" s="66">
        <v>620352000</v>
      </c>
      <c r="F9" s="66">
        <v>853072500</v>
      </c>
      <c r="G9" s="66">
        <v>784056000</v>
      </c>
      <c r="H9" s="66">
        <v>862340976</v>
      </c>
      <c r="I9" s="66">
        <f>1037170800+60051600</f>
        <v>1097222400</v>
      </c>
      <c r="J9" s="66">
        <v>1565405478</v>
      </c>
      <c r="K9" s="66"/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100">
        <f t="shared" si="0"/>
        <v>0</v>
      </c>
    </row>
    <row r="10" spans="1:19" ht="30" customHeight="1">
      <c r="A10" s="169">
        <v>21203</v>
      </c>
      <c r="B10" s="66" t="s">
        <v>158</v>
      </c>
      <c r="C10" s="66"/>
      <c r="D10" s="66"/>
      <c r="E10" s="66"/>
      <c r="F10" s="66"/>
      <c r="G10" s="66"/>
      <c r="H10" s="66">
        <v>0</v>
      </c>
      <c r="I10" s="66">
        <f>75255375+5240625</f>
        <v>80496000</v>
      </c>
      <c r="J10" s="66">
        <v>94711500</v>
      </c>
      <c r="K10" s="66"/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100">
        <f t="shared" si="0"/>
        <v>0</v>
      </c>
    </row>
    <row r="11" spans="1:19" ht="30" customHeight="1">
      <c r="A11" s="169"/>
      <c r="B11" s="106" t="s">
        <v>59</v>
      </c>
      <c r="C11" s="66"/>
      <c r="D11" s="66"/>
      <c r="E11" s="66"/>
      <c r="F11" s="66"/>
      <c r="G11" s="66"/>
      <c r="H11" s="66">
        <v>0</v>
      </c>
      <c r="I11" s="66">
        <f>30000000+2089136</f>
        <v>32089136</v>
      </c>
      <c r="J11" s="66">
        <v>32089136</v>
      </c>
      <c r="K11" s="106">
        <f t="shared" ref="K11:P11" si="1">SUM(K4:K10)</f>
        <v>5888785600</v>
      </c>
      <c r="L11" s="106">
        <f t="shared" si="1"/>
        <v>5888785600</v>
      </c>
      <c r="M11" s="106">
        <f t="shared" si="1"/>
        <v>14513580800</v>
      </c>
      <c r="N11" s="106">
        <f t="shared" si="1"/>
        <v>14513580800</v>
      </c>
      <c r="O11" s="106">
        <f t="shared" si="1"/>
        <v>14329001600</v>
      </c>
      <c r="P11" s="106">
        <f t="shared" si="1"/>
        <v>16813163520</v>
      </c>
      <c r="Q11" s="106">
        <f>SUM(Q4:Q10)</f>
        <v>19544071040</v>
      </c>
      <c r="R11" s="105">
        <f t="shared" si="0"/>
        <v>2730907520</v>
      </c>
    </row>
    <row r="12" spans="1:19" ht="30" customHeight="1">
      <c r="A12" s="249">
        <v>220</v>
      </c>
      <c r="B12" s="106" t="s">
        <v>159</v>
      </c>
      <c r="C12" s="66">
        <v>494272000</v>
      </c>
      <c r="D12" s="66">
        <v>547031750</v>
      </c>
      <c r="E12" s="66">
        <v>547031750</v>
      </c>
      <c r="F12" s="66">
        <v>1022000000</v>
      </c>
      <c r="G12" s="66">
        <v>1460000000</v>
      </c>
      <c r="H12" s="66">
        <v>1460000000</v>
      </c>
      <c r="I12" s="66">
        <v>3650000000</v>
      </c>
      <c r="J12" s="66">
        <v>4117500000</v>
      </c>
      <c r="K12" s="66"/>
      <c r="L12" s="66"/>
      <c r="M12" s="66"/>
      <c r="N12" s="66"/>
      <c r="O12" s="66"/>
      <c r="P12" s="66"/>
      <c r="Q12" s="66"/>
      <c r="R12" s="100">
        <f t="shared" si="0"/>
        <v>0</v>
      </c>
    </row>
    <row r="13" spans="1:19" ht="30" customHeight="1">
      <c r="A13" s="249">
        <v>2210</v>
      </c>
      <c r="B13" s="106" t="s">
        <v>160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00">
        <f t="shared" si="0"/>
        <v>0</v>
      </c>
    </row>
    <row r="14" spans="1:19" ht="30" customHeight="1">
      <c r="A14" s="169">
        <v>22101</v>
      </c>
      <c r="B14" s="66" t="s">
        <v>14</v>
      </c>
      <c r="C14" s="66">
        <v>180000000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20000000</v>
      </c>
      <c r="L14" s="66">
        <v>20000000</v>
      </c>
      <c r="M14" s="66">
        <f>20000000*70%</f>
        <v>14000000</v>
      </c>
      <c r="N14" s="66">
        <f>20000000*70%</f>
        <v>14000000</v>
      </c>
      <c r="O14" s="66">
        <f>20000000*70%</f>
        <v>14000000</v>
      </c>
      <c r="P14" s="66">
        <f>20000000*70%</f>
        <v>14000000</v>
      </c>
      <c r="Q14" s="66">
        <f>20000000*70%</f>
        <v>14000000</v>
      </c>
      <c r="R14" s="100">
        <f t="shared" si="0"/>
        <v>0</v>
      </c>
    </row>
    <row r="15" spans="1:19" s="306" customFormat="1" ht="30" customHeight="1">
      <c r="A15" s="169">
        <v>22104</v>
      </c>
      <c r="B15" s="66" t="s">
        <v>116</v>
      </c>
      <c r="C15" s="106">
        <f t="shared" ref="C15:J15" si="2">SUM(C7:C14)</f>
        <v>1317401300</v>
      </c>
      <c r="D15" s="106">
        <f t="shared" si="2"/>
        <v>1138125900</v>
      </c>
      <c r="E15" s="106">
        <f t="shared" si="2"/>
        <v>1200161100</v>
      </c>
      <c r="F15" s="106">
        <f t="shared" si="2"/>
        <v>1907849850</v>
      </c>
      <c r="G15" s="106">
        <f t="shared" si="2"/>
        <v>2288056000</v>
      </c>
      <c r="H15" s="106">
        <f t="shared" si="2"/>
        <v>2377340976</v>
      </c>
      <c r="I15" s="106">
        <f t="shared" si="2"/>
        <v>4900771536</v>
      </c>
      <c r="J15" s="106">
        <f t="shared" si="2"/>
        <v>5859706114</v>
      </c>
      <c r="K15" s="66">
        <v>25000000</v>
      </c>
      <c r="L15" s="66">
        <v>25000000</v>
      </c>
      <c r="M15" s="66">
        <f>25000000*70%</f>
        <v>17500000</v>
      </c>
      <c r="N15" s="66">
        <f>25000000*70%</f>
        <v>17500000</v>
      </c>
      <c r="O15" s="66">
        <f>25000000*70%</f>
        <v>17500000</v>
      </c>
      <c r="P15" s="66">
        <f>25000000*70%</f>
        <v>17500000</v>
      </c>
      <c r="Q15" s="66">
        <f>25000000*70%</f>
        <v>17500000</v>
      </c>
      <c r="R15" s="100">
        <f t="shared" si="0"/>
        <v>0</v>
      </c>
    </row>
    <row r="16" spans="1:19" ht="30" customHeight="1">
      <c r="A16" s="169">
        <v>22105</v>
      </c>
      <c r="B16" s="66" t="s">
        <v>93</v>
      </c>
      <c r="C16" s="66"/>
      <c r="D16" s="66"/>
      <c r="E16" s="66"/>
      <c r="F16" s="66"/>
      <c r="G16" s="66"/>
      <c r="H16" s="66"/>
      <c r="I16" s="66"/>
      <c r="J16" s="66"/>
      <c r="K16" s="66">
        <v>15000000</v>
      </c>
      <c r="L16" s="66">
        <v>15000000</v>
      </c>
      <c r="M16" s="66">
        <f>15000000*70%</f>
        <v>10500000</v>
      </c>
      <c r="N16" s="66">
        <f>15000000*70%</f>
        <v>10500000</v>
      </c>
      <c r="O16" s="66">
        <f>15000000*70%</f>
        <v>10500000</v>
      </c>
      <c r="P16" s="66">
        <f>15000000*70%</f>
        <v>10500000</v>
      </c>
      <c r="Q16" s="66">
        <f>15000000*70%</f>
        <v>10500000</v>
      </c>
      <c r="R16" s="100">
        <f t="shared" si="0"/>
        <v>0</v>
      </c>
    </row>
    <row r="17" spans="1:18" ht="30" customHeight="1">
      <c r="A17" s="169">
        <v>22106</v>
      </c>
      <c r="B17" s="66" t="s">
        <v>434</v>
      </c>
      <c r="C17" s="66">
        <v>20000000</v>
      </c>
      <c r="D17" s="66">
        <v>20000000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20000000</v>
      </c>
      <c r="L17" s="66">
        <v>20000000</v>
      </c>
      <c r="M17" s="66">
        <f>20000000*70%</f>
        <v>14000000</v>
      </c>
      <c r="N17" s="66">
        <v>100000000</v>
      </c>
      <c r="O17" s="66">
        <v>100000000</v>
      </c>
      <c r="P17" s="66">
        <v>100000000</v>
      </c>
      <c r="Q17" s="66">
        <v>100000000</v>
      </c>
      <c r="R17" s="100">
        <f t="shared" si="0"/>
        <v>0</v>
      </c>
    </row>
    <row r="18" spans="1:18" ht="30" customHeight="1">
      <c r="A18" s="169">
        <v>22107</v>
      </c>
      <c r="B18" s="66" t="s">
        <v>30</v>
      </c>
      <c r="C18" s="66">
        <v>40000000</v>
      </c>
      <c r="D18" s="66">
        <v>20000000</v>
      </c>
      <c r="E18" s="66">
        <v>20000000</v>
      </c>
      <c r="F18" s="66">
        <v>20000000</v>
      </c>
      <c r="G18" s="66">
        <v>24000000</v>
      </c>
      <c r="H18" s="66">
        <v>30000000</v>
      </c>
      <c r="I18" s="66">
        <v>33516000</v>
      </c>
      <c r="J18" s="66">
        <v>40000000</v>
      </c>
      <c r="K18" s="66">
        <v>30000000</v>
      </c>
      <c r="L18" s="66">
        <v>30000000</v>
      </c>
      <c r="M18" s="66">
        <f>30000000*70%</f>
        <v>21000000</v>
      </c>
      <c r="N18" s="66">
        <v>14700000</v>
      </c>
      <c r="O18" s="66">
        <v>14700000</v>
      </c>
      <c r="P18" s="66">
        <v>14700000</v>
      </c>
      <c r="Q18" s="66">
        <v>14700000</v>
      </c>
      <c r="R18" s="100">
        <f t="shared" si="0"/>
        <v>0</v>
      </c>
    </row>
    <row r="19" spans="1:18" ht="30" customHeight="1">
      <c r="A19" s="169">
        <v>22108</v>
      </c>
      <c r="B19" s="66" t="s">
        <v>60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100000000</v>
      </c>
      <c r="I19" s="66">
        <v>0</v>
      </c>
      <c r="J19" s="66">
        <v>153000000</v>
      </c>
      <c r="K19" s="66">
        <v>30000000</v>
      </c>
      <c r="L19" s="66">
        <v>30000000</v>
      </c>
      <c r="M19" s="66">
        <f>30000000*70%</f>
        <v>21000000</v>
      </c>
      <c r="N19" s="66">
        <v>14700000</v>
      </c>
      <c r="O19" s="66">
        <v>14700000</v>
      </c>
      <c r="P19" s="66">
        <v>14700000</v>
      </c>
      <c r="Q19" s="66">
        <v>14700000</v>
      </c>
      <c r="R19" s="100">
        <f t="shared" si="0"/>
        <v>0</v>
      </c>
    </row>
    <row r="20" spans="1:18" ht="30" customHeight="1">
      <c r="A20" s="169">
        <v>22109</v>
      </c>
      <c r="B20" s="66" t="s">
        <v>94</v>
      </c>
      <c r="C20" s="66">
        <v>10000000</v>
      </c>
      <c r="D20" s="66">
        <v>20000000</v>
      </c>
      <c r="E20" s="66">
        <v>20000000</v>
      </c>
      <c r="F20" s="66">
        <v>20000000</v>
      </c>
      <c r="G20" s="66">
        <v>16000000</v>
      </c>
      <c r="H20" s="66">
        <v>20000000</v>
      </c>
      <c r="I20" s="66">
        <v>22344000</v>
      </c>
      <c r="J20" s="66">
        <v>30000000</v>
      </c>
      <c r="K20" s="66">
        <v>10000000</v>
      </c>
      <c r="L20" s="66">
        <v>10000000</v>
      </c>
      <c r="M20" s="66">
        <f>10000000*70%</f>
        <v>7000000</v>
      </c>
      <c r="N20" s="66">
        <f>10000000*70%</f>
        <v>7000000</v>
      </c>
      <c r="O20" s="66">
        <f>10000000*70%</f>
        <v>7000000</v>
      </c>
      <c r="P20" s="66">
        <f>10000000*70%</f>
        <v>7000000</v>
      </c>
      <c r="Q20" s="66">
        <f>10000000*70%</f>
        <v>7000000</v>
      </c>
      <c r="R20" s="100">
        <f t="shared" si="0"/>
        <v>0</v>
      </c>
    </row>
    <row r="21" spans="1:18" ht="30" customHeight="1">
      <c r="A21" s="169">
        <v>22112</v>
      </c>
      <c r="B21" s="66" t="s">
        <v>16</v>
      </c>
      <c r="C21" s="66">
        <v>10000000</v>
      </c>
      <c r="D21" s="66">
        <v>20000000</v>
      </c>
      <c r="E21" s="66">
        <v>20000000</v>
      </c>
      <c r="F21" s="66">
        <v>20000000</v>
      </c>
      <c r="G21" s="66">
        <v>16000000</v>
      </c>
      <c r="H21" s="66">
        <v>20000000</v>
      </c>
      <c r="I21" s="66">
        <v>22344000</v>
      </c>
      <c r="J21" s="66">
        <v>25000000</v>
      </c>
      <c r="K21" s="66">
        <v>70000000</v>
      </c>
      <c r="L21" s="66">
        <v>70000000</v>
      </c>
      <c r="M21" s="66">
        <f>70000000*70%</f>
        <v>49000000</v>
      </c>
      <c r="N21" s="66">
        <v>109000000</v>
      </c>
      <c r="O21" s="66">
        <v>209000000</v>
      </c>
      <c r="P21" s="66">
        <v>299000000</v>
      </c>
      <c r="Q21" s="66">
        <v>299000000</v>
      </c>
      <c r="R21" s="100">
        <f t="shared" si="0"/>
        <v>0</v>
      </c>
    </row>
    <row r="22" spans="1:18" ht="30" customHeight="1">
      <c r="A22" s="169">
        <v>22116</v>
      </c>
      <c r="B22" s="66" t="s">
        <v>202</v>
      </c>
      <c r="C22" s="66"/>
      <c r="D22" s="66"/>
      <c r="E22" s="66"/>
      <c r="F22" s="66"/>
      <c r="G22" s="66"/>
      <c r="H22" s="66"/>
      <c r="I22" s="66"/>
      <c r="J22" s="66"/>
      <c r="K22" s="66">
        <v>30000000</v>
      </c>
      <c r="L22" s="66">
        <v>30000000</v>
      </c>
      <c r="M22" s="66">
        <f>30000000*70%</f>
        <v>21000000</v>
      </c>
      <c r="N22" s="66">
        <v>81000000</v>
      </c>
      <c r="O22" s="66">
        <v>100000000</v>
      </c>
      <c r="P22" s="66">
        <v>100000000</v>
      </c>
      <c r="Q22" s="66">
        <v>100000000</v>
      </c>
      <c r="R22" s="100">
        <f t="shared" si="0"/>
        <v>0</v>
      </c>
    </row>
    <row r="23" spans="1:18" s="306" customFormat="1" ht="30" customHeight="1">
      <c r="A23" s="169">
        <v>22132</v>
      </c>
      <c r="B23" s="66" t="s">
        <v>144</v>
      </c>
      <c r="C23" s="106"/>
      <c r="D23" s="106"/>
      <c r="E23" s="106"/>
      <c r="F23" s="106"/>
      <c r="G23" s="106"/>
      <c r="H23" s="106"/>
      <c r="I23" s="106"/>
      <c r="J23" s="106"/>
      <c r="K23" s="66">
        <v>445775100</v>
      </c>
      <c r="L23" s="66">
        <v>445775100</v>
      </c>
      <c r="M23" s="66">
        <f>445775100</f>
        <v>445775100</v>
      </c>
      <c r="N23" s="66">
        <v>0</v>
      </c>
      <c r="O23" s="66">
        <v>0</v>
      </c>
      <c r="P23" s="66">
        <v>0</v>
      </c>
      <c r="Q23" s="66">
        <v>0</v>
      </c>
      <c r="R23" s="100">
        <f t="shared" si="0"/>
        <v>0</v>
      </c>
    </row>
    <row r="24" spans="1:18" ht="30" customHeight="1">
      <c r="A24" s="169">
        <v>22138</v>
      </c>
      <c r="B24" s="66" t="s">
        <v>203</v>
      </c>
      <c r="C24" s="66">
        <v>0</v>
      </c>
      <c r="D24" s="66">
        <v>4000000</v>
      </c>
      <c r="E24" s="66">
        <v>4000000</v>
      </c>
      <c r="F24" s="66">
        <v>4000000</v>
      </c>
      <c r="G24" s="66">
        <v>4000000</v>
      </c>
      <c r="H24" s="66">
        <v>5000000</v>
      </c>
      <c r="I24" s="66">
        <v>7448000</v>
      </c>
      <c r="J24" s="66">
        <v>12000000</v>
      </c>
      <c r="K24" s="66">
        <v>290000000</v>
      </c>
      <c r="L24" s="66">
        <v>290000000</v>
      </c>
      <c r="M24" s="66">
        <v>290000000</v>
      </c>
      <c r="N24" s="66">
        <v>356250000</v>
      </c>
      <c r="O24" s="66">
        <v>290000000</v>
      </c>
      <c r="P24" s="66">
        <v>290000000</v>
      </c>
      <c r="Q24" s="66">
        <v>290000000</v>
      </c>
      <c r="R24" s="100">
        <f t="shared" si="0"/>
        <v>0</v>
      </c>
    </row>
    <row r="25" spans="1:18" ht="30" customHeight="1">
      <c r="A25" s="169">
        <v>22141</v>
      </c>
      <c r="B25" s="66" t="s">
        <v>381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>
        <v>0</v>
      </c>
      <c r="N25" s="66">
        <v>791096466</v>
      </c>
      <c r="O25" s="66">
        <v>1399762942</v>
      </c>
      <c r="P25" s="66">
        <v>1881553110</v>
      </c>
      <c r="Q25" s="66">
        <v>0</v>
      </c>
      <c r="R25" s="100">
        <f t="shared" si="0"/>
        <v>-1881553110</v>
      </c>
    </row>
    <row r="26" spans="1:18" ht="30" customHeight="1">
      <c r="A26" s="169"/>
      <c r="B26" s="106" t="s">
        <v>59</v>
      </c>
      <c r="C26" s="66">
        <v>4000000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106">
        <f>SUM(K14:K24)</f>
        <v>985775100</v>
      </c>
      <c r="L26" s="106">
        <f>SUM(L14:L24)</f>
        <v>985775100</v>
      </c>
      <c r="M26" s="106">
        <f>SUM(M14:M24)</f>
        <v>910775100</v>
      </c>
      <c r="N26" s="106">
        <f>SUM(N14:N25)</f>
        <v>1515746466</v>
      </c>
      <c r="O26" s="106">
        <f>SUM(O14:O25)</f>
        <v>2177162942</v>
      </c>
      <c r="P26" s="106">
        <f>SUM(P14:P25)</f>
        <v>2748953110</v>
      </c>
      <c r="Q26" s="106">
        <f>SUM(Q14:Q25)</f>
        <v>867400000</v>
      </c>
      <c r="R26" s="105">
        <f t="shared" si="0"/>
        <v>-1881553110</v>
      </c>
    </row>
    <row r="27" spans="1:18" ht="30" customHeight="1">
      <c r="A27" s="249">
        <v>2220</v>
      </c>
      <c r="B27" s="106" t="s">
        <v>161</v>
      </c>
      <c r="C27" s="66">
        <v>4000000</v>
      </c>
      <c r="D27" s="66">
        <v>24000000</v>
      </c>
      <c r="E27" s="66">
        <v>24000000</v>
      </c>
      <c r="F27" s="66">
        <v>24000000</v>
      </c>
      <c r="G27" s="66">
        <v>19200000</v>
      </c>
      <c r="H27" s="66">
        <v>24000000</v>
      </c>
      <c r="I27" s="66">
        <v>17875200</v>
      </c>
      <c r="J27" s="66">
        <v>30000000</v>
      </c>
      <c r="K27" s="66"/>
      <c r="L27" s="66"/>
      <c r="M27" s="66"/>
      <c r="N27" s="66"/>
      <c r="O27" s="66"/>
      <c r="P27" s="66"/>
      <c r="Q27" s="66"/>
      <c r="R27" s="100">
        <f t="shared" si="0"/>
        <v>0</v>
      </c>
    </row>
    <row r="28" spans="1:18" ht="30" customHeight="1">
      <c r="A28" s="169">
        <v>22201</v>
      </c>
      <c r="B28" s="66" t="s">
        <v>90</v>
      </c>
      <c r="C28" s="66">
        <v>0</v>
      </c>
      <c r="D28" s="66">
        <v>0</v>
      </c>
      <c r="E28" s="66">
        <v>0</v>
      </c>
      <c r="F28" s="66">
        <v>0</v>
      </c>
      <c r="G28" s="66">
        <v>2400000</v>
      </c>
      <c r="H28" s="66">
        <v>3000000</v>
      </c>
      <c r="I28" s="66">
        <v>7448000</v>
      </c>
      <c r="J28" s="66">
        <v>10000000</v>
      </c>
      <c r="K28" s="66"/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100">
        <f t="shared" si="0"/>
        <v>0</v>
      </c>
    </row>
    <row r="29" spans="1:18" ht="30" customHeight="1">
      <c r="A29" s="169">
        <v>22202</v>
      </c>
      <c r="B29" s="66" t="s">
        <v>91</v>
      </c>
      <c r="C29" s="66"/>
      <c r="D29" s="66"/>
      <c r="E29" s="66"/>
      <c r="F29" s="66"/>
      <c r="G29" s="66"/>
      <c r="H29" s="66"/>
      <c r="I29" s="66"/>
      <c r="J29" s="66"/>
      <c r="K29" s="66">
        <v>500000000</v>
      </c>
      <c r="L29" s="66">
        <v>500000000</v>
      </c>
      <c r="M29" s="66">
        <f>1089530000</f>
        <v>1089530000</v>
      </c>
      <c r="N29" s="66">
        <v>1171624000</v>
      </c>
      <c r="O29" s="66">
        <v>1271624000</v>
      </c>
      <c r="P29" s="66">
        <v>1271624000</v>
      </c>
      <c r="Q29" s="66">
        <v>1271624000</v>
      </c>
      <c r="R29" s="100">
        <f t="shared" si="0"/>
        <v>0</v>
      </c>
    </row>
    <row r="30" spans="1:18" ht="30" customHeight="1">
      <c r="A30" s="169">
        <v>22203</v>
      </c>
      <c r="B30" s="66" t="s">
        <v>85</v>
      </c>
      <c r="C30" s="66">
        <v>0</v>
      </c>
      <c r="D30" s="66">
        <v>4000000</v>
      </c>
      <c r="E30" s="66">
        <v>4000000</v>
      </c>
      <c r="F30" s="66">
        <v>4000000</v>
      </c>
      <c r="G30" s="66">
        <v>4800000</v>
      </c>
      <c r="H30" s="66">
        <v>6000000</v>
      </c>
      <c r="I30" s="66">
        <v>11916800</v>
      </c>
      <c r="J30" s="66">
        <v>10000000</v>
      </c>
      <c r="K30" s="66">
        <v>45000000</v>
      </c>
      <c r="L30" s="66">
        <v>45000000</v>
      </c>
      <c r="M30" s="66">
        <f>45000000*70%</f>
        <v>31499999.999999996</v>
      </c>
      <c r="N30" s="66">
        <f>45000000*70%</f>
        <v>31499999.999999996</v>
      </c>
      <c r="O30" s="66">
        <v>41500000</v>
      </c>
      <c r="P30" s="66">
        <v>41500000</v>
      </c>
      <c r="Q30" s="66">
        <v>41500000</v>
      </c>
      <c r="R30" s="100">
        <f t="shared" si="0"/>
        <v>0</v>
      </c>
    </row>
    <row r="31" spans="1:18" ht="30" customHeight="1">
      <c r="A31" s="169">
        <v>22204</v>
      </c>
      <c r="B31" s="66" t="s">
        <v>86</v>
      </c>
      <c r="C31" s="66">
        <v>4000000</v>
      </c>
      <c r="D31" s="66">
        <v>0</v>
      </c>
      <c r="E31" s="66">
        <v>0</v>
      </c>
      <c r="F31" s="66">
        <v>0</v>
      </c>
      <c r="G31" s="66">
        <v>0</v>
      </c>
      <c r="H31" s="66">
        <v>20000000</v>
      </c>
      <c r="I31" s="66">
        <v>14896000</v>
      </c>
      <c r="J31" s="66">
        <v>25000000</v>
      </c>
      <c r="K31" s="66">
        <v>30000000</v>
      </c>
      <c r="L31" s="66">
        <v>30000000</v>
      </c>
      <c r="M31" s="66">
        <f>30000000*70%</f>
        <v>21000000</v>
      </c>
      <c r="N31" s="66">
        <f>30000000*70%</f>
        <v>21000000</v>
      </c>
      <c r="O31" s="66">
        <f>30000000*70%</f>
        <v>21000000</v>
      </c>
      <c r="P31" s="66">
        <f>30000000*70%</f>
        <v>21000000</v>
      </c>
      <c r="Q31" s="66">
        <f>30000000*70%</f>
        <v>21000000</v>
      </c>
      <c r="R31" s="100">
        <f t="shared" si="0"/>
        <v>0</v>
      </c>
    </row>
    <row r="32" spans="1:18" ht="30" customHeight="1">
      <c r="A32" s="169">
        <v>22208</v>
      </c>
      <c r="B32" s="133" t="s">
        <v>459</v>
      </c>
      <c r="C32" s="116"/>
      <c r="D32" s="116"/>
      <c r="E32" s="116"/>
      <c r="F32" s="116"/>
      <c r="G32" s="116"/>
      <c r="H32" s="116"/>
      <c r="I32" s="116"/>
      <c r="J32" s="116"/>
      <c r="K32" s="133">
        <v>9622278136</v>
      </c>
      <c r="L32" s="116">
        <v>9622278136</v>
      </c>
      <c r="M32" s="116">
        <v>11364120000</v>
      </c>
      <c r="N32" s="116">
        <v>11578259440</v>
      </c>
      <c r="O32" s="116">
        <v>11521883440</v>
      </c>
      <c r="P32" s="116">
        <v>11521883440</v>
      </c>
      <c r="Q32" s="116">
        <v>12423901126</v>
      </c>
      <c r="R32" s="100">
        <f t="shared" si="0"/>
        <v>902017686</v>
      </c>
    </row>
    <row r="33" spans="1:18" ht="30" customHeight="1">
      <c r="A33" s="169">
        <v>22209</v>
      </c>
      <c r="B33" s="133" t="s">
        <v>435</v>
      </c>
      <c r="C33" s="116"/>
      <c r="D33" s="116"/>
      <c r="E33" s="116"/>
      <c r="F33" s="116"/>
      <c r="G33" s="116"/>
      <c r="H33" s="116"/>
      <c r="I33" s="116"/>
      <c r="J33" s="116"/>
      <c r="K33" s="133"/>
      <c r="L33" s="116"/>
      <c r="M33" s="116"/>
      <c r="N33" s="116">
        <v>80000000</v>
      </c>
      <c r="O33" s="116">
        <v>100000000</v>
      </c>
      <c r="P33" s="116">
        <v>100000000</v>
      </c>
      <c r="Q33" s="116">
        <v>100000000</v>
      </c>
      <c r="R33" s="100">
        <f t="shared" si="0"/>
        <v>0</v>
      </c>
    </row>
    <row r="34" spans="1:18" ht="30" customHeight="1">
      <c r="A34" s="169">
        <v>22210</v>
      </c>
      <c r="B34" s="133" t="s">
        <v>178</v>
      </c>
      <c r="C34" s="133">
        <v>4000000</v>
      </c>
      <c r="D34" s="133">
        <v>0</v>
      </c>
      <c r="E34" s="133">
        <v>0</v>
      </c>
      <c r="F34" s="133">
        <v>0</v>
      </c>
      <c r="G34" s="133">
        <v>0</v>
      </c>
      <c r="H34" s="133">
        <v>30000000</v>
      </c>
      <c r="I34" s="133">
        <v>22344000</v>
      </c>
      <c r="J34" s="133">
        <v>22344000</v>
      </c>
      <c r="K34" s="133">
        <v>40000000</v>
      </c>
      <c r="L34" s="133">
        <v>40000000</v>
      </c>
      <c r="M34" s="133">
        <f>611180000*70%</f>
        <v>427826000</v>
      </c>
      <c r="N34" s="133">
        <f>611180000*70%</f>
        <v>427826000</v>
      </c>
      <c r="O34" s="133">
        <f>611180000*70%</f>
        <v>427826000</v>
      </c>
      <c r="P34" s="133">
        <f>611180000*70%</f>
        <v>427826000</v>
      </c>
      <c r="Q34" s="133">
        <f>611180000*70%</f>
        <v>427826000</v>
      </c>
      <c r="R34" s="100">
        <f t="shared" si="0"/>
        <v>0</v>
      </c>
    </row>
    <row r="35" spans="1:18" ht="30" customHeight="1">
      <c r="A35" s="169">
        <v>22216</v>
      </c>
      <c r="B35" s="133" t="s">
        <v>248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>
        <v>65000000</v>
      </c>
      <c r="M35" s="116">
        <f>65000000*70%</f>
        <v>45500000</v>
      </c>
      <c r="N35" s="116">
        <v>80000000</v>
      </c>
      <c r="O35" s="116">
        <v>80000000</v>
      </c>
      <c r="P35" s="116">
        <v>80000000</v>
      </c>
      <c r="Q35" s="116">
        <v>80000000</v>
      </c>
      <c r="R35" s="100">
        <f t="shared" si="0"/>
        <v>0</v>
      </c>
    </row>
    <row r="36" spans="1:18" ht="30" customHeight="1">
      <c r="A36" s="169"/>
      <c r="B36" s="142" t="s">
        <v>59</v>
      </c>
      <c r="C36" s="116"/>
      <c r="D36" s="116"/>
      <c r="E36" s="116"/>
      <c r="F36" s="116"/>
      <c r="G36" s="116"/>
      <c r="H36" s="116"/>
      <c r="I36" s="116"/>
      <c r="J36" s="116"/>
      <c r="K36" s="117">
        <f ca="1">SUM(K29:K45)</f>
        <v>10267278136</v>
      </c>
      <c r="L36" s="117">
        <f t="shared" ref="L36:P36" si="3">SUM(L28:L35)</f>
        <v>10302278136</v>
      </c>
      <c r="M36" s="117">
        <f t="shared" si="3"/>
        <v>12979476000</v>
      </c>
      <c r="N36" s="117">
        <f t="shared" si="3"/>
        <v>13390209440</v>
      </c>
      <c r="O36" s="117">
        <f t="shared" si="3"/>
        <v>13463833440</v>
      </c>
      <c r="P36" s="117">
        <f t="shared" si="3"/>
        <v>13463833440</v>
      </c>
      <c r="Q36" s="117">
        <f>SUM(Q28:Q35)</f>
        <v>14365851126</v>
      </c>
      <c r="R36" s="105">
        <f t="shared" si="0"/>
        <v>902017686</v>
      </c>
    </row>
    <row r="37" spans="1:18" ht="30" customHeight="1">
      <c r="A37" s="249">
        <v>2230</v>
      </c>
      <c r="B37" s="142" t="s">
        <v>88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00">
        <f t="shared" si="0"/>
        <v>0</v>
      </c>
    </row>
    <row r="38" spans="1:18" ht="30" customHeight="1">
      <c r="A38" s="169">
        <v>22301</v>
      </c>
      <c r="B38" s="133" t="s">
        <v>31</v>
      </c>
      <c r="C38" s="116"/>
      <c r="D38" s="116"/>
      <c r="E38" s="116"/>
      <c r="F38" s="116"/>
      <c r="G38" s="116"/>
      <c r="H38" s="116"/>
      <c r="I38" s="116"/>
      <c r="J38" s="116"/>
      <c r="K38" s="116">
        <v>100000000</v>
      </c>
      <c r="L38" s="116">
        <v>100000000</v>
      </c>
      <c r="M38" s="116">
        <f>135000000*70%+103596470</f>
        <v>198096470</v>
      </c>
      <c r="N38" s="116">
        <v>278096470</v>
      </c>
      <c r="O38" s="116">
        <v>308096470</v>
      </c>
      <c r="P38" s="116">
        <v>408096470</v>
      </c>
      <c r="Q38" s="116">
        <v>408096470</v>
      </c>
      <c r="R38" s="100">
        <f t="shared" si="0"/>
        <v>0</v>
      </c>
    </row>
    <row r="39" spans="1:18" ht="30" customHeight="1">
      <c r="A39" s="169">
        <v>22302</v>
      </c>
      <c r="B39" s="133" t="s">
        <v>162</v>
      </c>
      <c r="C39" s="116"/>
      <c r="D39" s="116"/>
      <c r="E39" s="116"/>
      <c r="F39" s="116"/>
      <c r="G39" s="116"/>
      <c r="H39" s="116"/>
      <c r="I39" s="116"/>
      <c r="J39" s="116"/>
      <c r="K39" s="116">
        <v>15000000</v>
      </c>
      <c r="L39" s="116">
        <v>15000000</v>
      </c>
      <c r="M39" s="116">
        <f>15000000*70%</f>
        <v>10500000</v>
      </c>
      <c r="N39" s="116">
        <f>15000000*70%</f>
        <v>10500000</v>
      </c>
      <c r="O39" s="116">
        <f>15000000*70%</f>
        <v>10500000</v>
      </c>
      <c r="P39" s="116">
        <f>15000000*70%</f>
        <v>10500000</v>
      </c>
      <c r="Q39" s="116">
        <f>15000000*70%</f>
        <v>10500000</v>
      </c>
      <c r="R39" s="100">
        <f t="shared" si="0"/>
        <v>0</v>
      </c>
    </row>
    <row r="40" spans="1:18" ht="30" customHeight="1">
      <c r="A40" s="169"/>
      <c r="B40" s="142" t="s">
        <v>59</v>
      </c>
      <c r="C40" s="116"/>
      <c r="D40" s="116"/>
      <c r="E40" s="116"/>
      <c r="F40" s="116"/>
      <c r="G40" s="116"/>
      <c r="H40" s="116"/>
      <c r="I40" s="116"/>
      <c r="J40" s="116"/>
      <c r="K40" s="117">
        <f t="shared" ref="K40:P40" si="4">SUM(K38:K39)</f>
        <v>115000000</v>
      </c>
      <c r="L40" s="117">
        <f t="shared" si="4"/>
        <v>115000000</v>
      </c>
      <c r="M40" s="117">
        <f t="shared" si="4"/>
        <v>208596470</v>
      </c>
      <c r="N40" s="117">
        <f t="shared" si="4"/>
        <v>288596470</v>
      </c>
      <c r="O40" s="117">
        <f t="shared" si="4"/>
        <v>318596470</v>
      </c>
      <c r="P40" s="117">
        <f t="shared" si="4"/>
        <v>418596470</v>
      </c>
      <c r="Q40" s="117">
        <f>SUM(Q38:Q39)</f>
        <v>418596470</v>
      </c>
      <c r="R40" s="105">
        <f t="shared" si="0"/>
        <v>0</v>
      </c>
    </row>
    <row r="41" spans="1:18" ht="30" customHeight="1">
      <c r="A41" s="249">
        <v>230</v>
      </c>
      <c r="B41" s="142" t="s">
        <v>165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00">
        <f t="shared" si="0"/>
        <v>0</v>
      </c>
    </row>
    <row r="42" spans="1:18" ht="30" customHeight="1">
      <c r="A42" s="249">
        <v>2310</v>
      </c>
      <c r="B42" s="142" t="s">
        <v>164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00">
        <f t="shared" si="0"/>
        <v>0</v>
      </c>
    </row>
    <row r="43" spans="1:18" ht="30" customHeight="1">
      <c r="A43" s="169">
        <v>23101</v>
      </c>
      <c r="B43" s="133" t="s">
        <v>172</v>
      </c>
      <c r="C43" s="116"/>
      <c r="D43" s="116"/>
      <c r="E43" s="116"/>
      <c r="F43" s="116"/>
      <c r="G43" s="116"/>
      <c r="H43" s="116"/>
      <c r="I43" s="116"/>
      <c r="J43" s="116"/>
      <c r="K43" s="116">
        <v>30000000</v>
      </c>
      <c r="L43" s="116">
        <v>0</v>
      </c>
      <c r="M43" s="116">
        <v>0</v>
      </c>
      <c r="N43" s="66">
        <v>0</v>
      </c>
      <c r="O43" s="66">
        <v>0</v>
      </c>
      <c r="P43" s="66">
        <v>0</v>
      </c>
      <c r="Q43" s="66">
        <v>0</v>
      </c>
      <c r="R43" s="100">
        <f t="shared" si="0"/>
        <v>0</v>
      </c>
    </row>
    <row r="44" spans="1:18" ht="30" customHeight="1">
      <c r="A44" s="169">
        <v>23102</v>
      </c>
      <c r="B44" s="133" t="s">
        <v>173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>
        <v>0</v>
      </c>
      <c r="M44" s="116">
        <v>264000000</v>
      </c>
      <c r="N44" s="66">
        <v>0</v>
      </c>
      <c r="O44" s="66">
        <v>185000000</v>
      </c>
      <c r="P44" s="66">
        <v>0</v>
      </c>
      <c r="Q44" s="66">
        <v>0</v>
      </c>
      <c r="R44" s="100">
        <f t="shared" si="0"/>
        <v>0</v>
      </c>
    </row>
    <row r="45" spans="1:18" ht="30" customHeight="1">
      <c r="A45" s="169">
        <v>23105</v>
      </c>
      <c r="B45" s="133" t="s">
        <v>815</v>
      </c>
      <c r="C45" s="116"/>
      <c r="D45" s="116"/>
      <c r="E45" s="116"/>
      <c r="F45" s="116"/>
      <c r="G45" s="116"/>
      <c r="H45" s="116"/>
      <c r="I45" s="116"/>
      <c r="J45" s="116"/>
      <c r="K45" s="116">
        <v>30000000</v>
      </c>
      <c r="L45" s="116">
        <v>30000000</v>
      </c>
      <c r="M45" s="116">
        <f>30000000*70%</f>
        <v>21000000</v>
      </c>
      <c r="N45" s="116">
        <f>30000000*70%</f>
        <v>21000000</v>
      </c>
      <c r="O45" s="116">
        <f>30000000*70%</f>
        <v>21000000</v>
      </c>
      <c r="P45" s="116">
        <f>30000000*70%</f>
        <v>21000000</v>
      </c>
      <c r="Q45" s="116">
        <f>30000000*70%</f>
        <v>21000000</v>
      </c>
      <c r="R45" s="100">
        <f t="shared" si="0"/>
        <v>0</v>
      </c>
    </row>
    <row r="46" spans="1:18" ht="30" customHeight="1">
      <c r="A46" s="169"/>
      <c r="B46" s="142" t="s">
        <v>59</v>
      </c>
      <c r="C46" s="116"/>
      <c r="D46" s="116"/>
      <c r="E46" s="116"/>
      <c r="F46" s="116"/>
      <c r="G46" s="116"/>
      <c r="H46" s="116"/>
      <c r="I46" s="116"/>
      <c r="J46" s="116"/>
      <c r="K46" s="117">
        <f>SUM(K43:K44)</f>
        <v>30000000</v>
      </c>
      <c r="L46" s="117">
        <f>SUM(L44:L44)</f>
        <v>0</v>
      </c>
      <c r="M46" s="117">
        <f>SUM(M43:M44)</f>
        <v>264000000</v>
      </c>
      <c r="N46" s="106">
        <f>SUM(N45)</f>
        <v>21000000</v>
      </c>
      <c r="O46" s="106">
        <f>SUM(O43:O45)</f>
        <v>206000000</v>
      </c>
      <c r="P46" s="106">
        <f>SUM(P43:P45)</f>
        <v>21000000</v>
      </c>
      <c r="Q46" s="106">
        <f>SUM(Q43:Q45)</f>
        <v>21000000</v>
      </c>
      <c r="R46" s="100">
        <f t="shared" si="0"/>
        <v>0</v>
      </c>
    </row>
    <row r="47" spans="1:18" ht="30" customHeight="1">
      <c r="A47" s="249">
        <v>2320</v>
      </c>
      <c r="B47" s="142" t="s">
        <v>875</v>
      </c>
      <c r="C47" s="116"/>
      <c r="D47" s="116"/>
      <c r="E47" s="116"/>
      <c r="F47" s="116"/>
      <c r="G47" s="116"/>
      <c r="H47" s="116"/>
      <c r="I47" s="116"/>
      <c r="J47" s="116"/>
      <c r="K47" s="117"/>
      <c r="L47" s="117"/>
      <c r="M47" s="117"/>
      <c r="N47" s="106"/>
      <c r="O47" s="106"/>
      <c r="P47" s="106"/>
      <c r="Q47" s="106"/>
      <c r="R47" s="100">
        <f t="shared" si="0"/>
        <v>0</v>
      </c>
    </row>
    <row r="48" spans="1:18" ht="30" customHeight="1">
      <c r="A48" s="169">
        <v>23201</v>
      </c>
      <c r="B48" s="133" t="s">
        <v>876</v>
      </c>
      <c r="C48" s="116"/>
      <c r="D48" s="116"/>
      <c r="E48" s="116"/>
      <c r="F48" s="116"/>
      <c r="G48" s="116"/>
      <c r="H48" s="116"/>
      <c r="I48" s="116"/>
      <c r="J48" s="116"/>
      <c r="K48" s="117"/>
      <c r="L48" s="117"/>
      <c r="M48" s="117"/>
      <c r="N48" s="106"/>
      <c r="O48" s="106"/>
      <c r="P48" s="106"/>
      <c r="Q48" s="66">
        <v>1800000000</v>
      </c>
      <c r="R48" s="100">
        <f t="shared" si="0"/>
        <v>1800000000</v>
      </c>
    </row>
    <row r="49" spans="1:18" ht="30" customHeight="1">
      <c r="A49" s="169"/>
      <c r="B49" s="142" t="s">
        <v>59</v>
      </c>
      <c r="C49" s="116"/>
      <c r="D49" s="116"/>
      <c r="E49" s="116"/>
      <c r="F49" s="116"/>
      <c r="G49" s="116"/>
      <c r="H49" s="116"/>
      <c r="I49" s="116"/>
      <c r="J49" s="116"/>
      <c r="K49" s="117"/>
      <c r="L49" s="117"/>
      <c r="M49" s="117"/>
      <c r="N49" s="106"/>
      <c r="O49" s="106"/>
      <c r="P49" s="106"/>
      <c r="Q49" s="106">
        <f>SUM(Q48)</f>
        <v>1800000000</v>
      </c>
      <c r="R49" s="105">
        <f t="shared" si="0"/>
        <v>1800000000</v>
      </c>
    </row>
    <row r="50" spans="1:18" ht="30" customHeight="1">
      <c r="A50" s="169"/>
      <c r="B50" s="142" t="s">
        <v>18</v>
      </c>
      <c r="C50" s="116"/>
      <c r="D50" s="116"/>
      <c r="E50" s="116"/>
      <c r="F50" s="116"/>
      <c r="G50" s="116"/>
      <c r="H50" s="116"/>
      <c r="I50" s="116"/>
      <c r="J50" s="116"/>
      <c r="K50" s="117">
        <f ca="1">K46+K40+K36+K26+K11</f>
        <v>17301838836</v>
      </c>
      <c r="L50" s="117" t="e">
        <f>L46+L40+L36+L26+L11+#REF!</f>
        <v>#REF!</v>
      </c>
      <c r="M50" s="117">
        <f>M46+M40+M36+M26+M11</f>
        <v>28876428370</v>
      </c>
      <c r="N50" s="106">
        <f>N46+N40+N36+N26+N11</f>
        <v>29729133176</v>
      </c>
      <c r="O50" s="106">
        <f>O46+O40+O36+O26+O11</f>
        <v>30494594452</v>
      </c>
      <c r="P50" s="106">
        <f>P46+P40+P36+P26+P11</f>
        <v>33465546540</v>
      </c>
      <c r="Q50" s="106">
        <f>Q49+Q46+Q40+Q36+Q26+Q11</f>
        <v>37016918636</v>
      </c>
      <c r="R50" s="105">
        <f t="shared" si="0"/>
        <v>3551372096</v>
      </c>
    </row>
    <row r="52" spans="1:18">
      <c r="M52" s="532"/>
    </row>
  </sheetData>
  <phoneticPr fontId="0" type="noConversion"/>
  <printOptions gridLines="1"/>
  <pageMargins left="0.7" right="0.24" top="0.75" bottom="0.45" header="0.3" footer="0.17"/>
  <pageSetup paperSize="9" scale="50" orientation="portrait" r:id="rId1"/>
  <headerFooter alignWithMargins="0">
    <oddHeader xml:space="preserve">&amp;C&amp;"Algerian,Bold"&amp;36Ciidanka Asluubta </oddHeader>
    <oddFooter>&amp;C2.2.2.8 waxaa ku jira raashinkii maxaabiista oo ah 7,300,000,000&amp;R&amp;"Times New Roman,Bold"&amp;14 16</oddFooter>
  </headerFooter>
  <colBreaks count="1" manualBreakCount="1">
    <brk id="19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60" workbookViewId="0">
      <selection activeCell="O48" sqref="O48"/>
    </sheetView>
  </sheetViews>
  <sheetFormatPr defaultRowHeight="27" customHeight="1"/>
  <cols>
    <col min="1" max="1" width="18.1640625" style="181" bestFit="1" customWidth="1"/>
    <col min="2" max="2" width="87.5" style="181" customWidth="1"/>
    <col min="3" max="10" width="9.33203125" style="181" hidden="1" customWidth="1"/>
    <col min="11" max="11" width="27.6640625" style="181" hidden="1" customWidth="1"/>
    <col min="12" max="12" width="25" style="181" hidden="1" customWidth="1"/>
    <col min="13" max="14" width="33" style="371" hidden="1" customWidth="1"/>
    <col min="15" max="15" width="29.83203125" style="371" bestFit="1" customWidth="1"/>
    <col min="16" max="16" width="29.83203125" style="371" customWidth="1"/>
    <col min="17" max="17" width="28.1640625" style="181" customWidth="1"/>
    <col min="18" max="16384" width="9.33203125" style="181"/>
  </cols>
  <sheetData>
    <row r="1" spans="1:17" ht="27" customHeight="1">
      <c r="A1" s="533" t="s">
        <v>21</v>
      </c>
      <c r="B1" s="354" t="s">
        <v>774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66"/>
      <c r="N1" s="66"/>
      <c r="O1" s="66"/>
      <c r="P1" s="66"/>
      <c r="Q1" s="266"/>
    </row>
    <row r="2" spans="1:17" ht="27" customHeight="1">
      <c r="A2" s="249">
        <v>210</v>
      </c>
      <c r="B2" s="106" t="s">
        <v>95</v>
      </c>
      <c r="C2" s="256" t="s">
        <v>204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205</v>
      </c>
      <c r="I2" s="256" t="s">
        <v>64</v>
      </c>
      <c r="J2" s="256" t="s">
        <v>69</v>
      </c>
      <c r="K2" s="256" t="s">
        <v>110</v>
      </c>
      <c r="L2" s="256" t="s">
        <v>166</v>
      </c>
      <c r="M2" s="112" t="s">
        <v>318</v>
      </c>
      <c r="N2" s="112" t="s">
        <v>530</v>
      </c>
      <c r="O2" s="112" t="s">
        <v>605</v>
      </c>
      <c r="P2" s="112" t="s">
        <v>722</v>
      </c>
      <c r="Q2" s="112" t="s">
        <v>34</v>
      </c>
    </row>
    <row r="3" spans="1:17" ht="27" customHeight="1">
      <c r="A3" s="249">
        <v>2110</v>
      </c>
      <c r="B3" s="106" t="s">
        <v>155</v>
      </c>
      <c r="C3" s="66"/>
      <c r="D3" s="66">
        <v>511176000</v>
      </c>
      <c r="E3" s="66">
        <v>511176000</v>
      </c>
      <c r="F3" s="66">
        <v>530736000</v>
      </c>
      <c r="G3" s="66">
        <f>543900000+6384000+3192000</f>
        <v>553476000</v>
      </c>
      <c r="H3" s="66">
        <f>553476000+149316000</f>
        <v>702792000</v>
      </c>
      <c r="I3" s="66">
        <v>926078400</v>
      </c>
      <c r="J3" s="66">
        <v>1046385600</v>
      </c>
      <c r="K3" s="66"/>
      <c r="L3" s="66"/>
      <c r="M3" s="66"/>
      <c r="N3" s="66"/>
      <c r="O3" s="66"/>
      <c r="P3" s="66"/>
      <c r="Q3" s="266"/>
    </row>
    <row r="4" spans="1:17" ht="27" customHeight="1">
      <c r="A4" s="169">
        <v>21101</v>
      </c>
      <c r="B4" s="66" t="s">
        <v>553</v>
      </c>
      <c r="C4" s="66">
        <v>1270401400</v>
      </c>
      <c r="D4" s="66"/>
      <c r="E4" s="66"/>
      <c r="F4" s="66"/>
      <c r="G4" s="66">
        <v>113400000</v>
      </c>
      <c r="H4" s="66">
        <v>0</v>
      </c>
      <c r="I4" s="66">
        <v>0</v>
      </c>
      <c r="J4" s="66">
        <v>0</v>
      </c>
      <c r="K4" s="66">
        <v>1270401400</v>
      </c>
      <c r="L4" s="66" t="e">
        <f>#REF!</f>
        <v>#REF!</v>
      </c>
      <c r="M4" s="66">
        <v>2781386400</v>
      </c>
      <c r="N4" s="66">
        <v>3130452000</v>
      </c>
      <c r="O4" s="66">
        <v>3815360640</v>
      </c>
      <c r="P4" s="66">
        <v>3812140800</v>
      </c>
      <c r="Q4" s="100">
        <f>P4-O4</f>
        <v>-3219840</v>
      </c>
    </row>
    <row r="5" spans="1:17" ht="27" customHeight="1">
      <c r="A5" s="169">
        <v>21102</v>
      </c>
      <c r="B5" s="66" t="s">
        <v>10</v>
      </c>
      <c r="C5" s="66"/>
      <c r="D5" s="66">
        <v>0</v>
      </c>
      <c r="E5" s="66">
        <v>0</v>
      </c>
      <c r="F5" s="66">
        <v>0</v>
      </c>
      <c r="G5" s="66">
        <v>0</v>
      </c>
      <c r="H5" s="66">
        <v>450500000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100">
        <f t="shared" ref="Q5:Q50" si="0">P5-O5</f>
        <v>0</v>
      </c>
    </row>
    <row r="6" spans="1:17" ht="27" customHeight="1">
      <c r="A6" s="169">
        <v>21103</v>
      </c>
      <c r="B6" s="66" t="s">
        <v>532</v>
      </c>
      <c r="C6" s="66">
        <v>2082348600</v>
      </c>
      <c r="D6" s="66">
        <v>365064000</v>
      </c>
      <c r="E6" s="66">
        <v>365064000</v>
      </c>
      <c r="F6" s="66">
        <v>1065504000</v>
      </c>
      <c r="G6" s="66">
        <f>F6</f>
        <v>1065504000</v>
      </c>
      <c r="H6" s="66">
        <f>G6+478464000</f>
        <v>1543968000</v>
      </c>
      <c r="I6" s="66">
        <v>1555668000</v>
      </c>
      <c r="J6" s="66">
        <v>1773036600</v>
      </c>
      <c r="K6" s="66">
        <v>2082348600</v>
      </c>
      <c r="L6" s="66">
        <v>2082348600</v>
      </c>
      <c r="M6" s="66">
        <v>3424068000</v>
      </c>
      <c r="N6" s="66">
        <v>3934452000</v>
      </c>
      <c r="O6" s="66">
        <v>3878724000</v>
      </c>
      <c r="P6" s="66">
        <v>3897924000</v>
      </c>
      <c r="Q6" s="100">
        <f t="shared" si="0"/>
        <v>19200000</v>
      </c>
    </row>
    <row r="7" spans="1:17" ht="27" customHeight="1">
      <c r="A7" s="169">
        <v>21104</v>
      </c>
      <c r="B7" s="66" t="s">
        <v>363</v>
      </c>
      <c r="C7" s="66"/>
      <c r="D7" s="66"/>
      <c r="E7" s="66"/>
      <c r="F7" s="66"/>
      <c r="G7" s="66"/>
      <c r="H7" s="66">
        <v>0</v>
      </c>
      <c r="I7" s="66">
        <v>288000000</v>
      </c>
      <c r="J7" s="66">
        <v>288000000</v>
      </c>
      <c r="K7" s="66">
        <v>0</v>
      </c>
      <c r="L7" s="66">
        <v>0</v>
      </c>
      <c r="M7" s="66">
        <v>288000000</v>
      </c>
      <c r="N7" s="66">
        <v>288000000</v>
      </c>
      <c r="O7" s="66">
        <v>288000000</v>
      </c>
      <c r="P7" s="66">
        <v>288000000</v>
      </c>
      <c r="Q7" s="100">
        <f t="shared" si="0"/>
        <v>0</v>
      </c>
    </row>
    <row r="8" spans="1:17" ht="27" customHeight="1">
      <c r="A8" s="169">
        <v>21105</v>
      </c>
      <c r="B8" s="66" t="s">
        <v>334</v>
      </c>
      <c r="C8" s="66">
        <v>366300000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366300000</v>
      </c>
      <c r="L8" s="66">
        <v>366300000</v>
      </c>
      <c r="M8" s="66">
        <v>435600000</v>
      </c>
      <c r="N8" s="66">
        <v>550800000</v>
      </c>
      <c r="O8" s="66">
        <v>1543200000</v>
      </c>
      <c r="P8" s="66">
        <v>1568400000</v>
      </c>
      <c r="Q8" s="100">
        <f t="shared" si="0"/>
        <v>25200000</v>
      </c>
    </row>
    <row r="9" spans="1:17" ht="27" customHeight="1">
      <c r="A9" s="249">
        <v>2120</v>
      </c>
      <c r="B9" s="106" t="s">
        <v>156</v>
      </c>
      <c r="C9" s="66"/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100">
        <f t="shared" si="0"/>
        <v>0</v>
      </c>
    </row>
    <row r="10" spans="1:17" ht="27" customHeight="1">
      <c r="A10" s="169">
        <v>21201</v>
      </c>
      <c r="B10" s="66" t="s">
        <v>157</v>
      </c>
      <c r="C10" s="66"/>
      <c r="D10" s="66">
        <f t="shared" ref="D10:J10" si="1">SUM(D3:D9)</f>
        <v>876240000</v>
      </c>
      <c r="E10" s="66">
        <f t="shared" si="1"/>
        <v>876240000</v>
      </c>
      <c r="F10" s="66">
        <f t="shared" si="1"/>
        <v>1596240000</v>
      </c>
      <c r="G10" s="66">
        <f t="shared" si="1"/>
        <v>1732380000</v>
      </c>
      <c r="H10" s="106">
        <f t="shared" si="1"/>
        <v>2697260000</v>
      </c>
      <c r="I10" s="106">
        <f t="shared" si="1"/>
        <v>2769746400</v>
      </c>
      <c r="J10" s="106">
        <f t="shared" si="1"/>
        <v>3107422200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100">
        <f t="shared" si="0"/>
        <v>0</v>
      </c>
    </row>
    <row r="11" spans="1:17" ht="27" customHeight="1">
      <c r="A11" s="169">
        <v>21202</v>
      </c>
      <c r="B11" s="66" t="s">
        <v>154</v>
      </c>
      <c r="C11" s="66"/>
      <c r="D11" s="66"/>
      <c r="E11" s="66"/>
      <c r="F11" s="118"/>
      <c r="G11" s="66"/>
      <c r="H11" s="66"/>
      <c r="I11" s="66"/>
      <c r="J11" s="66"/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100">
        <f t="shared" si="0"/>
        <v>0</v>
      </c>
    </row>
    <row r="12" spans="1:17" ht="27" customHeight="1">
      <c r="A12" s="169">
        <v>21203</v>
      </c>
      <c r="B12" s="66" t="s">
        <v>158</v>
      </c>
      <c r="C12" s="66"/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100">
        <f t="shared" si="0"/>
        <v>0</v>
      </c>
    </row>
    <row r="13" spans="1:17" ht="27" customHeight="1">
      <c r="A13" s="169"/>
      <c r="B13" s="106" t="s">
        <v>59</v>
      </c>
      <c r="C13" s="106">
        <f>SUM(C4:C12)</f>
        <v>3719050000</v>
      </c>
      <c r="D13" s="66">
        <v>35000000</v>
      </c>
      <c r="E13" s="66">
        <v>35000000</v>
      </c>
      <c r="F13" s="66">
        <v>35000000</v>
      </c>
      <c r="G13" s="66">
        <v>66528000</v>
      </c>
      <c r="H13" s="66">
        <v>110000000</v>
      </c>
      <c r="I13" s="66">
        <v>110000000</v>
      </c>
      <c r="J13" s="66">
        <v>130000000</v>
      </c>
      <c r="K13" s="106">
        <f t="shared" ref="K13:O13" si="2">SUM(K4:K12)</f>
        <v>3719050000</v>
      </c>
      <c r="L13" s="106" t="e">
        <f t="shared" si="2"/>
        <v>#REF!</v>
      </c>
      <c r="M13" s="106">
        <f t="shared" si="2"/>
        <v>6929054400</v>
      </c>
      <c r="N13" s="106">
        <f t="shared" si="2"/>
        <v>7903704000</v>
      </c>
      <c r="O13" s="106">
        <f t="shared" si="2"/>
        <v>9525284640</v>
      </c>
      <c r="P13" s="106">
        <f>SUM(P4:P12)</f>
        <v>9566464800</v>
      </c>
      <c r="Q13" s="105">
        <f t="shared" si="0"/>
        <v>41180160</v>
      </c>
    </row>
    <row r="14" spans="1:17" ht="27" customHeight="1">
      <c r="A14" s="249">
        <v>220</v>
      </c>
      <c r="B14" s="106" t="s">
        <v>159</v>
      </c>
      <c r="C14" s="66"/>
      <c r="D14" s="66">
        <v>46068000</v>
      </c>
      <c r="E14" s="66">
        <v>46068000</v>
      </c>
      <c r="F14" s="66">
        <v>50000000</v>
      </c>
      <c r="G14" s="66">
        <v>48000000</v>
      </c>
      <c r="H14" s="66">
        <v>70000000</v>
      </c>
      <c r="I14" s="66">
        <v>70000000</v>
      </c>
      <c r="J14" s="66">
        <v>90000000</v>
      </c>
      <c r="K14" s="66"/>
      <c r="L14" s="66"/>
      <c r="M14" s="66"/>
      <c r="N14" s="66"/>
      <c r="O14" s="66"/>
      <c r="P14" s="66"/>
      <c r="Q14" s="100">
        <f t="shared" si="0"/>
        <v>0</v>
      </c>
    </row>
    <row r="15" spans="1:17" ht="27" customHeight="1">
      <c r="A15" s="249">
        <v>2210</v>
      </c>
      <c r="B15" s="106" t="s">
        <v>160</v>
      </c>
      <c r="C15" s="66"/>
      <c r="D15" s="66">
        <v>4000000</v>
      </c>
      <c r="E15" s="66">
        <v>4000000</v>
      </c>
      <c r="F15" s="66">
        <v>10000000</v>
      </c>
      <c r="G15" s="66">
        <v>8000000</v>
      </c>
      <c r="H15" s="66">
        <v>10000000</v>
      </c>
      <c r="I15" s="66">
        <v>11172000</v>
      </c>
      <c r="J15" s="66">
        <v>11172000</v>
      </c>
      <c r="K15" s="66"/>
      <c r="L15" s="66"/>
      <c r="M15" s="66"/>
      <c r="N15" s="66"/>
      <c r="O15" s="66"/>
      <c r="P15" s="66"/>
      <c r="Q15" s="100">
        <f t="shared" si="0"/>
        <v>0</v>
      </c>
    </row>
    <row r="16" spans="1:17" ht="27" customHeight="1">
      <c r="A16" s="169">
        <v>22101</v>
      </c>
      <c r="B16" s="66" t="s">
        <v>14</v>
      </c>
      <c r="C16" s="66">
        <v>20000000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20000000</v>
      </c>
      <c r="L16" s="66">
        <f>20000000*70%</f>
        <v>14000000</v>
      </c>
      <c r="M16" s="66">
        <f>20000000*70%</f>
        <v>14000000</v>
      </c>
      <c r="N16" s="66">
        <f>20000000*70%</f>
        <v>14000000</v>
      </c>
      <c r="O16" s="66">
        <f>20000000*70%</f>
        <v>14000000</v>
      </c>
      <c r="P16" s="66">
        <v>20000000</v>
      </c>
      <c r="Q16" s="100">
        <f t="shared" si="0"/>
        <v>6000000</v>
      </c>
    </row>
    <row r="17" spans="1:22" ht="27" customHeight="1">
      <c r="A17" s="169">
        <v>22102</v>
      </c>
      <c r="B17" s="66" t="s">
        <v>82</v>
      </c>
      <c r="C17" s="66"/>
      <c r="D17" s="66">
        <f t="shared" ref="D17:J17" si="3">SUM(D12:D16)</f>
        <v>85068000</v>
      </c>
      <c r="E17" s="66">
        <f t="shared" si="3"/>
        <v>85068000</v>
      </c>
      <c r="F17" s="66">
        <f t="shared" si="3"/>
        <v>95000000</v>
      </c>
      <c r="G17" s="66">
        <f t="shared" si="3"/>
        <v>122528000</v>
      </c>
      <c r="H17" s="106">
        <f t="shared" si="3"/>
        <v>190000000</v>
      </c>
      <c r="I17" s="106">
        <f t="shared" si="3"/>
        <v>191172000</v>
      </c>
      <c r="J17" s="106">
        <f t="shared" si="3"/>
        <v>231172000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100">
        <f t="shared" si="0"/>
        <v>0</v>
      </c>
    </row>
    <row r="18" spans="1:22" ht="27" customHeight="1">
      <c r="A18" s="169">
        <v>22103</v>
      </c>
      <c r="B18" s="66" t="s">
        <v>83</v>
      </c>
      <c r="C18" s="66"/>
      <c r="D18" s="66"/>
      <c r="E18" s="66"/>
      <c r="F18" s="66"/>
      <c r="G18" s="66"/>
      <c r="H18" s="66"/>
      <c r="I18" s="66"/>
      <c r="J18" s="66"/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100">
        <f t="shared" si="0"/>
        <v>0</v>
      </c>
      <c r="V18" s="502"/>
    </row>
    <row r="19" spans="1:22" ht="27" customHeight="1">
      <c r="A19" s="169">
        <v>22104</v>
      </c>
      <c r="B19" s="66" t="s">
        <v>116</v>
      </c>
      <c r="C19" s="66">
        <v>37240000</v>
      </c>
      <c r="D19" s="66">
        <v>40331000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37240000</v>
      </c>
      <c r="L19" s="66">
        <f>37240000*70%</f>
        <v>26068000</v>
      </c>
      <c r="M19" s="66">
        <f>37240000*70%</f>
        <v>26068000</v>
      </c>
      <c r="N19" s="66">
        <f>37240000*70%</f>
        <v>26068000</v>
      </c>
      <c r="O19" s="66">
        <f>37240000*70%</f>
        <v>26068000</v>
      </c>
      <c r="P19" s="66">
        <f>37240000*70%</f>
        <v>26068000</v>
      </c>
      <c r="Q19" s="100">
        <f t="shared" si="0"/>
        <v>0</v>
      </c>
    </row>
    <row r="20" spans="1:22" ht="27" customHeight="1">
      <c r="A20" s="169">
        <v>22105</v>
      </c>
      <c r="B20" s="66" t="s">
        <v>364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0</v>
      </c>
      <c r="M20" s="66">
        <v>28800000</v>
      </c>
      <c r="N20" s="66">
        <v>28800000</v>
      </c>
      <c r="O20" s="66">
        <v>28800000</v>
      </c>
      <c r="P20" s="66">
        <v>28800000</v>
      </c>
      <c r="Q20" s="100">
        <f t="shared" si="0"/>
        <v>0</v>
      </c>
    </row>
    <row r="21" spans="1:22" ht="27" customHeight="1">
      <c r="A21" s="169">
        <v>22108</v>
      </c>
      <c r="B21" s="66" t="s">
        <v>414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>
        <v>52200000</v>
      </c>
      <c r="N21" s="66">
        <v>52200000</v>
      </c>
      <c r="O21" s="66">
        <v>102200000</v>
      </c>
      <c r="P21" s="66">
        <v>102200000</v>
      </c>
      <c r="Q21" s="100">
        <f t="shared" si="0"/>
        <v>0</v>
      </c>
    </row>
    <row r="22" spans="1:22" ht="27" customHeight="1">
      <c r="A22" s="169">
        <v>22109</v>
      </c>
      <c r="B22" s="66" t="s">
        <v>94</v>
      </c>
      <c r="C22" s="66">
        <v>15000000</v>
      </c>
      <c r="D22" s="66">
        <v>6000000</v>
      </c>
      <c r="E22" s="66">
        <v>6000000</v>
      </c>
      <c r="F22" s="66">
        <v>6000000</v>
      </c>
      <c r="G22" s="66">
        <v>4800000</v>
      </c>
      <c r="H22" s="66">
        <v>6000000</v>
      </c>
      <c r="I22" s="66">
        <v>4468800</v>
      </c>
      <c r="J22" s="66">
        <v>6668800</v>
      </c>
      <c r="K22" s="66">
        <v>15000000</v>
      </c>
      <c r="L22" s="66">
        <f>15000000*70%</f>
        <v>10500000</v>
      </c>
      <c r="M22" s="66">
        <f>15000000*70%</f>
        <v>10500000</v>
      </c>
      <c r="N22" s="66">
        <f>15000000*70%</f>
        <v>10500000</v>
      </c>
      <c r="O22" s="66">
        <f>15000000*70%</f>
        <v>10500000</v>
      </c>
      <c r="P22" s="66">
        <f>15000000*70%</f>
        <v>10500000</v>
      </c>
      <c r="Q22" s="100">
        <f t="shared" si="0"/>
        <v>0</v>
      </c>
    </row>
    <row r="23" spans="1:22" ht="27" customHeight="1">
      <c r="A23" s="169">
        <v>22112</v>
      </c>
      <c r="B23" s="66" t="s">
        <v>16</v>
      </c>
      <c r="C23" s="66">
        <v>30000000</v>
      </c>
      <c r="D23" s="66">
        <v>7340350</v>
      </c>
      <c r="E23" s="66">
        <v>7340350</v>
      </c>
      <c r="F23" s="66">
        <v>7340350</v>
      </c>
      <c r="G23" s="66">
        <v>5872000</v>
      </c>
      <c r="H23" s="66">
        <v>6000000</v>
      </c>
      <c r="I23" s="66">
        <v>4486800</v>
      </c>
      <c r="J23" s="66">
        <v>4486800</v>
      </c>
      <c r="K23" s="66">
        <v>30000000</v>
      </c>
      <c r="L23" s="66">
        <f>30000000*70%</f>
        <v>21000000</v>
      </c>
      <c r="M23" s="66">
        <v>79673000</v>
      </c>
      <c r="N23" s="66">
        <v>79673000</v>
      </c>
      <c r="O23" s="66">
        <v>79673000</v>
      </c>
      <c r="P23" s="66">
        <v>79673000</v>
      </c>
      <c r="Q23" s="100">
        <f t="shared" si="0"/>
        <v>0</v>
      </c>
    </row>
    <row r="24" spans="1:22" ht="27" customHeight="1">
      <c r="A24" s="169">
        <v>22115</v>
      </c>
      <c r="B24" s="66" t="s">
        <v>206</v>
      </c>
      <c r="C24" s="66">
        <v>14896000</v>
      </c>
      <c r="D24" s="66"/>
      <c r="E24" s="66"/>
      <c r="F24" s="66">
        <v>0</v>
      </c>
      <c r="G24" s="66"/>
      <c r="H24" s="66"/>
      <c r="I24" s="66"/>
      <c r="J24" s="66"/>
      <c r="K24" s="66">
        <v>14896000</v>
      </c>
      <c r="L24" s="66">
        <f>14896000*70%</f>
        <v>10427200</v>
      </c>
      <c r="M24" s="66">
        <f>14896000*70%</f>
        <v>10427200</v>
      </c>
      <c r="N24" s="66">
        <f>14896000*70%</f>
        <v>10427200</v>
      </c>
      <c r="O24" s="66">
        <f>14896000*70%</f>
        <v>10427200</v>
      </c>
      <c r="P24" s="66">
        <f>14896000*70%</f>
        <v>10427200</v>
      </c>
      <c r="Q24" s="100">
        <f t="shared" si="0"/>
        <v>0</v>
      </c>
    </row>
    <row r="25" spans="1:22" ht="27" customHeight="1">
      <c r="A25" s="169">
        <v>22114</v>
      </c>
      <c r="B25" s="66" t="s">
        <v>207</v>
      </c>
      <c r="C25" s="66">
        <v>30688000</v>
      </c>
      <c r="D25" s="66">
        <v>3000000</v>
      </c>
      <c r="E25" s="66">
        <v>3000000</v>
      </c>
      <c r="F25" s="66">
        <v>3000000</v>
      </c>
      <c r="G25" s="66">
        <v>2400000</v>
      </c>
      <c r="H25" s="66">
        <v>3000000</v>
      </c>
      <c r="I25" s="66">
        <v>2234400</v>
      </c>
      <c r="J25" s="66">
        <v>2234400</v>
      </c>
      <c r="K25" s="66">
        <v>30688000</v>
      </c>
      <c r="L25" s="66">
        <f>30688000*70%</f>
        <v>21481600</v>
      </c>
      <c r="M25" s="66">
        <f>30688000*70%</f>
        <v>21481600</v>
      </c>
      <c r="N25" s="66">
        <f>30688000*70%</f>
        <v>21481600</v>
      </c>
      <c r="O25" s="66">
        <f>30688000*70%</f>
        <v>21481600</v>
      </c>
      <c r="P25" s="66">
        <f>30688000*70%</f>
        <v>21481600</v>
      </c>
      <c r="Q25" s="100">
        <f t="shared" si="0"/>
        <v>0</v>
      </c>
    </row>
    <row r="26" spans="1:22" ht="27" customHeight="1">
      <c r="A26" s="169">
        <v>22132</v>
      </c>
      <c r="B26" s="66" t="s">
        <v>144</v>
      </c>
      <c r="C26" s="66">
        <v>36000000</v>
      </c>
      <c r="D26" s="66">
        <v>162000000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36000000</v>
      </c>
      <c r="L26" s="66">
        <f>36000000*70%</f>
        <v>25200000</v>
      </c>
      <c r="M26" s="66">
        <v>0</v>
      </c>
      <c r="N26" s="66">
        <v>0</v>
      </c>
      <c r="O26" s="66">
        <v>0</v>
      </c>
      <c r="P26" s="66">
        <v>0</v>
      </c>
      <c r="Q26" s="100">
        <f t="shared" si="0"/>
        <v>0</v>
      </c>
    </row>
    <row r="27" spans="1:22" ht="27" customHeight="1">
      <c r="A27" s="169">
        <v>22141</v>
      </c>
      <c r="B27" s="66" t="s">
        <v>381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>
        <v>28726680</v>
      </c>
      <c r="N27" s="66"/>
      <c r="O27" s="66"/>
      <c r="P27" s="66"/>
      <c r="Q27" s="100">
        <f t="shared" si="0"/>
        <v>0</v>
      </c>
    </row>
    <row r="28" spans="1:22" ht="27" customHeight="1">
      <c r="A28" s="169"/>
      <c r="B28" s="106" t="s">
        <v>59</v>
      </c>
      <c r="C28" s="106">
        <f>SUM(C16:C26)</f>
        <v>183824000</v>
      </c>
      <c r="D28" s="66">
        <v>18000000</v>
      </c>
      <c r="E28" s="66">
        <v>18000000</v>
      </c>
      <c r="F28" s="66">
        <v>14000000</v>
      </c>
      <c r="G28" s="66">
        <v>9600000</v>
      </c>
      <c r="H28" s="66">
        <v>12000000</v>
      </c>
      <c r="I28" s="66">
        <v>8937600</v>
      </c>
      <c r="J28" s="66">
        <v>8937600</v>
      </c>
      <c r="K28" s="106">
        <f>SUM(K16:K26)</f>
        <v>183824000</v>
      </c>
      <c r="L28" s="106">
        <f>SUM(L16:L26)</f>
        <v>128676800</v>
      </c>
      <c r="M28" s="106">
        <f>SUM(M16:M27)</f>
        <v>271876480</v>
      </c>
      <c r="N28" s="106">
        <f>SUM(N16:N27)</f>
        <v>243149800</v>
      </c>
      <c r="O28" s="106">
        <f>SUM(O16:O27)</f>
        <v>293149800</v>
      </c>
      <c r="P28" s="106">
        <f>SUM(P16:P27)</f>
        <v>299149800</v>
      </c>
      <c r="Q28" s="105">
        <f t="shared" si="0"/>
        <v>6000000</v>
      </c>
    </row>
    <row r="29" spans="1:22" ht="27" customHeight="1">
      <c r="A29" s="249">
        <v>2220</v>
      </c>
      <c r="B29" s="106" t="s">
        <v>161</v>
      </c>
      <c r="C29" s="66"/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/>
      <c r="L29" s="66"/>
      <c r="M29" s="66"/>
      <c r="N29" s="66"/>
      <c r="O29" s="66"/>
      <c r="P29" s="66"/>
      <c r="Q29" s="100">
        <f t="shared" si="0"/>
        <v>0</v>
      </c>
    </row>
    <row r="30" spans="1:22" ht="27" customHeight="1">
      <c r="A30" s="169">
        <v>22201</v>
      </c>
      <c r="B30" s="66" t="s">
        <v>90</v>
      </c>
      <c r="C30" s="66"/>
      <c r="D30" s="66">
        <v>10000000</v>
      </c>
      <c r="E30" s="66">
        <v>10000000</v>
      </c>
      <c r="F30" s="66">
        <v>10000000</v>
      </c>
      <c r="G30" s="66">
        <v>12000000</v>
      </c>
      <c r="H30" s="66">
        <v>15000000</v>
      </c>
      <c r="I30" s="66">
        <v>22344000</v>
      </c>
      <c r="J30" s="66">
        <v>22344000</v>
      </c>
      <c r="K30" s="66"/>
      <c r="L30" s="66"/>
      <c r="M30" s="66"/>
      <c r="N30" s="66"/>
      <c r="O30" s="66"/>
      <c r="P30" s="66"/>
      <c r="Q30" s="100">
        <f t="shared" si="0"/>
        <v>0</v>
      </c>
    </row>
    <row r="31" spans="1:22" ht="27" customHeight="1">
      <c r="A31" s="169">
        <v>22202</v>
      </c>
      <c r="B31" s="66" t="s">
        <v>91</v>
      </c>
      <c r="C31" s="66">
        <v>200000000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30000000</v>
      </c>
      <c r="K31" s="66">
        <v>200000000</v>
      </c>
      <c r="L31" s="66">
        <f>200000000*70%</f>
        <v>140000000</v>
      </c>
      <c r="M31" s="66">
        <f>L31</f>
        <v>140000000</v>
      </c>
      <c r="N31" s="66">
        <v>190000000</v>
      </c>
      <c r="O31" s="66">
        <v>220000000</v>
      </c>
      <c r="P31" s="66">
        <v>220000000</v>
      </c>
      <c r="Q31" s="100">
        <f t="shared" si="0"/>
        <v>0</v>
      </c>
    </row>
    <row r="32" spans="1:22" ht="27" customHeight="1">
      <c r="A32" s="169">
        <v>22203</v>
      </c>
      <c r="B32" s="66" t="s">
        <v>85</v>
      </c>
      <c r="C32" s="66">
        <v>90000000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90000000</v>
      </c>
      <c r="L32" s="66">
        <f>90000000*70%</f>
        <v>62999999.999999993</v>
      </c>
      <c r="M32" s="66">
        <f>90000000*70%</f>
        <v>62999999.999999993</v>
      </c>
      <c r="N32" s="66">
        <v>126000000</v>
      </c>
      <c r="O32" s="66">
        <v>156000000</v>
      </c>
      <c r="P32" s="66">
        <v>156000000</v>
      </c>
      <c r="Q32" s="100">
        <f t="shared" si="0"/>
        <v>0</v>
      </c>
    </row>
    <row r="33" spans="1:17" ht="27" customHeight="1">
      <c r="A33" s="169">
        <v>22204</v>
      </c>
      <c r="B33" s="66" t="s">
        <v>86</v>
      </c>
      <c r="C33" s="66">
        <v>15000000</v>
      </c>
      <c r="D33" s="118"/>
      <c r="E33" s="118"/>
      <c r="F33" s="118"/>
      <c r="G33" s="118"/>
      <c r="H33" s="118"/>
      <c r="I33" s="118"/>
      <c r="J33" s="118"/>
      <c r="K33" s="66">
        <v>15000000</v>
      </c>
      <c r="L33" s="66">
        <f>15000000*70%</f>
        <v>10500000</v>
      </c>
      <c r="M33" s="66">
        <f>15000000*70%</f>
        <v>10500000</v>
      </c>
      <c r="N33" s="66">
        <f>15000000*70%</f>
        <v>10500000</v>
      </c>
      <c r="O33" s="66">
        <f>15000000*70%</f>
        <v>10500000</v>
      </c>
      <c r="P33" s="66">
        <f>15000000*70%</f>
        <v>10500000</v>
      </c>
      <c r="Q33" s="100">
        <f t="shared" si="0"/>
        <v>0</v>
      </c>
    </row>
    <row r="34" spans="1:17" ht="27" customHeight="1">
      <c r="A34" s="169"/>
      <c r="B34" s="106" t="s">
        <v>59</v>
      </c>
      <c r="C34" s="105">
        <f>SUM(C31:C33)</f>
        <v>305000000</v>
      </c>
      <c r="D34" s="118"/>
      <c r="E34" s="118"/>
      <c r="F34" s="118"/>
      <c r="G34" s="118"/>
      <c r="H34" s="118"/>
      <c r="I34" s="118"/>
      <c r="J34" s="118"/>
      <c r="K34" s="105">
        <f t="shared" ref="K34:O34" si="4">SUM(K31:K33)</f>
        <v>305000000</v>
      </c>
      <c r="L34" s="105">
        <f t="shared" si="4"/>
        <v>213500000</v>
      </c>
      <c r="M34" s="106">
        <f t="shared" si="4"/>
        <v>213500000</v>
      </c>
      <c r="N34" s="106">
        <f t="shared" si="4"/>
        <v>326500000</v>
      </c>
      <c r="O34" s="106">
        <f t="shared" si="4"/>
        <v>386500000</v>
      </c>
      <c r="P34" s="106">
        <f>SUM(P31:P33)</f>
        <v>386500000</v>
      </c>
      <c r="Q34" s="105">
        <f t="shared" si="0"/>
        <v>0</v>
      </c>
    </row>
    <row r="35" spans="1:17" ht="27" customHeight="1">
      <c r="A35" s="249">
        <v>2230</v>
      </c>
      <c r="B35" s="106" t="s">
        <v>88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66"/>
      <c r="N35" s="66"/>
      <c r="O35" s="66"/>
      <c r="P35" s="66"/>
      <c r="Q35" s="100">
        <f t="shared" si="0"/>
        <v>0</v>
      </c>
    </row>
    <row r="36" spans="1:17" ht="27" customHeight="1">
      <c r="A36" s="169">
        <v>22301</v>
      </c>
      <c r="B36" s="66" t="s">
        <v>31</v>
      </c>
      <c r="C36" s="116">
        <v>20000000</v>
      </c>
      <c r="D36" s="118"/>
      <c r="E36" s="118"/>
      <c r="F36" s="118"/>
      <c r="G36" s="118"/>
      <c r="H36" s="118"/>
      <c r="I36" s="118"/>
      <c r="J36" s="118"/>
      <c r="K36" s="116">
        <v>20000000</v>
      </c>
      <c r="L36" s="116">
        <f>20000000*70%</f>
        <v>14000000</v>
      </c>
      <c r="M36" s="66">
        <f>20000000*70%</f>
        <v>14000000</v>
      </c>
      <c r="N36" s="66">
        <f>20000000*70%</f>
        <v>14000000</v>
      </c>
      <c r="O36" s="66">
        <f>20000000*70%</f>
        <v>14000000</v>
      </c>
      <c r="P36" s="66">
        <v>28000000</v>
      </c>
      <c r="Q36" s="100">
        <f t="shared" si="0"/>
        <v>14000000</v>
      </c>
    </row>
    <row r="37" spans="1:17" ht="27" customHeight="1">
      <c r="A37" s="169">
        <v>22302</v>
      </c>
      <c r="B37" s="66" t="s">
        <v>162</v>
      </c>
      <c r="C37" s="116">
        <v>5000000</v>
      </c>
      <c r="D37" s="118"/>
      <c r="E37" s="118"/>
      <c r="F37" s="118"/>
      <c r="G37" s="118"/>
      <c r="H37" s="118"/>
      <c r="I37" s="118"/>
      <c r="J37" s="118"/>
      <c r="K37" s="116">
        <v>5000000</v>
      </c>
      <c r="L37" s="116">
        <f>5000000*70%</f>
        <v>3500000</v>
      </c>
      <c r="M37" s="66">
        <f>5000000*70%</f>
        <v>3500000</v>
      </c>
      <c r="N37" s="66">
        <f>5000000*70%</f>
        <v>3500000</v>
      </c>
      <c r="O37" s="66">
        <f>5000000*70%</f>
        <v>3500000</v>
      </c>
      <c r="P37" s="66">
        <f>5000000*70%</f>
        <v>3500000</v>
      </c>
      <c r="Q37" s="100">
        <f t="shared" si="0"/>
        <v>0</v>
      </c>
    </row>
    <row r="38" spans="1:17" ht="27" customHeight="1">
      <c r="A38" s="169">
        <v>22303</v>
      </c>
      <c r="B38" s="66" t="s">
        <v>163</v>
      </c>
      <c r="C38" s="118"/>
      <c r="D38" s="118"/>
      <c r="E38" s="118"/>
      <c r="F38" s="118"/>
      <c r="G38" s="118"/>
      <c r="H38" s="118"/>
      <c r="I38" s="118"/>
      <c r="J38" s="118"/>
      <c r="K38" s="118">
        <v>0</v>
      </c>
      <c r="L38" s="118">
        <v>0</v>
      </c>
      <c r="M38" s="66">
        <v>0</v>
      </c>
      <c r="N38" s="66">
        <v>0</v>
      </c>
      <c r="O38" s="66">
        <v>0</v>
      </c>
      <c r="P38" s="66">
        <v>0</v>
      </c>
      <c r="Q38" s="100">
        <f t="shared" si="0"/>
        <v>0</v>
      </c>
    </row>
    <row r="39" spans="1:17" ht="27" customHeight="1">
      <c r="A39" s="169"/>
      <c r="B39" s="106" t="s">
        <v>59</v>
      </c>
      <c r="C39" s="117">
        <f>SUM(C36:C38)</f>
        <v>25000000</v>
      </c>
      <c r="D39" s="118"/>
      <c r="E39" s="118"/>
      <c r="F39" s="118"/>
      <c r="G39" s="118"/>
      <c r="H39" s="118"/>
      <c r="I39" s="118"/>
      <c r="J39" s="118"/>
      <c r="K39" s="117">
        <f t="shared" ref="K39:O39" si="5">SUM(K36:K38)</f>
        <v>25000000</v>
      </c>
      <c r="L39" s="117">
        <f t="shared" si="5"/>
        <v>17500000</v>
      </c>
      <c r="M39" s="106">
        <f t="shared" si="5"/>
        <v>17500000</v>
      </c>
      <c r="N39" s="106">
        <f t="shared" si="5"/>
        <v>17500000</v>
      </c>
      <c r="O39" s="106">
        <f t="shared" si="5"/>
        <v>17500000</v>
      </c>
      <c r="P39" s="106">
        <f>SUM(P36:P38)</f>
        <v>31500000</v>
      </c>
      <c r="Q39" s="105">
        <f t="shared" si="0"/>
        <v>14000000</v>
      </c>
    </row>
    <row r="40" spans="1:17" ht="27" customHeight="1">
      <c r="A40" s="249">
        <v>230</v>
      </c>
      <c r="B40" s="106" t="s">
        <v>165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66"/>
      <c r="N40" s="66"/>
      <c r="O40" s="66"/>
      <c r="P40" s="66"/>
      <c r="Q40" s="100">
        <f t="shared" si="0"/>
        <v>0</v>
      </c>
    </row>
    <row r="41" spans="1:17" ht="27" customHeight="1">
      <c r="A41" s="249">
        <v>2310</v>
      </c>
      <c r="B41" s="106" t="s">
        <v>164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66"/>
      <c r="N41" s="66"/>
      <c r="O41" s="66"/>
      <c r="P41" s="66"/>
      <c r="Q41" s="100">
        <f t="shared" si="0"/>
        <v>0</v>
      </c>
    </row>
    <row r="42" spans="1:17" ht="27" customHeight="1">
      <c r="A42" s="169">
        <v>23101</v>
      </c>
      <c r="B42" s="66" t="s">
        <v>838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66"/>
      <c r="N42" s="66"/>
      <c r="O42" s="66"/>
      <c r="P42" s="66">
        <v>480000000</v>
      </c>
      <c r="Q42" s="100"/>
    </row>
    <row r="43" spans="1:17" ht="27" customHeight="1">
      <c r="A43" s="169">
        <v>23102</v>
      </c>
      <c r="B43" s="66" t="s">
        <v>310</v>
      </c>
      <c r="C43" s="118"/>
      <c r="D43" s="118"/>
      <c r="E43" s="118"/>
      <c r="F43" s="118"/>
      <c r="G43" s="118"/>
      <c r="H43" s="118"/>
      <c r="I43" s="118"/>
      <c r="J43" s="118"/>
      <c r="K43" s="118">
        <v>0</v>
      </c>
      <c r="L43" s="116">
        <f>96000000*70%</f>
        <v>67200000</v>
      </c>
      <c r="M43" s="66">
        <v>0</v>
      </c>
      <c r="N43" s="66">
        <v>0</v>
      </c>
      <c r="O43" s="66">
        <v>264000000</v>
      </c>
      <c r="P43" s="66">
        <v>0</v>
      </c>
      <c r="Q43" s="100">
        <f t="shared" si="0"/>
        <v>-264000000</v>
      </c>
    </row>
    <row r="44" spans="1:17" ht="27" customHeight="1">
      <c r="A44" s="169">
        <v>23103</v>
      </c>
      <c r="B44" s="66" t="s">
        <v>106</v>
      </c>
      <c r="C44" s="116">
        <v>6000000</v>
      </c>
      <c r="D44" s="118"/>
      <c r="E44" s="118"/>
      <c r="F44" s="118"/>
      <c r="G44" s="118"/>
      <c r="H44" s="118"/>
      <c r="I44" s="118"/>
      <c r="J44" s="118"/>
      <c r="K44" s="116">
        <v>6000000</v>
      </c>
      <c r="L44" s="116">
        <f>6000000*70%</f>
        <v>4200000</v>
      </c>
      <c r="M44" s="66">
        <v>0</v>
      </c>
      <c r="N44" s="66">
        <v>0</v>
      </c>
      <c r="O44" s="66">
        <v>0</v>
      </c>
      <c r="P44" s="66">
        <v>0</v>
      </c>
      <c r="Q44" s="100">
        <f t="shared" si="0"/>
        <v>0</v>
      </c>
    </row>
    <row r="45" spans="1:17" ht="27" customHeight="1">
      <c r="A45" s="169">
        <v>23104</v>
      </c>
      <c r="B45" s="66" t="s">
        <v>107</v>
      </c>
      <c r="C45" s="116">
        <v>4486800</v>
      </c>
      <c r="D45" s="118"/>
      <c r="E45" s="118"/>
      <c r="F45" s="118"/>
      <c r="G45" s="118"/>
      <c r="H45" s="118"/>
      <c r="I45" s="118"/>
      <c r="J45" s="118"/>
      <c r="K45" s="116">
        <v>4486800</v>
      </c>
      <c r="L45" s="116">
        <f>4486800*70%</f>
        <v>3140760</v>
      </c>
      <c r="M45" s="66">
        <v>0</v>
      </c>
      <c r="N45" s="66">
        <v>0</v>
      </c>
      <c r="O45" s="66">
        <v>0</v>
      </c>
      <c r="P45" s="66">
        <v>0</v>
      </c>
      <c r="Q45" s="100">
        <f t="shared" si="0"/>
        <v>0</v>
      </c>
    </row>
    <row r="46" spans="1:17" ht="27" customHeight="1">
      <c r="A46" s="169"/>
      <c r="B46" s="106" t="s">
        <v>59</v>
      </c>
      <c r="C46" s="117">
        <f>SUM(C44:C45)</f>
        <v>10486800</v>
      </c>
      <c r="D46" s="118"/>
      <c r="E46" s="118"/>
      <c r="F46" s="118"/>
      <c r="G46" s="118"/>
      <c r="H46" s="118"/>
      <c r="I46" s="118"/>
      <c r="J46" s="118"/>
      <c r="K46" s="117">
        <f>SUM(K44:K45)</f>
        <v>10486800</v>
      </c>
      <c r="L46" s="117">
        <f>SUM(L43:L45)</f>
        <v>74540760</v>
      </c>
      <c r="M46" s="106">
        <f>SUM(M43:M45)</f>
        <v>0</v>
      </c>
      <c r="N46" s="106">
        <f>SUM(N43:N45)</f>
        <v>0</v>
      </c>
      <c r="O46" s="106">
        <f>SUM(O43:O45)</f>
        <v>264000000</v>
      </c>
      <c r="P46" s="106">
        <f>SUM(P42:P45)</f>
        <v>480000000</v>
      </c>
      <c r="Q46" s="105">
        <f t="shared" si="0"/>
        <v>216000000</v>
      </c>
    </row>
    <row r="47" spans="1:17" ht="27" customHeight="1">
      <c r="A47" s="249">
        <v>2320</v>
      </c>
      <c r="B47" s="106" t="s">
        <v>372</v>
      </c>
      <c r="C47" s="117"/>
      <c r="D47" s="118"/>
      <c r="E47" s="118"/>
      <c r="F47" s="118"/>
      <c r="G47" s="118"/>
      <c r="H47" s="118"/>
      <c r="I47" s="118"/>
      <c r="J47" s="118"/>
      <c r="K47" s="117"/>
      <c r="L47" s="117"/>
      <c r="M47" s="106"/>
      <c r="N47" s="106"/>
      <c r="O47" s="106"/>
      <c r="P47" s="106"/>
      <c r="Q47" s="105">
        <f t="shared" si="0"/>
        <v>0</v>
      </c>
    </row>
    <row r="48" spans="1:17" ht="27" customHeight="1">
      <c r="A48" s="169">
        <v>23201</v>
      </c>
      <c r="B48" s="66" t="s">
        <v>839</v>
      </c>
      <c r="C48" s="117"/>
      <c r="D48" s="118"/>
      <c r="E48" s="118"/>
      <c r="F48" s="118"/>
      <c r="G48" s="118"/>
      <c r="H48" s="118"/>
      <c r="I48" s="118"/>
      <c r="J48" s="118"/>
      <c r="K48" s="117"/>
      <c r="L48" s="117"/>
      <c r="M48" s="106"/>
      <c r="N48" s="106"/>
      <c r="O48" s="106"/>
      <c r="P48" s="66">
        <v>528000000</v>
      </c>
      <c r="Q48" s="100">
        <f t="shared" si="0"/>
        <v>528000000</v>
      </c>
    </row>
    <row r="49" spans="1:17" ht="27" customHeight="1">
      <c r="A49" s="169"/>
      <c r="B49" s="106" t="s">
        <v>59</v>
      </c>
      <c r="C49" s="117"/>
      <c r="D49" s="118"/>
      <c r="E49" s="118"/>
      <c r="F49" s="118"/>
      <c r="G49" s="118"/>
      <c r="H49" s="118"/>
      <c r="I49" s="118"/>
      <c r="J49" s="118"/>
      <c r="K49" s="117"/>
      <c r="L49" s="117"/>
      <c r="M49" s="106"/>
      <c r="N49" s="106"/>
      <c r="O49" s="106"/>
      <c r="P49" s="106">
        <f>SUM(P48)</f>
        <v>528000000</v>
      </c>
      <c r="Q49" s="105">
        <f t="shared" si="0"/>
        <v>528000000</v>
      </c>
    </row>
    <row r="50" spans="1:17" ht="27" customHeight="1">
      <c r="A50" s="169"/>
      <c r="B50" s="106" t="s">
        <v>18</v>
      </c>
      <c r="C50" s="105">
        <f>C46+C39+C34+C28+C13</f>
        <v>4243360800</v>
      </c>
      <c r="D50" s="118"/>
      <c r="E50" s="118"/>
      <c r="F50" s="118"/>
      <c r="G50" s="118"/>
      <c r="H50" s="118"/>
      <c r="I50" s="118"/>
      <c r="J50" s="118"/>
      <c r="K50" s="105">
        <f>K46+K39+K34+K28+K13</f>
        <v>4243360800</v>
      </c>
      <c r="L50" s="105" t="e">
        <f>L46+L39+L34+L28+L13</f>
        <v>#REF!</v>
      </c>
      <c r="M50" s="106">
        <f>M46+M39+M34+M28+M13</f>
        <v>7431930880</v>
      </c>
      <c r="N50" s="106">
        <f>N46+N39+N34+N28+N13</f>
        <v>8490853800</v>
      </c>
      <c r="O50" s="106">
        <f>O46+O39+O34+O28+O13</f>
        <v>10486434440</v>
      </c>
      <c r="P50" s="106">
        <f>P49+P46+P39+P34+P28+P13</f>
        <v>11291614600</v>
      </c>
      <c r="Q50" s="105">
        <f t="shared" si="0"/>
        <v>805180160</v>
      </c>
    </row>
  </sheetData>
  <pageMargins left="0.52" right="0.3" top="0.94" bottom="0.69" header="0.35" footer="0.3"/>
  <pageSetup scale="50" orientation="portrait" r:id="rId1"/>
  <headerFooter>
    <oddHeader>&amp;C&amp;"Algerian,Bold"&amp;36MAX-KAMAdDA HOOSE</oddHeader>
    <oddFooter>&amp;R&amp;"Times New Roman,Bold"&amp;18 &amp;14 17</oddFooter>
  </headerFooter>
  <ignoredErrors>
    <ignoredError sqref="K46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60" zoomScaleNormal="75" zoomScalePageLayoutView="70" workbookViewId="0">
      <selection activeCell="P24" sqref="P24"/>
    </sheetView>
  </sheetViews>
  <sheetFormatPr defaultRowHeight="26.1" customHeight="1"/>
  <cols>
    <col min="1" max="1" width="18.1640625" style="376" bestFit="1" customWidth="1"/>
    <col min="2" max="2" width="78.83203125" style="181" customWidth="1"/>
    <col min="3" max="10" width="9.33203125" style="181" hidden="1" customWidth="1"/>
    <col min="11" max="11" width="18.33203125" style="181" hidden="1" customWidth="1"/>
    <col min="12" max="12" width="17.1640625" style="181" hidden="1" customWidth="1"/>
    <col min="13" max="13" width="24.5" style="181" hidden="1" customWidth="1"/>
    <col min="14" max="14" width="27.6640625" style="181" hidden="1" customWidth="1"/>
    <col min="15" max="15" width="0.1640625" style="181" customWidth="1"/>
    <col min="16" max="17" width="27.6640625" style="181" customWidth="1"/>
    <col min="18" max="19" width="0.1640625" style="181" customWidth="1"/>
    <col min="20" max="20" width="26.1640625" style="181" bestFit="1" customWidth="1"/>
    <col min="21" max="16384" width="9.33203125" style="181"/>
  </cols>
  <sheetData>
    <row r="1" spans="1:20" ht="26.1" customHeight="1">
      <c r="A1" s="353" t="s">
        <v>44</v>
      </c>
      <c r="B1" s="354" t="s">
        <v>775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18"/>
      <c r="O1" s="118"/>
      <c r="P1" s="118"/>
      <c r="Q1" s="118"/>
      <c r="R1" s="266"/>
      <c r="S1" s="266"/>
      <c r="T1" s="266"/>
    </row>
    <row r="2" spans="1:20" ht="26.1" customHeight="1">
      <c r="A2" s="353" t="s">
        <v>6</v>
      </c>
      <c r="B2" s="251" t="s">
        <v>7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64</v>
      </c>
      <c r="J2" s="256" t="s">
        <v>69</v>
      </c>
      <c r="K2" s="256" t="s">
        <v>78</v>
      </c>
      <c r="L2" s="256" t="s">
        <v>110</v>
      </c>
      <c r="M2" s="256" t="s">
        <v>166</v>
      </c>
      <c r="N2" s="256" t="s">
        <v>318</v>
      </c>
      <c r="O2" s="256" t="s">
        <v>530</v>
      </c>
      <c r="P2" s="256" t="s">
        <v>605</v>
      </c>
      <c r="Q2" s="256" t="s">
        <v>722</v>
      </c>
      <c r="R2" s="266"/>
      <c r="S2" s="266"/>
      <c r="T2" s="112" t="s">
        <v>34</v>
      </c>
    </row>
    <row r="3" spans="1:20" ht="26.1" customHeight="1">
      <c r="A3" s="249">
        <v>210</v>
      </c>
      <c r="B3" s="106" t="s">
        <v>95</v>
      </c>
      <c r="C3" s="251" t="s">
        <v>19</v>
      </c>
      <c r="D3" s="256" t="s">
        <v>2</v>
      </c>
      <c r="E3" s="256" t="s">
        <v>24</v>
      </c>
      <c r="F3" s="256" t="s">
        <v>28</v>
      </c>
      <c r="G3" s="256" t="s">
        <v>33</v>
      </c>
      <c r="H3" s="256" t="s">
        <v>198</v>
      </c>
      <c r="I3" s="256"/>
      <c r="J3" s="256"/>
      <c r="K3" s="256"/>
      <c r="L3" s="256"/>
      <c r="M3" s="118"/>
      <c r="N3" s="118"/>
      <c r="O3" s="118"/>
      <c r="P3" s="118"/>
      <c r="Q3" s="118"/>
      <c r="R3" s="266"/>
      <c r="S3" s="266"/>
      <c r="T3" s="118"/>
    </row>
    <row r="4" spans="1:20" ht="26.1" customHeight="1">
      <c r="A4" s="249">
        <v>2110</v>
      </c>
      <c r="B4" s="106" t="s">
        <v>155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66"/>
      <c r="N4" s="66"/>
      <c r="O4" s="66"/>
      <c r="P4" s="66"/>
      <c r="Q4" s="66"/>
      <c r="R4" s="266"/>
      <c r="S4" s="266"/>
      <c r="T4" s="118"/>
    </row>
    <row r="5" spans="1:20" ht="26.1" customHeight="1">
      <c r="A5" s="169">
        <v>21101</v>
      </c>
      <c r="B5" s="66" t="s">
        <v>9</v>
      </c>
      <c r="C5" s="66">
        <v>52881000</v>
      </c>
      <c r="D5" s="66">
        <v>78528000</v>
      </c>
      <c r="E5" s="66">
        <v>97212000</v>
      </c>
      <c r="F5" s="66">
        <v>76320000</v>
      </c>
      <c r="G5" s="66">
        <f>85872000-3192000</f>
        <v>82680000</v>
      </c>
      <c r="H5" s="66"/>
      <c r="I5" s="66"/>
      <c r="J5" s="66"/>
      <c r="K5" s="66"/>
      <c r="L5" s="66">
        <v>0</v>
      </c>
      <c r="M5" s="66" t="e">
        <f>#REF!</f>
        <v>#REF!</v>
      </c>
      <c r="N5" s="66">
        <v>109948800</v>
      </c>
      <c r="O5" s="66">
        <v>280550400</v>
      </c>
      <c r="P5" s="66">
        <v>348865920</v>
      </c>
      <c r="Q5" s="66">
        <v>398136960</v>
      </c>
      <c r="R5" s="266"/>
      <c r="S5" s="266"/>
      <c r="T5" s="100">
        <f>Q5-P5</f>
        <v>49271040</v>
      </c>
    </row>
    <row r="6" spans="1:20" ht="26.1" customHeight="1">
      <c r="A6" s="169">
        <v>21102</v>
      </c>
      <c r="B6" s="66" t="s">
        <v>447</v>
      </c>
      <c r="C6" s="66">
        <v>980000</v>
      </c>
      <c r="D6" s="66">
        <v>0</v>
      </c>
      <c r="E6" s="66">
        <v>0</v>
      </c>
      <c r="F6" s="66">
        <v>0</v>
      </c>
      <c r="G6" s="66">
        <v>0</v>
      </c>
      <c r="H6" s="66">
        <v>121039200</v>
      </c>
      <c r="I6" s="66"/>
      <c r="J6" s="66"/>
      <c r="K6" s="66"/>
      <c r="L6" s="66">
        <v>121039200</v>
      </c>
      <c r="M6" s="66">
        <v>0</v>
      </c>
      <c r="N6" s="66">
        <v>819000000</v>
      </c>
      <c r="O6" s="66">
        <v>819000000</v>
      </c>
      <c r="P6" s="66">
        <v>1008000000</v>
      </c>
      <c r="Q6" s="66">
        <v>1008000000</v>
      </c>
      <c r="R6" s="266"/>
      <c r="S6" s="266"/>
      <c r="T6" s="100">
        <f t="shared" ref="T6:T43" si="0">Q6-P6</f>
        <v>0</v>
      </c>
    </row>
    <row r="7" spans="1:20" ht="26.1" customHeight="1">
      <c r="A7" s="169">
        <v>21103</v>
      </c>
      <c r="B7" s="66" t="s">
        <v>532</v>
      </c>
      <c r="C7" s="66">
        <v>10800000</v>
      </c>
      <c r="D7" s="66">
        <v>13944000</v>
      </c>
      <c r="E7" s="66">
        <v>17688000</v>
      </c>
      <c r="F7" s="66">
        <v>17688000</v>
      </c>
      <c r="G7" s="66">
        <v>21288000</v>
      </c>
      <c r="H7" s="66"/>
      <c r="I7" s="66"/>
      <c r="J7" s="66"/>
      <c r="K7" s="66"/>
      <c r="L7" s="66">
        <v>0</v>
      </c>
      <c r="M7" s="66">
        <v>10800000</v>
      </c>
      <c r="N7" s="66">
        <v>32400000</v>
      </c>
      <c r="O7" s="66">
        <v>32400000</v>
      </c>
      <c r="P7" s="66">
        <v>108000000</v>
      </c>
      <c r="Q7" s="66">
        <v>144000000</v>
      </c>
      <c r="R7" s="266"/>
      <c r="S7" s="266"/>
      <c r="T7" s="100">
        <f t="shared" si="0"/>
        <v>36000000</v>
      </c>
    </row>
    <row r="8" spans="1:20" ht="26.1" customHeight="1">
      <c r="A8" s="169">
        <v>21105</v>
      </c>
      <c r="B8" s="66" t="s">
        <v>878</v>
      </c>
      <c r="C8" s="66"/>
      <c r="D8" s="66"/>
      <c r="E8" s="66"/>
      <c r="F8" s="66"/>
      <c r="G8" s="66"/>
      <c r="H8" s="66"/>
      <c r="I8" s="66"/>
      <c r="J8" s="66"/>
      <c r="K8" s="66"/>
      <c r="L8" s="66">
        <v>0</v>
      </c>
      <c r="M8" s="66">
        <v>37440000</v>
      </c>
      <c r="N8" s="66"/>
      <c r="O8" s="66"/>
      <c r="P8" s="66"/>
      <c r="Q8" s="66">
        <v>30000000</v>
      </c>
      <c r="R8" s="266"/>
      <c r="S8" s="266"/>
      <c r="T8" s="100">
        <f t="shared" si="0"/>
        <v>30000000</v>
      </c>
    </row>
    <row r="9" spans="1:20" ht="26.1" customHeight="1">
      <c r="A9" s="249">
        <v>2120</v>
      </c>
      <c r="B9" s="106" t="s">
        <v>156</v>
      </c>
      <c r="C9" s="66"/>
      <c r="D9" s="66"/>
      <c r="E9" s="66"/>
      <c r="F9" s="66"/>
      <c r="G9" s="66"/>
      <c r="H9" s="66"/>
      <c r="I9" s="66"/>
      <c r="J9" s="66"/>
      <c r="K9" s="66"/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266"/>
      <c r="S9" s="266"/>
      <c r="T9" s="100">
        <f t="shared" si="0"/>
        <v>0</v>
      </c>
    </row>
    <row r="10" spans="1:20" ht="26.1" customHeight="1">
      <c r="A10" s="169">
        <v>21203</v>
      </c>
      <c r="B10" s="66" t="s">
        <v>158</v>
      </c>
      <c r="C10" s="66">
        <v>11700000</v>
      </c>
      <c r="D10" s="66">
        <v>15000000</v>
      </c>
      <c r="E10" s="66">
        <v>15000000</v>
      </c>
      <c r="F10" s="66">
        <v>15000000</v>
      </c>
      <c r="G10" s="66">
        <v>14400000</v>
      </c>
      <c r="H10" s="66"/>
      <c r="I10" s="66"/>
      <c r="J10" s="66"/>
      <c r="K10" s="66"/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266"/>
      <c r="S10" s="266"/>
      <c r="T10" s="100">
        <f t="shared" si="0"/>
        <v>0</v>
      </c>
    </row>
    <row r="11" spans="1:20" ht="26.1" customHeight="1">
      <c r="A11" s="169"/>
      <c r="B11" s="106" t="s">
        <v>59</v>
      </c>
      <c r="C11" s="66">
        <v>5000000</v>
      </c>
      <c r="D11" s="66">
        <v>2000000</v>
      </c>
      <c r="E11" s="66">
        <v>2000000</v>
      </c>
      <c r="F11" s="66">
        <v>6000000</v>
      </c>
      <c r="G11" s="66">
        <v>4800000</v>
      </c>
      <c r="H11" s="106">
        <f>SUM(H6:H10)</f>
        <v>121039200</v>
      </c>
      <c r="I11" s="66"/>
      <c r="J11" s="66"/>
      <c r="K11" s="66"/>
      <c r="L11" s="106">
        <f>SUM(L6:L10)</f>
        <v>121039200</v>
      </c>
      <c r="M11" s="106" t="e">
        <f>SUM(M5:M10)</f>
        <v>#REF!</v>
      </c>
      <c r="N11" s="106">
        <f>SUM(N5:N10)</f>
        <v>961348800</v>
      </c>
      <c r="O11" s="106">
        <f>SUM(O5:O10)</f>
        <v>1131950400</v>
      </c>
      <c r="P11" s="106">
        <f>SUM(P5:P10)</f>
        <v>1464865920</v>
      </c>
      <c r="Q11" s="106">
        <f>SUM(Q5:Q10)</f>
        <v>1580136960</v>
      </c>
      <c r="R11" s="266"/>
      <c r="S11" s="266"/>
      <c r="T11" s="105">
        <f t="shared" si="0"/>
        <v>115271040</v>
      </c>
    </row>
    <row r="12" spans="1:20" ht="26.1" customHeight="1">
      <c r="A12" s="249">
        <v>220</v>
      </c>
      <c r="B12" s="106" t="s">
        <v>159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/>
      <c r="I12" s="106"/>
      <c r="J12" s="106"/>
      <c r="K12" s="106"/>
      <c r="L12" s="66"/>
      <c r="M12" s="66"/>
      <c r="N12" s="66"/>
      <c r="O12" s="66"/>
      <c r="P12" s="66"/>
      <c r="Q12" s="66"/>
      <c r="R12" s="266"/>
      <c r="S12" s="266"/>
      <c r="T12" s="100">
        <f t="shared" si="0"/>
        <v>0</v>
      </c>
    </row>
    <row r="13" spans="1:20" ht="26.1" customHeight="1">
      <c r="A13" s="249">
        <v>2210</v>
      </c>
      <c r="B13" s="106" t="s">
        <v>160</v>
      </c>
      <c r="C13" s="106">
        <f>SUM(C10:C12)</f>
        <v>16700000</v>
      </c>
      <c r="D13" s="106">
        <f>SUM(D10:D12)</f>
        <v>17000000</v>
      </c>
      <c r="E13" s="106">
        <f>SUM(E10:E12)</f>
        <v>17000000</v>
      </c>
      <c r="F13" s="106">
        <f>SUM(F10:F12)</f>
        <v>21000000</v>
      </c>
      <c r="G13" s="106">
        <f>SUM(G10:G12)</f>
        <v>19200000</v>
      </c>
      <c r="H13" s="106"/>
      <c r="I13" s="66"/>
      <c r="J13" s="66"/>
      <c r="K13" s="66"/>
      <c r="L13" s="106"/>
      <c r="M13" s="106"/>
      <c r="N13" s="106"/>
      <c r="O13" s="106"/>
      <c r="P13" s="106"/>
      <c r="Q13" s="106"/>
      <c r="R13" s="266"/>
      <c r="S13" s="266"/>
      <c r="T13" s="100">
        <f t="shared" si="0"/>
        <v>0</v>
      </c>
    </row>
    <row r="14" spans="1:20" ht="26.1" customHeight="1">
      <c r="A14" s="169">
        <v>22101</v>
      </c>
      <c r="B14" s="66" t="s">
        <v>14</v>
      </c>
      <c r="C14" s="66"/>
      <c r="D14" s="66"/>
      <c r="E14" s="66"/>
      <c r="F14" s="66"/>
      <c r="G14" s="66"/>
      <c r="H14" s="66"/>
      <c r="I14" s="66"/>
      <c r="J14" s="66"/>
      <c r="K14" s="66"/>
      <c r="L14" s="66">
        <v>0</v>
      </c>
      <c r="M14" s="66">
        <v>0</v>
      </c>
      <c r="N14" s="66">
        <v>20000000</v>
      </c>
      <c r="O14" s="66">
        <v>20000000</v>
      </c>
      <c r="P14" s="66">
        <v>30000000</v>
      </c>
      <c r="Q14" s="66">
        <v>30000000</v>
      </c>
      <c r="R14" s="266"/>
      <c r="S14" s="266"/>
      <c r="T14" s="100">
        <f t="shared" si="0"/>
        <v>0</v>
      </c>
    </row>
    <row r="15" spans="1:20" ht="26.1" customHeight="1">
      <c r="A15" s="169">
        <v>22102</v>
      </c>
      <c r="B15" s="66" t="s">
        <v>82</v>
      </c>
      <c r="C15" s="66">
        <v>24200000</v>
      </c>
      <c r="D15" s="66">
        <v>5065120</v>
      </c>
      <c r="E15" s="66">
        <v>0</v>
      </c>
      <c r="F15" s="66">
        <v>0</v>
      </c>
      <c r="G15" s="66">
        <v>0</v>
      </c>
      <c r="H15" s="66"/>
      <c r="I15" s="106"/>
      <c r="J15" s="106"/>
      <c r="K15" s="106"/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266"/>
      <c r="S15" s="266"/>
      <c r="T15" s="100">
        <f t="shared" si="0"/>
        <v>0</v>
      </c>
    </row>
    <row r="16" spans="1:20" ht="26.1" customHeight="1">
      <c r="A16" s="169">
        <v>22103</v>
      </c>
      <c r="B16" s="66" t="s">
        <v>83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/>
      <c r="I16" s="66"/>
      <c r="J16" s="66"/>
      <c r="K16" s="66"/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266"/>
      <c r="S16" s="266"/>
      <c r="T16" s="100">
        <f t="shared" si="0"/>
        <v>0</v>
      </c>
    </row>
    <row r="17" spans="1:20" ht="26.1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>
        <v>20000000</v>
      </c>
      <c r="I17" s="66"/>
      <c r="J17" s="66"/>
      <c r="K17" s="66"/>
      <c r="L17" s="66">
        <v>20000000</v>
      </c>
      <c r="M17" s="66">
        <f>20000000*70%</f>
        <v>14000000</v>
      </c>
      <c r="N17" s="66">
        <f>20000000*70%</f>
        <v>14000000</v>
      </c>
      <c r="O17" s="66">
        <v>20000000</v>
      </c>
      <c r="P17" s="66">
        <v>50000000</v>
      </c>
      <c r="Q17" s="66">
        <v>50000000</v>
      </c>
      <c r="R17" s="266"/>
      <c r="S17" s="266"/>
      <c r="T17" s="100">
        <f t="shared" si="0"/>
        <v>0</v>
      </c>
    </row>
    <row r="18" spans="1:20" ht="26.1" customHeight="1">
      <c r="A18" s="169">
        <v>22105</v>
      </c>
      <c r="B18" s="66" t="s">
        <v>356</v>
      </c>
      <c r="C18" s="66">
        <v>3000000</v>
      </c>
      <c r="D18" s="66">
        <v>2000000</v>
      </c>
      <c r="E18" s="66">
        <v>2000000</v>
      </c>
      <c r="F18" s="66">
        <v>2000000</v>
      </c>
      <c r="G18" s="66">
        <v>3200000</v>
      </c>
      <c r="H18" s="66"/>
      <c r="I18" s="66"/>
      <c r="J18" s="66"/>
      <c r="K18" s="66"/>
      <c r="L18" s="66">
        <v>0</v>
      </c>
      <c r="M18" s="66">
        <v>0</v>
      </c>
      <c r="N18" s="66">
        <v>64800000</v>
      </c>
      <c r="O18" s="66">
        <v>64800000</v>
      </c>
      <c r="P18" s="66">
        <v>64800000</v>
      </c>
      <c r="Q18" s="66">
        <v>90000000</v>
      </c>
      <c r="R18" s="266"/>
      <c r="S18" s="266"/>
      <c r="T18" s="100">
        <f t="shared" si="0"/>
        <v>25200000</v>
      </c>
    </row>
    <row r="19" spans="1:20" ht="26.1" customHeight="1">
      <c r="A19" s="169">
        <v>22107</v>
      </c>
      <c r="B19" s="66" t="s">
        <v>584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>
        <v>0</v>
      </c>
      <c r="O19" s="66">
        <v>20000000</v>
      </c>
      <c r="P19" s="66">
        <v>40000000</v>
      </c>
      <c r="Q19" s="66">
        <v>40000000</v>
      </c>
      <c r="R19" s="266"/>
      <c r="S19" s="266"/>
      <c r="T19" s="100">
        <f t="shared" si="0"/>
        <v>0</v>
      </c>
    </row>
    <row r="20" spans="1:20" ht="26.1" customHeight="1">
      <c r="A20" s="169">
        <v>22108</v>
      </c>
      <c r="B20" s="66" t="s">
        <v>741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3600000</v>
      </c>
      <c r="P20" s="66">
        <v>7200000</v>
      </c>
      <c r="Q20" s="66">
        <v>7200000</v>
      </c>
      <c r="R20" s="266"/>
      <c r="S20" s="266"/>
      <c r="T20" s="100">
        <f t="shared" si="0"/>
        <v>0</v>
      </c>
    </row>
    <row r="21" spans="1:20" ht="26.1" customHeight="1">
      <c r="A21" s="169">
        <v>22109</v>
      </c>
      <c r="B21" s="66" t="s">
        <v>840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>
        <v>20000000</v>
      </c>
      <c r="R21" s="266"/>
      <c r="S21" s="266"/>
      <c r="T21" s="100"/>
    </row>
    <row r="22" spans="1:20" ht="26.1" customHeight="1">
      <c r="A22" s="169">
        <v>22112</v>
      </c>
      <c r="B22" s="66" t="s">
        <v>113</v>
      </c>
      <c r="C22" s="66"/>
      <c r="D22" s="66"/>
      <c r="E22" s="66"/>
      <c r="F22" s="66"/>
      <c r="G22" s="66"/>
      <c r="H22" s="66"/>
      <c r="I22" s="66"/>
      <c r="J22" s="66"/>
      <c r="K22" s="66"/>
      <c r="L22" s="66">
        <v>5000000</v>
      </c>
      <c r="M22" s="66">
        <f>5000000*70%</f>
        <v>3500000</v>
      </c>
      <c r="N22" s="66">
        <v>7000000</v>
      </c>
      <c r="O22" s="66">
        <v>7000000</v>
      </c>
      <c r="P22" s="66">
        <v>17000000</v>
      </c>
      <c r="Q22" s="66">
        <v>17000000</v>
      </c>
      <c r="R22" s="266"/>
      <c r="S22" s="266"/>
      <c r="T22" s="100">
        <f t="shared" si="0"/>
        <v>0</v>
      </c>
    </row>
    <row r="23" spans="1:20" ht="26.1" customHeight="1">
      <c r="A23" s="169">
        <v>22125</v>
      </c>
      <c r="B23" s="66" t="s">
        <v>670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>
        <v>0</v>
      </c>
      <c r="P23" s="66">
        <v>50000000</v>
      </c>
      <c r="Q23" s="66">
        <v>50000000</v>
      </c>
      <c r="R23" s="266"/>
      <c r="S23" s="266"/>
      <c r="T23" s="100">
        <f t="shared" si="0"/>
        <v>0</v>
      </c>
    </row>
    <row r="24" spans="1:20" ht="26.1" customHeight="1">
      <c r="A24" s="169">
        <v>22137</v>
      </c>
      <c r="B24" s="66" t="s">
        <v>756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>
        <v>0</v>
      </c>
      <c r="Q24" s="66">
        <v>60000000</v>
      </c>
      <c r="R24" s="266"/>
      <c r="S24" s="266"/>
      <c r="T24" s="100">
        <f t="shared" si="0"/>
        <v>60000000</v>
      </c>
    </row>
    <row r="25" spans="1:20" ht="26.1" customHeight="1">
      <c r="A25" s="169">
        <v>22141</v>
      </c>
      <c r="B25" s="66" t="s">
        <v>423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>
        <v>0</v>
      </c>
      <c r="Q25" s="66">
        <v>51000000</v>
      </c>
      <c r="R25" s="266"/>
      <c r="S25" s="266"/>
      <c r="T25" s="100">
        <f t="shared" si="0"/>
        <v>51000000</v>
      </c>
    </row>
    <row r="26" spans="1:20" ht="26.1" customHeight="1">
      <c r="A26" s="169"/>
      <c r="B26" s="106" t="s">
        <v>59</v>
      </c>
      <c r="C26" s="66">
        <v>10000000</v>
      </c>
      <c r="D26" s="66">
        <v>0</v>
      </c>
      <c r="E26" s="66">
        <v>0</v>
      </c>
      <c r="F26" s="66">
        <v>0</v>
      </c>
      <c r="G26" s="66">
        <v>0</v>
      </c>
      <c r="H26" s="106">
        <f>SUM(H17:H18)</f>
        <v>20000000</v>
      </c>
      <c r="I26" s="118"/>
      <c r="J26" s="118"/>
      <c r="K26" s="118"/>
      <c r="L26" s="106">
        <f>SUM(L14:L22)</f>
        <v>25000000</v>
      </c>
      <c r="M26" s="106">
        <f>SUM(M14:M22)</f>
        <v>17500000</v>
      </c>
      <c r="N26" s="106">
        <f>SUM(N14:N22)</f>
        <v>105800000</v>
      </c>
      <c r="O26" s="106">
        <f>SUM(O14:O23)</f>
        <v>135400000</v>
      </c>
      <c r="P26" s="106">
        <f>SUM(P14:P23)</f>
        <v>259000000</v>
      </c>
      <c r="Q26" s="106">
        <f>SUM(Q14:Q25)</f>
        <v>415200000</v>
      </c>
      <c r="R26" s="266"/>
      <c r="S26" s="266"/>
      <c r="T26" s="105">
        <f t="shared" si="0"/>
        <v>156200000</v>
      </c>
    </row>
    <row r="27" spans="1:20" ht="26.1" customHeight="1">
      <c r="A27" s="249">
        <v>2220</v>
      </c>
      <c r="B27" s="106" t="s">
        <v>161</v>
      </c>
      <c r="C27" s="66">
        <v>0</v>
      </c>
      <c r="D27" s="66">
        <v>0</v>
      </c>
      <c r="E27" s="66">
        <v>3418500</v>
      </c>
      <c r="F27" s="66">
        <v>27430292</v>
      </c>
      <c r="G27" s="66">
        <v>0</v>
      </c>
      <c r="H27" s="66"/>
      <c r="I27" s="118"/>
      <c r="J27" s="118"/>
      <c r="K27" s="118"/>
      <c r="L27" s="66"/>
      <c r="M27" s="66"/>
      <c r="N27" s="66"/>
      <c r="O27" s="66"/>
      <c r="P27" s="66"/>
      <c r="Q27" s="66"/>
      <c r="R27" s="266"/>
      <c r="S27" s="266"/>
      <c r="T27" s="100">
        <f t="shared" si="0"/>
        <v>0</v>
      </c>
    </row>
    <row r="28" spans="1:20" ht="26.1" customHeight="1">
      <c r="A28" s="169">
        <v>22201</v>
      </c>
      <c r="B28" s="66" t="s">
        <v>90</v>
      </c>
      <c r="C28" s="66"/>
      <c r="D28" s="66"/>
      <c r="E28" s="66"/>
      <c r="F28" s="66"/>
      <c r="G28" s="66"/>
      <c r="H28" s="66"/>
      <c r="I28" s="118"/>
      <c r="J28" s="118"/>
      <c r="K28" s="118"/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266"/>
      <c r="S28" s="266"/>
      <c r="T28" s="100">
        <f t="shared" si="0"/>
        <v>0</v>
      </c>
    </row>
    <row r="29" spans="1:20" ht="26.1" customHeight="1">
      <c r="A29" s="169">
        <v>22202</v>
      </c>
      <c r="B29" s="66" t="s">
        <v>91</v>
      </c>
      <c r="C29" s="106" t="e">
        <f>#REF!+#REF!+#REF!+C13+#REF!</f>
        <v>#REF!</v>
      </c>
      <c r="D29" s="106" t="e">
        <f>#REF!+#REF!+#REF!+D13+#REF!</f>
        <v>#REF!</v>
      </c>
      <c r="E29" s="106" t="e">
        <f>#REF!+#REF!+#REF!+E13+#REF!</f>
        <v>#REF!</v>
      </c>
      <c r="F29" s="106" t="e">
        <f>#REF!+#REF!+#REF!+F13+#REF!</f>
        <v>#REF!</v>
      </c>
      <c r="G29" s="106" t="e">
        <f>#REF!+#REF!+#REF!+G13+#REF!</f>
        <v>#REF!</v>
      </c>
      <c r="H29" s="66">
        <v>60000000</v>
      </c>
      <c r="I29" s="118"/>
      <c r="J29" s="118"/>
      <c r="K29" s="118"/>
      <c r="L29" s="66">
        <v>60000000</v>
      </c>
      <c r="M29" s="66">
        <f>60000000*70%</f>
        <v>42000000</v>
      </c>
      <c r="N29" s="66">
        <v>59600000</v>
      </c>
      <c r="O29" s="66">
        <v>79600000</v>
      </c>
      <c r="P29" s="66">
        <v>109600000</v>
      </c>
      <c r="Q29" s="66">
        <v>129600000</v>
      </c>
      <c r="R29" s="266"/>
      <c r="S29" s="266"/>
      <c r="T29" s="100">
        <f t="shared" si="0"/>
        <v>20000000</v>
      </c>
    </row>
    <row r="30" spans="1:20" ht="26.1" customHeight="1">
      <c r="A30" s="169">
        <v>22203</v>
      </c>
      <c r="B30" s="66" t="s">
        <v>85</v>
      </c>
      <c r="C30" s="118"/>
      <c r="D30" s="118"/>
      <c r="E30" s="118"/>
      <c r="F30" s="100" t="e">
        <f>SUM(F26:F29)</f>
        <v>#REF!</v>
      </c>
      <c r="G30" s="100"/>
      <c r="H30" s="100">
        <v>18000000</v>
      </c>
      <c r="I30" s="118"/>
      <c r="J30" s="118"/>
      <c r="K30" s="118"/>
      <c r="L30" s="100">
        <v>18000000</v>
      </c>
      <c r="M30" s="100">
        <f>18000000*70%</f>
        <v>12600000</v>
      </c>
      <c r="N30" s="100">
        <v>15000000</v>
      </c>
      <c r="O30" s="100">
        <v>15000000</v>
      </c>
      <c r="P30" s="100">
        <v>15000000</v>
      </c>
      <c r="Q30" s="100">
        <v>20000000</v>
      </c>
      <c r="R30" s="266"/>
      <c r="S30" s="266"/>
      <c r="T30" s="100">
        <f t="shared" si="0"/>
        <v>5000000</v>
      </c>
    </row>
    <row r="31" spans="1:20" ht="26.1" customHeight="1">
      <c r="A31" s="169">
        <v>22204</v>
      </c>
      <c r="B31" s="66" t="s">
        <v>86</v>
      </c>
      <c r="C31" s="118"/>
      <c r="D31" s="118"/>
      <c r="E31" s="118"/>
      <c r="F31" s="100" t="e">
        <f>F29-F30</f>
        <v>#REF!</v>
      </c>
      <c r="G31" s="100"/>
      <c r="H31" s="100">
        <v>5000000</v>
      </c>
      <c r="I31" s="118"/>
      <c r="J31" s="118"/>
      <c r="K31" s="118"/>
      <c r="L31" s="100">
        <v>5000000</v>
      </c>
      <c r="M31" s="100">
        <f>5000000*70%</f>
        <v>3500000</v>
      </c>
      <c r="N31" s="100">
        <f>5000000*70%</f>
        <v>3500000</v>
      </c>
      <c r="O31" s="100">
        <f>5000000*70%</f>
        <v>3500000</v>
      </c>
      <c r="P31" s="100">
        <v>7000000</v>
      </c>
      <c r="Q31" s="100">
        <v>14000000</v>
      </c>
      <c r="R31" s="266"/>
      <c r="S31" s="266"/>
      <c r="T31" s="100">
        <f t="shared" si="0"/>
        <v>7000000</v>
      </c>
    </row>
    <row r="32" spans="1:20" ht="26.1" customHeight="1">
      <c r="A32" s="169">
        <v>22208</v>
      </c>
      <c r="B32" s="66" t="s">
        <v>539</v>
      </c>
      <c r="C32" s="118"/>
      <c r="D32" s="118"/>
      <c r="E32" s="118"/>
      <c r="F32" s="100"/>
      <c r="G32" s="100"/>
      <c r="H32" s="100"/>
      <c r="I32" s="118"/>
      <c r="J32" s="118"/>
      <c r="K32" s="118"/>
      <c r="L32" s="100"/>
      <c r="M32" s="100"/>
      <c r="N32" s="100"/>
      <c r="O32" s="100"/>
      <c r="P32" s="100"/>
      <c r="Q32" s="100"/>
      <c r="R32" s="266"/>
      <c r="S32" s="266"/>
      <c r="T32" s="100">
        <f t="shared" si="0"/>
        <v>0</v>
      </c>
    </row>
    <row r="33" spans="1:20" ht="26.1" customHeight="1">
      <c r="A33" s="169"/>
      <c r="B33" s="106" t="s">
        <v>59</v>
      </c>
      <c r="C33" s="118"/>
      <c r="D33" s="118"/>
      <c r="E33" s="118"/>
      <c r="F33" s="118"/>
      <c r="G33" s="118"/>
      <c r="H33" s="105">
        <f>SUM(H29:H31)</f>
        <v>83000000</v>
      </c>
      <c r="I33" s="118"/>
      <c r="J33" s="118"/>
      <c r="K33" s="118"/>
      <c r="L33" s="105">
        <f>SUM(L29:L31)</f>
        <v>83000000</v>
      </c>
      <c r="M33" s="105">
        <f>SUM(M29:M31)</f>
        <v>58100000</v>
      </c>
      <c r="N33" s="105">
        <f>SUM(N29:N31)</f>
        <v>78100000</v>
      </c>
      <c r="O33" s="105">
        <f>SUM(O28:O31)</f>
        <v>98100000</v>
      </c>
      <c r="P33" s="105">
        <f>SUM(P28:P31)</f>
        <v>131600000</v>
      </c>
      <c r="Q33" s="105">
        <f>SUM(Q28:Q31)</f>
        <v>163600000</v>
      </c>
      <c r="R33" s="266"/>
      <c r="S33" s="266"/>
      <c r="T33" s="105">
        <f t="shared" si="0"/>
        <v>32000000</v>
      </c>
    </row>
    <row r="34" spans="1:20" ht="26.1" customHeight="1">
      <c r="A34" s="249">
        <v>2230</v>
      </c>
      <c r="B34" s="106" t="s">
        <v>88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266"/>
      <c r="S34" s="266"/>
      <c r="T34" s="100">
        <f t="shared" si="0"/>
        <v>0</v>
      </c>
    </row>
    <row r="35" spans="1:20" ht="26.1" customHeight="1">
      <c r="A35" s="169">
        <v>22301</v>
      </c>
      <c r="B35" s="66" t="s">
        <v>31</v>
      </c>
      <c r="C35" s="118"/>
      <c r="D35" s="118"/>
      <c r="E35" s="118"/>
      <c r="F35" s="118"/>
      <c r="G35" s="118"/>
      <c r="H35" s="116">
        <v>6200800</v>
      </c>
      <c r="I35" s="118"/>
      <c r="J35" s="118"/>
      <c r="K35" s="118"/>
      <c r="L35" s="116">
        <v>6200800</v>
      </c>
      <c r="M35" s="116">
        <f>6200800*70%</f>
        <v>4340560</v>
      </c>
      <c r="N35" s="116">
        <v>15000000</v>
      </c>
      <c r="O35" s="116">
        <v>25000000</v>
      </c>
      <c r="P35" s="116">
        <v>25000000</v>
      </c>
      <c r="Q35" s="116">
        <v>50000000</v>
      </c>
      <c r="R35" s="266"/>
      <c r="S35" s="266"/>
      <c r="T35" s="100">
        <f t="shared" si="0"/>
        <v>25000000</v>
      </c>
    </row>
    <row r="36" spans="1:20" ht="26.1" customHeight="1">
      <c r="A36" s="169">
        <v>22302</v>
      </c>
      <c r="B36" s="66" t="s">
        <v>162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>
        <v>0</v>
      </c>
      <c r="M36" s="118">
        <v>0</v>
      </c>
      <c r="N36" s="119">
        <v>0</v>
      </c>
      <c r="O36" s="119">
        <v>0</v>
      </c>
      <c r="P36" s="119">
        <v>0</v>
      </c>
      <c r="Q36" s="119">
        <v>0</v>
      </c>
      <c r="R36" s="266"/>
      <c r="S36" s="266"/>
      <c r="T36" s="100">
        <f t="shared" si="0"/>
        <v>0</v>
      </c>
    </row>
    <row r="37" spans="1:20" ht="26.1" customHeight="1">
      <c r="A37" s="169">
        <v>22303</v>
      </c>
      <c r="B37" s="66" t="s">
        <v>163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>
        <v>0</v>
      </c>
      <c r="M37" s="118">
        <v>0</v>
      </c>
      <c r="N37" s="119">
        <v>0</v>
      </c>
      <c r="O37" s="119">
        <v>0</v>
      </c>
      <c r="P37" s="119">
        <v>0</v>
      </c>
      <c r="Q37" s="119">
        <v>0</v>
      </c>
      <c r="R37" s="266"/>
      <c r="S37" s="266"/>
      <c r="T37" s="100">
        <f t="shared" si="0"/>
        <v>0</v>
      </c>
    </row>
    <row r="38" spans="1:20" ht="26.1" customHeight="1">
      <c r="A38" s="169"/>
      <c r="B38" s="106" t="s">
        <v>59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7">
        <f t="shared" ref="L38:P38" si="1">SUM(L35:L37)</f>
        <v>6200800</v>
      </c>
      <c r="M38" s="117">
        <f t="shared" si="1"/>
        <v>4340560</v>
      </c>
      <c r="N38" s="117">
        <f t="shared" si="1"/>
        <v>15000000</v>
      </c>
      <c r="O38" s="117">
        <f t="shared" si="1"/>
        <v>25000000</v>
      </c>
      <c r="P38" s="117">
        <f t="shared" si="1"/>
        <v>25000000</v>
      </c>
      <c r="Q38" s="117">
        <f>SUM(Q35:Q37)</f>
        <v>50000000</v>
      </c>
      <c r="R38" s="266"/>
      <c r="S38" s="266"/>
      <c r="T38" s="105">
        <f t="shared" si="0"/>
        <v>25000000</v>
      </c>
    </row>
    <row r="39" spans="1:20" ht="26.1" customHeight="1">
      <c r="A39" s="249">
        <v>230</v>
      </c>
      <c r="B39" s="106" t="s">
        <v>352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7"/>
      <c r="M39" s="117"/>
      <c r="N39" s="117"/>
      <c r="O39" s="117"/>
      <c r="P39" s="117"/>
      <c r="Q39" s="117"/>
      <c r="R39" s="266"/>
      <c r="S39" s="266"/>
      <c r="T39" s="100">
        <f t="shared" si="0"/>
        <v>0</v>
      </c>
    </row>
    <row r="40" spans="1:20" ht="26.1" customHeight="1">
      <c r="A40" s="169">
        <v>23101</v>
      </c>
      <c r="B40" s="66" t="s">
        <v>353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7"/>
      <c r="M40" s="117"/>
      <c r="N40" s="116">
        <v>18000000</v>
      </c>
      <c r="O40" s="119">
        <v>0</v>
      </c>
      <c r="P40" s="66">
        <v>30000000</v>
      </c>
      <c r="Q40" s="66">
        <v>15000000</v>
      </c>
      <c r="R40" s="266"/>
      <c r="S40" s="266"/>
      <c r="T40" s="100">
        <f t="shared" si="0"/>
        <v>-15000000</v>
      </c>
    </row>
    <row r="41" spans="1:20" ht="26.1" customHeight="1">
      <c r="A41" s="169">
        <v>23102</v>
      </c>
      <c r="B41" s="66" t="s">
        <v>446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7"/>
      <c r="M41" s="117">
        <v>0</v>
      </c>
      <c r="N41" s="116">
        <v>39000000</v>
      </c>
      <c r="O41" s="66">
        <v>150000000</v>
      </c>
      <c r="P41" s="66">
        <v>66000000</v>
      </c>
      <c r="Q41" s="66">
        <v>0</v>
      </c>
      <c r="R41" s="266"/>
      <c r="S41" s="266"/>
      <c r="T41" s="100">
        <f t="shared" si="0"/>
        <v>-66000000</v>
      </c>
    </row>
    <row r="42" spans="1:20" ht="26.1" customHeight="1">
      <c r="A42" s="249"/>
      <c r="B42" s="106" t="s">
        <v>59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7"/>
      <c r="M42" s="117"/>
      <c r="N42" s="117">
        <f>SUM(N40:N41)</f>
        <v>57000000</v>
      </c>
      <c r="O42" s="106">
        <f>SUM(O40:O41)</f>
        <v>150000000</v>
      </c>
      <c r="P42" s="106">
        <f>SUM(P40:P41)</f>
        <v>96000000</v>
      </c>
      <c r="Q42" s="106">
        <f>SUM(Q40:Q41)</f>
        <v>15000000</v>
      </c>
      <c r="R42" s="266"/>
      <c r="S42" s="266"/>
      <c r="T42" s="105">
        <f t="shared" si="0"/>
        <v>-81000000</v>
      </c>
    </row>
    <row r="43" spans="1:20" ht="26.1" customHeight="1">
      <c r="A43" s="169"/>
      <c r="B43" s="106" t="s">
        <v>18</v>
      </c>
      <c r="C43" s="118"/>
      <c r="D43" s="118"/>
      <c r="E43" s="118"/>
      <c r="F43" s="118"/>
      <c r="G43" s="118"/>
      <c r="H43" s="105" t="e">
        <f>#REF!+H33+H26+H11</f>
        <v>#REF!</v>
      </c>
      <c r="I43" s="118"/>
      <c r="J43" s="118"/>
      <c r="K43" s="118"/>
      <c r="L43" s="105">
        <f>L38+L33+L26+L11+L8</f>
        <v>235240000</v>
      </c>
      <c r="M43" s="105" t="e">
        <f>M38+M33+M26+M11</f>
        <v>#REF!</v>
      </c>
      <c r="N43" s="105">
        <f>N42+N38+N33+N26+N11</f>
        <v>1217248800</v>
      </c>
      <c r="O43" s="105">
        <f>O42+O38+O33+O26+O11</f>
        <v>1540450400</v>
      </c>
      <c r="P43" s="105">
        <f>P42+P38+P33+P26+P11</f>
        <v>1976465920</v>
      </c>
      <c r="Q43" s="105">
        <f>Q42+Q38+Q33+Q26+Q11</f>
        <v>2223936960</v>
      </c>
      <c r="R43" s="266"/>
      <c r="S43" s="266"/>
      <c r="T43" s="105">
        <f t="shared" si="0"/>
        <v>247471040</v>
      </c>
    </row>
  </sheetData>
  <phoneticPr fontId="37" type="noConversion"/>
  <pageMargins left="0.45" right="0.26" top="0.98" bottom="0.81" header="0.31" footer="0.31"/>
  <pageSetup scale="58" orientation="portrait" r:id="rId1"/>
  <headerFooter alignWithMargins="0">
    <oddHeader>&amp;C&amp;"Algerian,Bold"&amp;36GUDIdA XUQUUQAL INSAANKA QARANKA</oddHeader>
    <oddFooter>&amp;R&amp;"Times New Roman,Bold"&amp;14 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60" workbookViewId="0">
      <selection activeCell="S15" sqref="S15"/>
    </sheetView>
  </sheetViews>
  <sheetFormatPr defaultRowHeight="27" customHeight="1"/>
  <cols>
    <col min="1" max="1" width="18.1640625" style="376" bestFit="1" customWidth="1"/>
    <col min="2" max="2" width="73.6640625" style="181" customWidth="1"/>
    <col min="3" max="7" width="9.33203125" style="181" hidden="1" customWidth="1"/>
    <col min="8" max="8" width="0.1640625" style="181" hidden="1" customWidth="1"/>
    <col min="9" max="9" width="9.33203125" style="181" hidden="1" customWidth="1"/>
    <col min="10" max="10" width="4.1640625" style="181" hidden="1" customWidth="1"/>
    <col min="11" max="11" width="19.1640625" style="181" hidden="1" customWidth="1"/>
    <col min="12" max="12" width="19.83203125" style="181" hidden="1" customWidth="1"/>
    <col min="13" max="13" width="22" style="181" hidden="1" customWidth="1"/>
    <col min="14" max="14" width="22.33203125" style="181" hidden="1" customWidth="1"/>
    <col min="15" max="16" width="24.33203125" style="181" hidden="1" customWidth="1"/>
    <col min="17" max="18" width="23.6640625" style="181" customWidth="1"/>
    <col min="19" max="19" width="27.6640625" style="181" customWidth="1"/>
    <col min="20" max="16384" width="9.33203125" style="181"/>
  </cols>
  <sheetData>
    <row r="1" spans="1:19" ht="27" customHeight="1">
      <c r="A1" s="534" t="s">
        <v>21</v>
      </c>
      <c r="B1" s="354" t="s">
        <v>776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18"/>
      <c r="P1" s="118"/>
      <c r="Q1" s="118"/>
      <c r="R1" s="118"/>
      <c r="S1" s="266"/>
    </row>
    <row r="2" spans="1:19" ht="27" customHeight="1">
      <c r="A2" s="534" t="s">
        <v>6</v>
      </c>
      <c r="B2" s="354" t="s">
        <v>7</v>
      </c>
      <c r="C2" s="256" t="s">
        <v>19</v>
      </c>
      <c r="D2" s="256" t="s">
        <v>2</v>
      </c>
      <c r="E2" s="256" t="s">
        <v>24</v>
      </c>
      <c r="F2" s="256" t="s">
        <v>28</v>
      </c>
      <c r="G2" s="256" t="s">
        <v>28</v>
      </c>
      <c r="H2" s="256" t="s">
        <v>33</v>
      </c>
      <c r="I2" s="256" t="s">
        <v>40</v>
      </c>
      <c r="J2" s="256" t="s">
        <v>66</v>
      </c>
      <c r="K2" s="256" t="s">
        <v>69</v>
      </c>
      <c r="L2" s="256" t="s">
        <v>76</v>
      </c>
      <c r="M2" s="256" t="s">
        <v>110</v>
      </c>
      <c r="N2" s="256" t="s">
        <v>166</v>
      </c>
      <c r="O2" s="256" t="s">
        <v>318</v>
      </c>
      <c r="P2" s="256" t="s">
        <v>530</v>
      </c>
      <c r="Q2" s="256" t="s">
        <v>605</v>
      </c>
      <c r="R2" s="256" t="s">
        <v>722</v>
      </c>
      <c r="S2" s="112" t="s">
        <v>34</v>
      </c>
    </row>
    <row r="3" spans="1:19" ht="27" customHeight="1">
      <c r="A3" s="249">
        <v>210</v>
      </c>
      <c r="B3" s="106" t="s">
        <v>95</v>
      </c>
      <c r="C3" s="118"/>
      <c r="D3" s="118"/>
      <c r="E3" s="118"/>
      <c r="F3" s="118"/>
      <c r="G3" s="118" t="s">
        <v>4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27" customHeight="1">
      <c r="A4" s="249">
        <v>2110</v>
      </c>
      <c r="B4" s="106" t="s">
        <v>155</v>
      </c>
      <c r="C4" s="66">
        <v>14053000</v>
      </c>
      <c r="D4" s="66">
        <v>18828000</v>
      </c>
      <c r="E4" s="66">
        <v>23040000</v>
      </c>
      <c r="F4" s="66">
        <v>22740000</v>
      </c>
      <c r="G4" s="66">
        <v>0</v>
      </c>
      <c r="H4" s="66">
        <f>36948000+3192000</f>
        <v>40140000</v>
      </c>
      <c r="I4" s="66">
        <v>489600000</v>
      </c>
      <c r="J4" s="66">
        <v>636480000</v>
      </c>
      <c r="K4" s="66">
        <v>0</v>
      </c>
      <c r="L4" s="66">
        <f>9235200+1872000+4149600</f>
        <v>15256800</v>
      </c>
      <c r="M4" s="66"/>
      <c r="N4" s="100"/>
      <c r="O4" s="100"/>
      <c r="P4" s="100"/>
      <c r="Q4" s="100"/>
      <c r="R4" s="100"/>
      <c r="S4" s="118"/>
    </row>
    <row r="5" spans="1:19" ht="27" customHeight="1">
      <c r="A5" s="169">
        <v>21101</v>
      </c>
      <c r="B5" s="66" t="s">
        <v>9</v>
      </c>
      <c r="C5" s="66">
        <v>363600</v>
      </c>
      <c r="D5" s="66">
        <v>0</v>
      </c>
      <c r="E5" s="66">
        <v>0</v>
      </c>
      <c r="F5" s="66">
        <v>0</v>
      </c>
      <c r="G5" s="66">
        <v>0</v>
      </c>
      <c r="H5" s="66">
        <v>6780000</v>
      </c>
      <c r="I5" s="66">
        <v>0</v>
      </c>
      <c r="J5" s="66">
        <v>0</v>
      </c>
      <c r="K5" s="66">
        <v>0</v>
      </c>
      <c r="L5" s="66">
        <v>0</v>
      </c>
      <c r="M5" s="66">
        <v>15256800</v>
      </c>
      <c r="N5" s="66" t="e">
        <f>#REF!</f>
        <v>#REF!</v>
      </c>
      <c r="O5" s="66">
        <v>90448800</v>
      </c>
      <c r="P5" s="66">
        <v>38781600</v>
      </c>
      <c r="Q5" s="66">
        <v>46537920</v>
      </c>
      <c r="R5" s="66">
        <v>58780800</v>
      </c>
      <c r="S5" s="100">
        <f>R5-Q5</f>
        <v>12242880</v>
      </c>
    </row>
    <row r="6" spans="1:19" ht="27" customHeight="1">
      <c r="A6" s="169">
        <v>21102</v>
      </c>
      <c r="B6" s="66" t="s">
        <v>10</v>
      </c>
      <c r="C6" s="66">
        <v>6120000</v>
      </c>
      <c r="D6" s="66">
        <v>39600000</v>
      </c>
      <c r="E6" s="66">
        <v>39600000</v>
      </c>
      <c r="F6" s="66">
        <v>48000000</v>
      </c>
      <c r="G6" s="66">
        <v>0</v>
      </c>
      <c r="H6" s="66">
        <v>28800000</v>
      </c>
      <c r="I6" s="66">
        <v>122556000</v>
      </c>
      <c r="J6" s="66">
        <v>227072000</v>
      </c>
      <c r="K6" s="66">
        <v>0</v>
      </c>
      <c r="L6" s="66">
        <f>160800000+1128000+3600000</f>
        <v>165528000</v>
      </c>
      <c r="M6" s="66">
        <v>0</v>
      </c>
      <c r="N6" s="66">
        <v>0</v>
      </c>
      <c r="O6" s="66">
        <v>126000000</v>
      </c>
      <c r="P6" s="66">
        <v>126000000</v>
      </c>
      <c r="Q6" s="66">
        <v>276000000</v>
      </c>
      <c r="R6" s="66">
        <v>276000000</v>
      </c>
      <c r="S6" s="100">
        <f t="shared" ref="S6:S35" si="0">R6-Q6</f>
        <v>0</v>
      </c>
    </row>
    <row r="7" spans="1:19" ht="27" customHeight="1">
      <c r="A7" s="169">
        <v>21103</v>
      </c>
      <c r="B7" s="66" t="s">
        <v>532</v>
      </c>
      <c r="C7" s="66">
        <f t="shared" ref="C7:J7" si="1">SUM(C4:C6)</f>
        <v>20536600</v>
      </c>
      <c r="D7" s="66">
        <f t="shared" si="1"/>
        <v>58428000</v>
      </c>
      <c r="E7" s="66">
        <f t="shared" si="1"/>
        <v>62640000</v>
      </c>
      <c r="F7" s="66">
        <f t="shared" si="1"/>
        <v>70740000</v>
      </c>
      <c r="G7" s="66">
        <f t="shared" si="1"/>
        <v>0</v>
      </c>
      <c r="H7" s="66">
        <f t="shared" si="1"/>
        <v>75720000</v>
      </c>
      <c r="I7" s="106">
        <f t="shared" si="1"/>
        <v>612156000</v>
      </c>
      <c r="J7" s="106">
        <f t="shared" si="1"/>
        <v>863552000</v>
      </c>
      <c r="K7" s="106">
        <v>0</v>
      </c>
      <c r="L7" s="66">
        <v>0</v>
      </c>
      <c r="M7" s="66">
        <v>165528000</v>
      </c>
      <c r="N7" s="66">
        <v>165528000</v>
      </c>
      <c r="O7" s="66">
        <v>82800000</v>
      </c>
      <c r="P7" s="66">
        <v>82800000</v>
      </c>
      <c r="Q7" s="66">
        <v>180000000</v>
      </c>
      <c r="R7" s="66">
        <v>180000000</v>
      </c>
      <c r="S7" s="100">
        <f t="shared" si="0"/>
        <v>0</v>
      </c>
    </row>
    <row r="8" spans="1:19" ht="27" customHeight="1">
      <c r="A8" s="169">
        <v>21105</v>
      </c>
      <c r="B8" s="66" t="s">
        <v>399</v>
      </c>
      <c r="C8" s="66"/>
      <c r="D8" s="66"/>
      <c r="E8" s="66"/>
      <c r="F8" s="66"/>
      <c r="G8" s="66"/>
      <c r="H8" s="66"/>
      <c r="I8" s="106"/>
      <c r="J8" s="106"/>
      <c r="K8" s="106"/>
      <c r="L8" s="66"/>
      <c r="M8" s="66"/>
      <c r="N8" s="66"/>
      <c r="O8" s="66"/>
      <c r="P8" s="66">
        <v>0</v>
      </c>
      <c r="Q8" s="66">
        <v>0</v>
      </c>
      <c r="R8" s="66">
        <v>0</v>
      </c>
      <c r="S8" s="100">
        <f t="shared" si="0"/>
        <v>0</v>
      </c>
    </row>
    <row r="9" spans="1:19" ht="27" customHeight="1">
      <c r="A9" s="249">
        <v>2120</v>
      </c>
      <c r="B9" s="106" t="s">
        <v>156</v>
      </c>
      <c r="C9" s="66">
        <v>7576740</v>
      </c>
      <c r="D9" s="66">
        <v>6576534</v>
      </c>
      <c r="E9" s="66">
        <v>6576534</v>
      </c>
      <c r="F9" s="66">
        <v>11000000</v>
      </c>
      <c r="G9" s="66">
        <v>0</v>
      </c>
      <c r="H9" s="66">
        <v>45560000</v>
      </c>
      <c r="I9" s="66">
        <v>68336000</v>
      </c>
      <c r="J9" s="66">
        <v>68336000</v>
      </c>
      <c r="K9" s="66">
        <v>0</v>
      </c>
      <c r="L9" s="106">
        <f>SUM(L4:L7)</f>
        <v>180784800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100">
        <f t="shared" si="0"/>
        <v>0</v>
      </c>
    </row>
    <row r="10" spans="1:19" ht="27" customHeight="1">
      <c r="A10" s="169"/>
      <c r="B10" s="106" t="s">
        <v>59</v>
      </c>
      <c r="C10" s="66">
        <f t="shared" ref="C10:J10" si="2">SUM(C9:C9)</f>
        <v>7576740</v>
      </c>
      <c r="D10" s="66">
        <f t="shared" si="2"/>
        <v>6576534</v>
      </c>
      <c r="E10" s="66">
        <f t="shared" si="2"/>
        <v>6576534</v>
      </c>
      <c r="F10" s="66">
        <f t="shared" si="2"/>
        <v>11000000</v>
      </c>
      <c r="G10" s="66">
        <f t="shared" si="2"/>
        <v>0</v>
      </c>
      <c r="H10" s="66">
        <f t="shared" si="2"/>
        <v>45560000</v>
      </c>
      <c r="I10" s="106">
        <f t="shared" si="2"/>
        <v>68336000</v>
      </c>
      <c r="J10" s="106">
        <f t="shared" si="2"/>
        <v>68336000</v>
      </c>
      <c r="K10" s="106">
        <v>0</v>
      </c>
      <c r="L10" s="66">
        <v>20000000</v>
      </c>
      <c r="M10" s="106">
        <f t="shared" ref="M10:Q10" si="3">SUM(M5:M9)</f>
        <v>180784800</v>
      </c>
      <c r="N10" s="106" t="e">
        <f t="shared" si="3"/>
        <v>#REF!</v>
      </c>
      <c r="O10" s="106">
        <f t="shared" si="3"/>
        <v>299248800</v>
      </c>
      <c r="P10" s="106">
        <f t="shared" si="3"/>
        <v>247581600</v>
      </c>
      <c r="Q10" s="106">
        <f t="shared" si="3"/>
        <v>502537920</v>
      </c>
      <c r="R10" s="106">
        <f>SUM(R5:R9)</f>
        <v>514780800</v>
      </c>
      <c r="S10" s="105">
        <f t="shared" si="0"/>
        <v>12242880</v>
      </c>
    </row>
    <row r="11" spans="1:19" ht="27" customHeight="1">
      <c r="A11" s="249">
        <v>220</v>
      </c>
      <c r="B11" s="106" t="s">
        <v>159</v>
      </c>
      <c r="C11" s="66"/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/>
      <c r="N11" s="66"/>
      <c r="O11" s="66"/>
      <c r="P11" s="66"/>
      <c r="Q11" s="66"/>
      <c r="R11" s="66"/>
      <c r="S11" s="100">
        <f t="shared" si="0"/>
        <v>0</v>
      </c>
    </row>
    <row r="12" spans="1:19" ht="27" customHeight="1">
      <c r="A12" s="249">
        <v>2210</v>
      </c>
      <c r="B12" s="106" t="s">
        <v>160</v>
      </c>
      <c r="C12" s="66"/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6000000</v>
      </c>
      <c r="M12" s="66"/>
      <c r="N12" s="66"/>
      <c r="O12" s="66"/>
      <c r="P12" s="66"/>
      <c r="Q12" s="66"/>
      <c r="R12" s="66"/>
      <c r="S12" s="100">
        <f t="shared" si="0"/>
        <v>0</v>
      </c>
    </row>
    <row r="13" spans="1:19" ht="27" customHeight="1">
      <c r="A13" s="169">
        <v>22101</v>
      </c>
      <c r="B13" s="66" t="s">
        <v>14</v>
      </c>
      <c r="C13" s="66" t="e">
        <f>SUM(#REF!)</f>
        <v>#REF!</v>
      </c>
      <c r="D13" s="66">
        <v>0</v>
      </c>
      <c r="E13" s="66">
        <f t="shared" ref="E13:J13" si="4">SUM(E11:E12)</f>
        <v>0</v>
      </c>
      <c r="F13" s="66">
        <f t="shared" si="4"/>
        <v>0</v>
      </c>
      <c r="G13" s="66">
        <f t="shared" si="4"/>
        <v>0</v>
      </c>
      <c r="H13" s="66">
        <f t="shared" si="4"/>
        <v>0</v>
      </c>
      <c r="I13" s="106">
        <f t="shared" si="4"/>
        <v>0</v>
      </c>
      <c r="J13" s="106">
        <f t="shared" si="4"/>
        <v>0</v>
      </c>
      <c r="K13" s="106">
        <v>0</v>
      </c>
      <c r="L13" s="106">
        <v>0</v>
      </c>
      <c r="M13" s="66">
        <v>20000000</v>
      </c>
      <c r="N13" s="66">
        <f>20000000*70%</f>
        <v>14000000</v>
      </c>
      <c r="O13" s="66">
        <v>0</v>
      </c>
      <c r="P13" s="66">
        <v>0</v>
      </c>
      <c r="Q13" s="66">
        <v>0</v>
      </c>
      <c r="R13" s="66">
        <v>0</v>
      </c>
      <c r="S13" s="100">
        <f t="shared" si="0"/>
        <v>0</v>
      </c>
    </row>
    <row r="14" spans="1:19" ht="27" customHeight="1">
      <c r="A14" s="169">
        <v>22104</v>
      </c>
      <c r="B14" s="66" t="s">
        <v>116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/>
      <c r="M14" s="66">
        <v>20000000</v>
      </c>
      <c r="N14" s="66">
        <f>20000000*70%</f>
        <v>14000000</v>
      </c>
      <c r="O14" s="66">
        <v>7000000</v>
      </c>
      <c r="P14" s="66">
        <v>9000000</v>
      </c>
      <c r="Q14" s="66">
        <v>19000000</v>
      </c>
      <c r="R14" s="66">
        <v>19000000</v>
      </c>
      <c r="S14" s="100">
        <f t="shared" si="0"/>
        <v>0</v>
      </c>
    </row>
    <row r="15" spans="1:19" ht="27" customHeight="1">
      <c r="A15" s="169">
        <v>22105</v>
      </c>
      <c r="B15" s="66" t="s">
        <v>93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2400000</v>
      </c>
      <c r="J15" s="66">
        <v>3000000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42000000</v>
      </c>
      <c r="R15" s="66">
        <v>42000000</v>
      </c>
      <c r="S15" s="100">
        <f t="shared" si="0"/>
        <v>0</v>
      </c>
    </row>
    <row r="16" spans="1:19" ht="27" customHeight="1">
      <c r="A16" s="169">
        <v>22112</v>
      </c>
      <c r="B16" s="66" t="s">
        <v>16</v>
      </c>
      <c r="C16" s="66">
        <v>1746000</v>
      </c>
      <c r="D16" s="66">
        <v>1000000</v>
      </c>
      <c r="E16" s="66">
        <v>1000000</v>
      </c>
      <c r="F16" s="66">
        <v>2000000</v>
      </c>
      <c r="G16" s="66">
        <v>0</v>
      </c>
      <c r="H16" s="66">
        <v>5060000</v>
      </c>
      <c r="I16" s="66">
        <v>5000000</v>
      </c>
      <c r="J16" s="66">
        <v>5000000</v>
      </c>
      <c r="K16" s="66">
        <v>0</v>
      </c>
      <c r="L16" s="106">
        <f>SUM(L15:L15)</f>
        <v>0</v>
      </c>
      <c r="M16" s="66">
        <v>6000000</v>
      </c>
      <c r="N16" s="66">
        <f>6000000*70%</f>
        <v>4200000</v>
      </c>
      <c r="O16" s="66">
        <f>N16</f>
        <v>4200000</v>
      </c>
      <c r="P16" s="66">
        <f>O16</f>
        <v>4200000</v>
      </c>
      <c r="Q16" s="66">
        <f>P16</f>
        <v>4200000</v>
      </c>
      <c r="R16" s="66">
        <f>Q16</f>
        <v>4200000</v>
      </c>
      <c r="S16" s="100">
        <f t="shared" si="0"/>
        <v>0</v>
      </c>
    </row>
    <row r="17" spans="1:19" ht="27" customHeight="1">
      <c r="A17" s="169">
        <v>22137</v>
      </c>
      <c r="B17" s="66" t="s">
        <v>756</v>
      </c>
      <c r="C17" s="66"/>
      <c r="D17" s="66"/>
      <c r="E17" s="66"/>
      <c r="F17" s="66"/>
      <c r="G17" s="66"/>
      <c r="H17" s="66"/>
      <c r="I17" s="66"/>
      <c r="J17" s="66"/>
      <c r="K17" s="66"/>
      <c r="L17" s="106"/>
      <c r="M17" s="66"/>
      <c r="N17" s="66"/>
      <c r="O17" s="66"/>
      <c r="P17" s="66"/>
      <c r="Q17" s="66"/>
      <c r="R17" s="66">
        <v>25000000</v>
      </c>
      <c r="S17" s="100">
        <f t="shared" si="0"/>
        <v>25000000</v>
      </c>
    </row>
    <row r="18" spans="1:19" ht="27" customHeight="1">
      <c r="A18" s="169">
        <v>22163</v>
      </c>
      <c r="B18" s="66" t="s">
        <v>816</v>
      </c>
      <c r="C18" s="66"/>
      <c r="D18" s="66"/>
      <c r="E18" s="66"/>
      <c r="F18" s="66"/>
      <c r="G18" s="66"/>
      <c r="H18" s="66"/>
      <c r="I18" s="66"/>
      <c r="J18" s="66"/>
      <c r="K18" s="66"/>
      <c r="L18" s="106"/>
      <c r="M18" s="66"/>
      <c r="N18" s="66"/>
      <c r="O18" s="66"/>
      <c r="P18" s="66"/>
      <c r="Q18" s="66">
        <v>200000000</v>
      </c>
      <c r="R18" s="66">
        <v>200000000</v>
      </c>
      <c r="S18" s="100">
        <f t="shared" si="0"/>
        <v>0</v>
      </c>
    </row>
    <row r="19" spans="1:19" ht="27" customHeight="1">
      <c r="A19" s="169"/>
      <c r="B19" s="106" t="s">
        <v>59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05" t="e">
        <f>SUM(#REF!)</f>
        <v>#REF!</v>
      </c>
      <c r="M19" s="106">
        <f>SUM(M13:M16)</f>
        <v>46000000</v>
      </c>
      <c r="N19" s="106">
        <f>SUM(N13:N16)</f>
        <v>32200000</v>
      </c>
      <c r="O19" s="106">
        <f>SUM(O13:O16)</f>
        <v>11200000</v>
      </c>
      <c r="P19" s="106">
        <f>SUM(P13:P16)</f>
        <v>13200000</v>
      </c>
      <c r="Q19" s="106">
        <f>SUM(Q13:Q18)</f>
        <v>265200000</v>
      </c>
      <c r="R19" s="106">
        <f>SUM(R13:R18)</f>
        <v>290200000</v>
      </c>
      <c r="S19" s="105">
        <f t="shared" si="0"/>
        <v>25000000</v>
      </c>
    </row>
    <row r="20" spans="1:19" ht="27" customHeight="1">
      <c r="A20" s="249">
        <v>2220</v>
      </c>
      <c r="B20" s="106" t="s">
        <v>161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05" t="e">
        <f>L19+#REF!+L16+#REF!+L9</f>
        <v>#REF!</v>
      </c>
      <c r="M20" s="105"/>
      <c r="N20" s="105"/>
      <c r="O20" s="105"/>
      <c r="P20" s="105"/>
      <c r="Q20" s="105"/>
      <c r="R20" s="105"/>
      <c r="S20" s="100">
        <f t="shared" si="0"/>
        <v>0</v>
      </c>
    </row>
    <row r="21" spans="1:19" ht="27" customHeight="1">
      <c r="A21" s="169">
        <v>22201</v>
      </c>
      <c r="B21" s="66" t="s">
        <v>90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05"/>
      <c r="N21" s="105"/>
      <c r="O21" s="105"/>
      <c r="P21" s="105"/>
      <c r="Q21" s="105"/>
      <c r="R21" s="105"/>
      <c r="S21" s="100">
        <f t="shared" si="0"/>
        <v>0</v>
      </c>
    </row>
    <row r="22" spans="1:19" ht="27" customHeight="1">
      <c r="A22" s="169">
        <v>22202</v>
      </c>
      <c r="B22" s="66" t="s">
        <v>91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6">
        <v>40000000</v>
      </c>
      <c r="N22" s="116">
        <f>40000000*70%</f>
        <v>28000000</v>
      </c>
      <c r="O22" s="116">
        <f>N22*80%</f>
        <v>22400000</v>
      </c>
      <c r="P22" s="116">
        <v>22400000</v>
      </c>
      <c r="Q22" s="116">
        <v>42400000</v>
      </c>
      <c r="R22" s="116">
        <v>42400000</v>
      </c>
      <c r="S22" s="100">
        <f t="shared" si="0"/>
        <v>0</v>
      </c>
    </row>
    <row r="23" spans="1:19" ht="27" customHeight="1">
      <c r="A23" s="169">
        <v>22203</v>
      </c>
      <c r="B23" s="66" t="s">
        <v>85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6">
        <v>30000000</v>
      </c>
      <c r="N23" s="116">
        <f>30000000*70%</f>
        <v>21000000</v>
      </c>
      <c r="O23" s="116">
        <f>30000000*70%</f>
        <v>21000000</v>
      </c>
      <c r="P23" s="116">
        <f>30000000*70%</f>
        <v>21000000</v>
      </c>
      <c r="Q23" s="116">
        <f>30000000*70%</f>
        <v>21000000</v>
      </c>
      <c r="R23" s="116">
        <f>30000000*70%</f>
        <v>21000000</v>
      </c>
      <c r="S23" s="100">
        <f t="shared" si="0"/>
        <v>0</v>
      </c>
    </row>
    <row r="24" spans="1:19" ht="27" customHeight="1">
      <c r="A24" s="169"/>
      <c r="B24" s="106" t="s">
        <v>59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7">
        <f t="shared" ref="M24:Q24" si="5">SUM(M22:M23)</f>
        <v>70000000</v>
      </c>
      <c r="N24" s="117">
        <f t="shared" si="5"/>
        <v>49000000</v>
      </c>
      <c r="O24" s="117">
        <f t="shared" si="5"/>
        <v>43400000</v>
      </c>
      <c r="P24" s="117">
        <f t="shared" si="5"/>
        <v>43400000</v>
      </c>
      <c r="Q24" s="117">
        <f t="shared" si="5"/>
        <v>63400000</v>
      </c>
      <c r="R24" s="117">
        <f>SUM(R22:R23)</f>
        <v>63400000</v>
      </c>
      <c r="S24" s="105">
        <f t="shared" si="0"/>
        <v>0</v>
      </c>
    </row>
    <row r="25" spans="1:19" ht="27" customHeight="1">
      <c r="A25" s="249">
        <v>2230</v>
      </c>
      <c r="B25" s="106" t="s">
        <v>88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00">
        <f t="shared" si="0"/>
        <v>0</v>
      </c>
    </row>
    <row r="26" spans="1:19" ht="27" customHeight="1">
      <c r="A26" s="169">
        <v>22301</v>
      </c>
      <c r="B26" s="66" t="s">
        <v>31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6">
        <v>10000000</v>
      </c>
      <c r="N26" s="116">
        <f>10000000*70%</f>
        <v>7000000</v>
      </c>
      <c r="O26" s="116">
        <f>10000000*70%</f>
        <v>7000000</v>
      </c>
      <c r="P26" s="116">
        <v>12000000</v>
      </c>
      <c r="Q26" s="116">
        <v>22000000</v>
      </c>
      <c r="R26" s="116">
        <v>22000000</v>
      </c>
      <c r="S26" s="100">
        <f t="shared" si="0"/>
        <v>0</v>
      </c>
    </row>
    <row r="27" spans="1:19" ht="27" customHeight="1">
      <c r="A27" s="169">
        <v>22302</v>
      </c>
      <c r="B27" s="66" t="s">
        <v>162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>
        <v>0</v>
      </c>
      <c r="N27" s="118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f t="shared" si="0"/>
        <v>0</v>
      </c>
    </row>
    <row r="28" spans="1:19" ht="27" customHeight="1">
      <c r="A28" s="169">
        <v>22303</v>
      </c>
      <c r="B28" s="66" t="s">
        <v>163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>
        <v>0</v>
      </c>
      <c r="N28" s="118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f t="shared" si="0"/>
        <v>0</v>
      </c>
    </row>
    <row r="29" spans="1:19" ht="27" customHeight="1">
      <c r="A29" s="169"/>
      <c r="B29" s="106" t="s">
        <v>59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7">
        <f t="shared" ref="M29:Q29" si="6">SUM(M26:M28)</f>
        <v>10000000</v>
      </c>
      <c r="N29" s="117">
        <f t="shared" si="6"/>
        <v>7000000</v>
      </c>
      <c r="O29" s="117">
        <f t="shared" si="6"/>
        <v>7000000</v>
      </c>
      <c r="P29" s="117">
        <f t="shared" si="6"/>
        <v>12000000</v>
      </c>
      <c r="Q29" s="117">
        <f t="shared" si="6"/>
        <v>22000000</v>
      </c>
      <c r="R29" s="117">
        <f>SUM(R26:R28)</f>
        <v>22000000</v>
      </c>
      <c r="S29" s="105">
        <f t="shared" si="0"/>
        <v>0</v>
      </c>
    </row>
    <row r="30" spans="1:19" ht="27" customHeight="1">
      <c r="A30" s="249">
        <v>230</v>
      </c>
      <c r="B30" s="106" t="s">
        <v>165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00">
        <f t="shared" si="0"/>
        <v>0</v>
      </c>
    </row>
    <row r="31" spans="1:19" ht="27" customHeight="1">
      <c r="A31" s="249">
        <v>2310</v>
      </c>
      <c r="B31" s="106" t="s">
        <v>164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00"/>
      <c r="Q31" s="100"/>
      <c r="R31" s="100"/>
      <c r="S31" s="100">
        <f t="shared" si="0"/>
        <v>0</v>
      </c>
    </row>
    <row r="32" spans="1:19" ht="27" customHeight="1">
      <c r="A32" s="169">
        <v>23101</v>
      </c>
      <c r="B32" s="66" t="s">
        <v>172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>
        <v>0</v>
      </c>
      <c r="N32" s="118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f t="shared" si="0"/>
        <v>0</v>
      </c>
    </row>
    <row r="33" spans="1:19" ht="27" customHeight="1">
      <c r="A33" s="169">
        <v>23103</v>
      </c>
      <c r="B33" s="66" t="s">
        <v>173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>
        <v>0</v>
      </c>
      <c r="N33" s="118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f t="shared" si="0"/>
        <v>0</v>
      </c>
    </row>
    <row r="34" spans="1:19" ht="27" customHeight="1">
      <c r="A34" s="169"/>
      <c r="B34" s="106" t="s">
        <v>59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7">
        <v>0</v>
      </c>
      <c r="N34" s="117">
        <f>SUM(N32:N33)</f>
        <v>0</v>
      </c>
      <c r="O34" s="100">
        <f>SUM(O32:O33)</f>
        <v>0</v>
      </c>
      <c r="P34" s="100">
        <f>SUM(P32:P33)</f>
        <v>0</v>
      </c>
      <c r="Q34" s="100">
        <f>SUM(Q32:Q33)</f>
        <v>0</v>
      </c>
      <c r="R34" s="100">
        <f>SUM(R32:R33)</f>
        <v>0</v>
      </c>
      <c r="S34" s="100">
        <f t="shared" si="0"/>
        <v>0</v>
      </c>
    </row>
    <row r="35" spans="1:19" ht="27" customHeight="1">
      <c r="A35" s="169"/>
      <c r="B35" s="106" t="s">
        <v>18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5">
        <f t="shared" ref="M35:Q35" si="7">M34+M29+M24+M19+M10</f>
        <v>306784800</v>
      </c>
      <c r="N35" s="105" t="e">
        <f t="shared" si="7"/>
        <v>#REF!</v>
      </c>
      <c r="O35" s="105">
        <f t="shared" si="7"/>
        <v>360848800</v>
      </c>
      <c r="P35" s="105">
        <f t="shared" si="7"/>
        <v>316181600</v>
      </c>
      <c r="Q35" s="105">
        <f t="shared" si="7"/>
        <v>853137920</v>
      </c>
      <c r="R35" s="105">
        <f>R34+R29+R24+R19+R10</f>
        <v>890380800</v>
      </c>
      <c r="S35" s="105">
        <f t="shared" si="0"/>
        <v>37242880</v>
      </c>
    </row>
    <row r="36" spans="1:19" ht="27" customHeight="1">
      <c r="S36" s="535"/>
    </row>
  </sheetData>
  <phoneticPr fontId="37" type="noConversion"/>
  <pageMargins left="0.25" right="0.45" top="1.58" bottom="0.79" header="0.77" footer="0.34"/>
  <pageSetup scale="65" orientation="portrait" r:id="rId1"/>
  <headerFooter alignWithMargins="0">
    <oddHeader>&amp;C&amp;"Algerian,Bold"&amp;36GUDIdA DIB-U-HABAYNTA SHURUUCDA</oddHeader>
    <oddFooter>&amp;R&amp;"Times New Roman,Bold"&amp;14 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Q23" sqref="Q23"/>
    </sheetView>
  </sheetViews>
  <sheetFormatPr defaultColWidth="11.1640625" defaultRowHeight="27.95" customHeight="1"/>
  <cols>
    <col min="1" max="1" width="15.6640625" style="537" bestFit="1" customWidth="1"/>
    <col min="2" max="2" width="86.5" style="378" customWidth="1"/>
    <col min="3" max="3" width="9.6640625" style="378" hidden="1" customWidth="1"/>
    <col min="4" max="4" width="10.83203125" style="378" hidden="1" customWidth="1"/>
    <col min="5" max="5" width="0.33203125" style="378" hidden="1" customWidth="1"/>
    <col min="6" max="6" width="0.1640625" style="378" hidden="1" customWidth="1"/>
    <col min="7" max="12" width="11.1640625" style="378" hidden="1" customWidth="1"/>
    <col min="13" max="13" width="25.5" style="378" hidden="1" customWidth="1"/>
    <col min="14" max="14" width="0.1640625" style="378" hidden="1" customWidth="1"/>
    <col min="15" max="15" width="29.83203125" style="378" hidden="1" customWidth="1"/>
    <col min="16" max="16" width="29.83203125" style="378" bestFit="1" customWidth="1"/>
    <col min="17" max="17" width="29.83203125" style="378" customWidth="1"/>
    <col min="18" max="18" width="27.6640625" style="378" bestFit="1" customWidth="1"/>
    <col min="19" max="16384" width="11.1640625" style="378"/>
  </cols>
  <sheetData>
    <row r="1" spans="1:18" ht="27.95" customHeight="1">
      <c r="A1" s="353" t="s">
        <v>21</v>
      </c>
      <c r="B1" s="354" t="s">
        <v>777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18"/>
      <c r="O1" s="118"/>
      <c r="P1" s="118"/>
      <c r="Q1" s="118"/>
      <c r="R1" s="536"/>
    </row>
    <row r="2" spans="1:18" ht="27.95" customHeight="1">
      <c r="A2" s="353" t="s">
        <v>6</v>
      </c>
      <c r="B2" s="251" t="s">
        <v>7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35</v>
      </c>
      <c r="H2" s="256" t="s">
        <v>42</v>
      </c>
      <c r="I2" s="256" t="s">
        <v>66</v>
      </c>
      <c r="J2" s="256" t="s">
        <v>69</v>
      </c>
      <c r="K2" s="256" t="s">
        <v>75</v>
      </c>
      <c r="L2" s="256" t="s">
        <v>110</v>
      </c>
      <c r="M2" s="256" t="s">
        <v>166</v>
      </c>
      <c r="N2" s="256" t="s">
        <v>318</v>
      </c>
      <c r="O2" s="256" t="s">
        <v>530</v>
      </c>
      <c r="P2" s="256" t="s">
        <v>605</v>
      </c>
      <c r="Q2" s="256" t="s">
        <v>722</v>
      </c>
      <c r="R2" s="112" t="s">
        <v>34</v>
      </c>
    </row>
    <row r="3" spans="1:18" ht="27.95" customHeight="1">
      <c r="A3" s="249">
        <v>210</v>
      </c>
      <c r="B3" s="106" t="s">
        <v>95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27.95" customHeight="1">
      <c r="A4" s="249">
        <v>2110</v>
      </c>
      <c r="B4" s="106" t="s">
        <v>155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118"/>
    </row>
    <row r="5" spans="1:18" ht="27.95" customHeight="1">
      <c r="A5" s="169">
        <v>21101</v>
      </c>
      <c r="B5" s="66" t="s">
        <v>9</v>
      </c>
      <c r="C5" s="66"/>
      <c r="D5" s="66"/>
      <c r="E5" s="66"/>
      <c r="F5" s="66"/>
      <c r="G5" s="66"/>
      <c r="H5" s="66"/>
      <c r="I5" s="66"/>
      <c r="J5" s="66"/>
      <c r="K5" s="66"/>
      <c r="L5" s="66">
        <f>5452606800+308184000</f>
        <v>5760790800</v>
      </c>
      <c r="M5" s="66">
        <v>5752989600</v>
      </c>
      <c r="N5" s="66">
        <v>1620715200</v>
      </c>
      <c r="O5" s="66">
        <v>1705048800</v>
      </c>
      <c r="P5" s="66">
        <v>2531655360</v>
      </c>
      <c r="Q5" s="66">
        <v>2543336640</v>
      </c>
      <c r="R5" s="100">
        <f>Q5-P5</f>
        <v>11681280</v>
      </c>
    </row>
    <row r="6" spans="1:18" ht="27.95" customHeight="1">
      <c r="A6" s="169">
        <v>21102</v>
      </c>
      <c r="B6" s="66" t="s">
        <v>426</v>
      </c>
      <c r="C6" s="66"/>
      <c r="D6" s="66"/>
      <c r="E6" s="66"/>
      <c r="F6" s="66"/>
      <c r="G6" s="66"/>
      <c r="H6" s="66"/>
      <c r="I6" s="66"/>
      <c r="J6" s="66"/>
      <c r="K6" s="66"/>
      <c r="L6" s="66">
        <v>0</v>
      </c>
      <c r="M6" s="66">
        <v>413712000</v>
      </c>
      <c r="N6" s="66">
        <v>4865040000</v>
      </c>
      <c r="O6" s="66">
        <v>4962240000</v>
      </c>
      <c r="P6" s="66">
        <v>5121360000</v>
      </c>
      <c r="Q6" s="66">
        <v>5121360000</v>
      </c>
      <c r="R6" s="100">
        <f t="shared" ref="R6:R49" si="0">Q6-P6</f>
        <v>0</v>
      </c>
    </row>
    <row r="7" spans="1:18" ht="27.95" customHeight="1">
      <c r="A7" s="169">
        <v>21103</v>
      </c>
      <c r="B7" s="66" t="s">
        <v>532</v>
      </c>
      <c r="C7" s="66"/>
      <c r="D7" s="66"/>
      <c r="E7" s="66"/>
      <c r="F7" s="66"/>
      <c r="G7" s="66"/>
      <c r="H7" s="66"/>
      <c r="I7" s="66"/>
      <c r="J7" s="66"/>
      <c r="K7" s="66"/>
      <c r="L7" s="66">
        <f>110800000+61200000</f>
        <v>172000000</v>
      </c>
      <c r="M7" s="66">
        <v>132400000</v>
      </c>
      <c r="N7" s="66">
        <v>161200000</v>
      </c>
      <c r="O7" s="66">
        <v>316800000</v>
      </c>
      <c r="P7" s="66">
        <v>396000000</v>
      </c>
      <c r="Q7" s="66">
        <v>396000000</v>
      </c>
      <c r="R7" s="100">
        <f t="shared" si="0"/>
        <v>0</v>
      </c>
    </row>
    <row r="8" spans="1:18" ht="27.95" customHeight="1">
      <c r="A8" s="169">
        <v>21105</v>
      </c>
      <c r="B8" s="66" t="s">
        <v>566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>
        <v>0</v>
      </c>
      <c r="O8" s="66">
        <v>24000000</v>
      </c>
      <c r="P8" s="66">
        <v>120000000</v>
      </c>
      <c r="Q8" s="66">
        <v>120000000</v>
      </c>
      <c r="R8" s="100">
        <f t="shared" si="0"/>
        <v>0</v>
      </c>
    </row>
    <row r="9" spans="1:18" ht="27.95" customHeight="1">
      <c r="A9" s="169"/>
      <c r="B9" s="106" t="s">
        <v>59</v>
      </c>
      <c r="C9" s="66"/>
      <c r="D9" s="66"/>
      <c r="E9" s="66"/>
      <c r="F9" s="66"/>
      <c r="G9" s="66"/>
      <c r="H9" s="66"/>
      <c r="I9" s="66"/>
      <c r="J9" s="66"/>
      <c r="K9" s="66"/>
      <c r="L9" s="106">
        <f>SUM(L5:L7)</f>
        <v>5932790800</v>
      </c>
      <c r="M9" s="106">
        <f>SUM(M5:M7)</f>
        <v>6299101600</v>
      </c>
      <c r="N9" s="106">
        <f>SUM(N5:N8)</f>
        <v>6646955200</v>
      </c>
      <c r="O9" s="106">
        <f>SUM(O5:O8)</f>
        <v>7008088800</v>
      </c>
      <c r="P9" s="106">
        <f>SUM(P5:P8)</f>
        <v>8169015360</v>
      </c>
      <c r="Q9" s="106">
        <f>SUM(Q5:Q8)</f>
        <v>8180696640</v>
      </c>
      <c r="R9" s="105">
        <f t="shared" si="0"/>
        <v>11681280</v>
      </c>
    </row>
    <row r="10" spans="1:18" ht="27.95" customHeight="1">
      <c r="A10" s="249">
        <v>220</v>
      </c>
      <c r="B10" s="106" t="s">
        <v>159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100">
        <f t="shared" si="0"/>
        <v>0</v>
      </c>
    </row>
    <row r="11" spans="1:18" ht="27.95" customHeight="1">
      <c r="A11" s="249">
        <v>2210</v>
      </c>
      <c r="B11" s="106" t="s">
        <v>160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00">
        <f t="shared" si="0"/>
        <v>0</v>
      </c>
    </row>
    <row r="12" spans="1:18" ht="27.95" customHeight="1">
      <c r="A12" s="169">
        <v>22101</v>
      </c>
      <c r="B12" s="66" t="s">
        <v>14</v>
      </c>
      <c r="C12" s="66"/>
      <c r="D12" s="66"/>
      <c r="E12" s="66"/>
      <c r="F12" s="66"/>
      <c r="G12" s="66"/>
      <c r="H12" s="66"/>
      <c r="I12" s="66"/>
      <c r="J12" s="66"/>
      <c r="K12" s="66"/>
      <c r="L12" s="66">
        <f>22344000+30462320</f>
        <v>52806320</v>
      </c>
      <c r="M12" s="66">
        <v>21439366</v>
      </c>
      <c r="N12" s="66">
        <f>M12</f>
        <v>21439366</v>
      </c>
      <c r="O12" s="66">
        <f>N12</f>
        <v>21439366</v>
      </c>
      <c r="P12" s="66">
        <v>71439366</v>
      </c>
      <c r="Q12" s="66">
        <v>71439366</v>
      </c>
      <c r="R12" s="100">
        <f t="shared" si="0"/>
        <v>0</v>
      </c>
    </row>
    <row r="13" spans="1:18" ht="27.95" customHeight="1">
      <c r="A13" s="169">
        <v>22102</v>
      </c>
      <c r="B13" s="66" t="s">
        <v>82</v>
      </c>
      <c r="C13" s="66"/>
      <c r="D13" s="66"/>
      <c r="E13" s="66"/>
      <c r="F13" s="66"/>
      <c r="G13" s="66"/>
      <c r="H13" s="66"/>
      <c r="I13" s="66"/>
      <c r="J13" s="66"/>
      <c r="K13" s="66"/>
      <c r="L13" s="66">
        <f>8937600</f>
        <v>8937600</v>
      </c>
      <c r="M13" s="66">
        <v>8120000</v>
      </c>
      <c r="N13" s="66">
        <f>M13</f>
        <v>8120000</v>
      </c>
      <c r="O13" s="66">
        <v>30000000</v>
      </c>
      <c r="P13" s="66">
        <v>0</v>
      </c>
      <c r="Q13" s="66">
        <v>0</v>
      </c>
      <c r="R13" s="100">
        <f t="shared" si="0"/>
        <v>0</v>
      </c>
    </row>
    <row r="14" spans="1:18" ht="27.95" customHeight="1">
      <c r="A14" s="169">
        <v>22104</v>
      </c>
      <c r="B14" s="66" t="s">
        <v>116</v>
      </c>
      <c r="C14" s="66"/>
      <c r="D14" s="66"/>
      <c r="E14" s="66"/>
      <c r="F14" s="66"/>
      <c r="G14" s="66"/>
      <c r="H14" s="66"/>
      <c r="I14" s="66"/>
      <c r="J14" s="66"/>
      <c r="K14" s="66"/>
      <c r="L14" s="66">
        <f>67136000+77000000</f>
        <v>144136000</v>
      </c>
      <c r="M14" s="66">
        <v>86939216</v>
      </c>
      <c r="N14" s="66">
        <f>M14</f>
        <v>86939216</v>
      </c>
      <c r="O14" s="66">
        <f t="shared" ref="O14:Q15" si="1">N14</f>
        <v>86939216</v>
      </c>
      <c r="P14" s="66">
        <f t="shared" si="1"/>
        <v>86939216</v>
      </c>
      <c r="Q14" s="66">
        <f t="shared" si="1"/>
        <v>86939216</v>
      </c>
      <c r="R14" s="100">
        <f t="shared" si="0"/>
        <v>0</v>
      </c>
    </row>
    <row r="15" spans="1:18" ht="27.95" customHeight="1">
      <c r="A15" s="169">
        <v>22105</v>
      </c>
      <c r="B15" s="66" t="s">
        <v>93</v>
      </c>
      <c r="C15" s="66"/>
      <c r="D15" s="66"/>
      <c r="E15" s="66"/>
      <c r="F15" s="66"/>
      <c r="G15" s="66"/>
      <c r="H15" s="66"/>
      <c r="I15" s="66"/>
      <c r="J15" s="66"/>
      <c r="K15" s="66"/>
      <c r="L15" s="66">
        <f>3724000</f>
        <v>3724000</v>
      </c>
      <c r="M15" s="66">
        <v>4060000</v>
      </c>
      <c r="N15" s="66">
        <f>M15</f>
        <v>4060000</v>
      </c>
      <c r="O15" s="66">
        <f t="shared" si="1"/>
        <v>4060000</v>
      </c>
      <c r="P15" s="66">
        <f t="shared" si="1"/>
        <v>4060000</v>
      </c>
      <c r="Q15" s="66">
        <f t="shared" si="1"/>
        <v>4060000</v>
      </c>
      <c r="R15" s="100">
        <f t="shared" si="0"/>
        <v>0</v>
      </c>
    </row>
    <row r="16" spans="1:18" ht="27.95" customHeight="1">
      <c r="A16" s="169">
        <v>22107</v>
      </c>
      <c r="B16" s="66" t="s">
        <v>30</v>
      </c>
      <c r="C16" s="66"/>
      <c r="D16" s="66"/>
      <c r="E16" s="66"/>
      <c r="F16" s="66"/>
      <c r="G16" s="66"/>
      <c r="H16" s="66"/>
      <c r="I16" s="66"/>
      <c r="J16" s="66"/>
      <c r="K16" s="66"/>
      <c r="L16" s="66">
        <f>39792000+5213600</f>
        <v>45005600</v>
      </c>
      <c r="M16" s="66">
        <v>15717040</v>
      </c>
      <c r="N16" s="66">
        <f>M16*70%</f>
        <v>11001928</v>
      </c>
      <c r="O16" s="66">
        <v>11001928</v>
      </c>
      <c r="P16" s="66">
        <v>11001928</v>
      </c>
      <c r="Q16" s="66">
        <v>11001928</v>
      </c>
      <c r="R16" s="100">
        <f t="shared" si="0"/>
        <v>0</v>
      </c>
    </row>
    <row r="17" spans="1:18" ht="27.95" customHeight="1">
      <c r="A17" s="169">
        <v>22108</v>
      </c>
      <c r="B17" s="66" t="s">
        <v>60</v>
      </c>
      <c r="C17" s="66"/>
      <c r="D17" s="66"/>
      <c r="E17" s="66"/>
      <c r="F17" s="66"/>
      <c r="G17" s="66"/>
      <c r="H17" s="66"/>
      <c r="I17" s="66"/>
      <c r="J17" s="66"/>
      <c r="K17" s="66"/>
      <c r="L17" s="66">
        <v>1226626880</v>
      </c>
      <c r="M17" s="66">
        <f>1500000000*70%</f>
        <v>1049999999.9999999</v>
      </c>
      <c r="N17" s="66">
        <v>1600000000</v>
      </c>
      <c r="O17" s="66">
        <v>1900000000</v>
      </c>
      <c r="P17" s="66">
        <v>2300000000</v>
      </c>
      <c r="Q17" s="66">
        <v>4260000000</v>
      </c>
      <c r="R17" s="100">
        <f t="shared" si="0"/>
        <v>1960000000</v>
      </c>
    </row>
    <row r="18" spans="1:18" ht="27.95" customHeight="1">
      <c r="A18" s="169">
        <v>22109</v>
      </c>
      <c r="B18" s="66" t="s">
        <v>94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66">
        <f>17448000+5213600</f>
        <v>22661600</v>
      </c>
      <c r="M18" s="66">
        <v>14905722</v>
      </c>
      <c r="N18" s="66">
        <v>14905721</v>
      </c>
      <c r="O18" s="66">
        <v>14905721</v>
      </c>
      <c r="P18" s="66">
        <v>14905721</v>
      </c>
      <c r="Q18" s="66">
        <v>14905721</v>
      </c>
      <c r="R18" s="100">
        <f t="shared" si="0"/>
        <v>0</v>
      </c>
    </row>
    <row r="19" spans="1:18" ht="27.95" customHeight="1">
      <c r="A19" s="169">
        <v>22112</v>
      </c>
      <c r="B19" s="66" t="s">
        <v>16</v>
      </c>
      <c r="C19" s="66"/>
      <c r="D19" s="66"/>
      <c r="E19" s="66"/>
      <c r="F19" s="66"/>
      <c r="G19" s="66"/>
      <c r="H19" s="66"/>
      <c r="I19" s="66"/>
      <c r="J19" s="66"/>
      <c r="K19" s="66"/>
      <c r="L19" s="66">
        <f>17448000+49000000</f>
        <v>66448000</v>
      </c>
      <c r="M19" s="66">
        <v>44443034</v>
      </c>
      <c r="N19" s="66">
        <f>M19</f>
        <v>44443034</v>
      </c>
      <c r="O19" s="66">
        <f>N19</f>
        <v>44443034</v>
      </c>
      <c r="P19" s="66">
        <f>O19</f>
        <v>44443034</v>
      </c>
      <c r="Q19" s="66">
        <v>88000000</v>
      </c>
      <c r="R19" s="100">
        <f t="shared" si="0"/>
        <v>43556966</v>
      </c>
    </row>
    <row r="20" spans="1:18" ht="27.95" customHeight="1">
      <c r="A20" s="169">
        <v>22124</v>
      </c>
      <c r="B20" s="66" t="s">
        <v>427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3865000000</v>
      </c>
      <c r="M20" s="66">
        <f>4000000000*70%</f>
        <v>2800000000</v>
      </c>
      <c r="N20" s="66">
        <v>3600000000</v>
      </c>
      <c r="O20" s="66">
        <v>4000000000</v>
      </c>
      <c r="P20" s="66">
        <v>4100000000</v>
      </c>
      <c r="Q20" s="66">
        <v>5100000000</v>
      </c>
      <c r="R20" s="100">
        <f t="shared" si="0"/>
        <v>1000000000</v>
      </c>
    </row>
    <row r="21" spans="1:18" ht="27.95" customHeight="1">
      <c r="A21" s="169">
        <v>22132</v>
      </c>
      <c r="B21" s="66" t="s">
        <v>272</v>
      </c>
      <c r="C21" s="106"/>
      <c r="D21" s="106"/>
      <c r="E21" s="106"/>
      <c r="F21" s="106"/>
      <c r="G21" s="106"/>
      <c r="H21" s="106"/>
      <c r="I21" s="106"/>
      <c r="J21" s="106"/>
      <c r="K21" s="66"/>
      <c r="L21" s="66">
        <v>9594000</v>
      </c>
      <c r="M21" s="66">
        <v>3895164</v>
      </c>
      <c r="N21" s="66">
        <v>0</v>
      </c>
      <c r="O21" s="66">
        <v>0</v>
      </c>
      <c r="P21" s="66">
        <v>0</v>
      </c>
      <c r="Q21" s="66">
        <v>0</v>
      </c>
      <c r="R21" s="100">
        <f t="shared" si="0"/>
        <v>0</v>
      </c>
    </row>
    <row r="22" spans="1:18" ht="27.95" customHeight="1">
      <c r="A22" s="169">
        <v>22135</v>
      </c>
      <c r="B22" s="66" t="s">
        <v>335</v>
      </c>
      <c r="C22" s="106"/>
      <c r="D22" s="106"/>
      <c r="E22" s="106"/>
      <c r="F22" s="106"/>
      <c r="G22" s="106"/>
      <c r="H22" s="106"/>
      <c r="I22" s="106"/>
      <c r="J22" s="106"/>
      <c r="K22" s="66"/>
      <c r="L22" s="66">
        <v>1384504728</v>
      </c>
      <c r="M22" s="66">
        <f>4087584931*70%+1</f>
        <v>2861309452.6999998</v>
      </c>
      <c r="N22" s="66">
        <v>450000000</v>
      </c>
      <c r="O22" s="66">
        <v>450000000</v>
      </c>
      <c r="P22" s="66">
        <v>450000000</v>
      </c>
      <c r="Q22" s="66">
        <v>450000000</v>
      </c>
      <c r="R22" s="100">
        <f t="shared" si="0"/>
        <v>0</v>
      </c>
    </row>
    <row r="23" spans="1:18" ht="27.95" customHeight="1">
      <c r="A23" s="169">
        <v>22138</v>
      </c>
      <c r="B23" s="66" t="s">
        <v>209</v>
      </c>
      <c r="C23" s="66"/>
      <c r="D23" s="66"/>
      <c r="E23" s="66"/>
      <c r="F23" s="66"/>
      <c r="G23" s="66"/>
      <c r="H23" s="66"/>
      <c r="I23" s="66"/>
      <c r="J23" s="66"/>
      <c r="K23" s="106"/>
      <c r="L23" s="66">
        <v>90000000</v>
      </c>
      <c r="M23" s="66">
        <f>90000000*70%</f>
        <v>62999999.999999993</v>
      </c>
      <c r="N23" s="66">
        <v>0</v>
      </c>
      <c r="O23" s="66">
        <v>0</v>
      </c>
      <c r="P23" s="66">
        <v>0</v>
      </c>
      <c r="Q23" s="66">
        <v>0</v>
      </c>
      <c r="R23" s="100">
        <f t="shared" si="0"/>
        <v>0</v>
      </c>
    </row>
    <row r="24" spans="1:18" ht="27.95" customHeight="1">
      <c r="A24" s="169">
        <v>22147</v>
      </c>
      <c r="B24" s="66" t="s">
        <v>341</v>
      </c>
      <c r="C24" s="66"/>
      <c r="D24" s="66"/>
      <c r="E24" s="66"/>
      <c r="F24" s="66"/>
      <c r="G24" s="66"/>
      <c r="H24" s="66"/>
      <c r="I24" s="66"/>
      <c r="J24" s="66"/>
      <c r="K24" s="106"/>
      <c r="L24" s="66"/>
      <c r="M24" s="66"/>
      <c r="N24" s="66">
        <v>500000000</v>
      </c>
      <c r="O24" s="66">
        <v>900000000</v>
      </c>
      <c r="P24" s="66">
        <v>900000000</v>
      </c>
      <c r="Q24" s="66">
        <v>0</v>
      </c>
      <c r="R24" s="100">
        <f t="shared" si="0"/>
        <v>-900000000</v>
      </c>
    </row>
    <row r="25" spans="1:18" ht="27.95" customHeight="1">
      <c r="A25" s="169">
        <v>22141</v>
      </c>
      <c r="B25" s="66" t="s">
        <v>423</v>
      </c>
      <c r="C25" s="66"/>
      <c r="D25" s="66"/>
      <c r="E25" s="66"/>
      <c r="F25" s="66"/>
      <c r="G25" s="66"/>
      <c r="H25" s="66"/>
      <c r="I25" s="66"/>
      <c r="J25" s="66"/>
      <c r="K25" s="106"/>
      <c r="L25" s="66"/>
      <c r="M25" s="66"/>
      <c r="N25" s="66">
        <v>90000000</v>
      </c>
      <c r="O25" s="66">
        <v>64800000</v>
      </c>
      <c r="P25" s="66">
        <v>322804114</v>
      </c>
      <c r="Q25" s="66">
        <v>0</v>
      </c>
      <c r="R25" s="100">
        <f t="shared" si="0"/>
        <v>-322804114</v>
      </c>
    </row>
    <row r="26" spans="1:18" ht="27.95" customHeight="1">
      <c r="A26" s="169"/>
      <c r="B26" s="106" t="s">
        <v>59</v>
      </c>
      <c r="C26" s="66"/>
      <c r="D26" s="66"/>
      <c r="E26" s="66"/>
      <c r="F26" s="66"/>
      <c r="G26" s="66"/>
      <c r="H26" s="66"/>
      <c r="I26" s="66"/>
      <c r="J26" s="66"/>
      <c r="K26" s="66"/>
      <c r="L26" s="106">
        <f>SUM(L12:L23)</f>
        <v>6919444728</v>
      </c>
      <c r="M26" s="106">
        <f>SUM(M12:M23)</f>
        <v>6973828994.6999998</v>
      </c>
      <c r="N26" s="106">
        <f>SUM(N11:N25)</f>
        <v>6430909265</v>
      </c>
      <c r="O26" s="106">
        <f>SUM(O11:O25)</f>
        <v>7527589265</v>
      </c>
      <c r="P26" s="106">
        <f>SUM(P11:P25)</f>
        <v>8305593379</v>
      </c>
      <c r="Q26" s="106">
        <f>SUM(Q11:Q25)</f>
        <v>10086346231</v>
      </c>
      <c r="R26" s="105">
        <f t="shared" si="0"/>
        <v>1780752852</v>
      </c>
    </row>
    <row r="27" spans="1:18" ht="27.95" customHeight="1">
      <c r="A27" s="249">
        <v>2220</v>
      </c>
      <c r="B27" s="106" t="s">
        <v>161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100">
        <f t="shared" si="0"/>
        <v>0</v>
      </c>
    </row>
    <row r="28" spans="1:18" ht="27.95" customHeight="1">
      <c r="A28" s="169">
        <v>22202</v>
      </c>
      <c r="B28" s="66" t="s">
        <v>91</v>
      </c>
      <c r="C28" s="66"/>
      <c r="D28" s="66"/>
      <c r="E28" s="66"/>
      <c r="F28" s="66"/>
      <c r="G28" s="66"/>
      <c r="H28" s="66"/>
      <c r="I28" s="66"/>
      <c r="J28" s="66"/>
      <c r="K28" s="66"/>
      <c r="L28" s="66">
        <f>412503000+230000000</f>
        <v>642503000</v>
      </c>
      <c r="M28" s="66">
        <v>499752100</v>
      </c>
      <c r="N28" s="66">
        <v>583801680</v>
      </c>
      <c r="O28" s="66">
        <v>583801680</v>
      </c>
      <c r="P28" s="66">
        <v>683801680</v>
      </c>
      <c r="Q28" s="66">
        <v>683801680</v>
      </c>
      <c r="R28" s="100">
        <f t="shared" si="0"/>
        <v>0</v>
      </c>
    </row>
    <row r="29" spans="1:18" ht="27.95" customHeight="1">
      <c r="A29" s="169">
        <v>22203</v>
      </c>
      <c r="B29" s="66" t="s">
        <v>85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66">
        <f>37240000+32000000</f>
        <v>69240000</v>
      </c>
      <c r="M29" s="66">
        <v>33292000</v>
      </c>
      <c r="N29" s="66">
        <f t="shared" ref="N29:Q31" si="2">M29</f>
        <v>33292000</v>
      </c>
      <c r="O29" s="66">
        <f t="shared" si="2"/>
        <v>33292000</v>
      </c>
      <c r="P29" s="66">
        <f t="shared" si="2"/>
        <v>33292000</v>
      </c>
      <c r="Q29" s="66">
        <v>33292000</v>
      </c>
      <c r="R29" s="100">
        <f t="shared" si="0"/>
        <v>0</v>
      </c>
    </row>
    <row r="30" spans="1:18" ht="27.95" customHeight="1">
      <c r="A30" s="169">
        <v>22204</v>
      </c>
      <c r="B30" s="66" t="s">
        <v>86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66">
        <f>18620000+5958400</f>
        <v>24578400</v>
      </c>
      <c r="M30" s="66">
        <v>10150000</v>
      </c>
      <c r="N30" s="66">
        <f t="shared" si="2"/>
        <v>10150000</v>
      </c>
      <c r="O30" s="66">
        <f t="shared" si="2"/>
        <v>10150000</v>
      </c>
      <c r="P30" s="66">
        <f t="shared" si="2"/>
        <v>10150000</v>
      </c>
      <c r="Q30" s="66">
        <f t="shared" si="2"/>
        <v>10150000</v>
      </c>
      <c r="R30" s="100">
        <f t="shared" si="0"/>
        <v>0</v>
      </c>
    </row>
    <row r="31" spans="1:18" ht="27.95" customHeight="1">
      <c r="A31" s="169">
        <v>22208</v>
      </c>
      <c r="B31" s="66" t="s">
        <v>314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6">
        <f>601648350</f>
        <v>601648350</v>
      </c>
      <c r="M31" s="116">
        <v>121680000</v>
      </c>
      <c r="N31" s="66">
        <f t="shared" si="2"/>
        <v>121680000</v>
      </c>
      <c r="O31" s="66">
        <f t="shared" si="2"/>
        <v>121680000</v>
      </c>
      <c r="P31" s="66">
        <v>168480000</v>
      </c>
      <c r="Q31" s="66">
        <v>168480000</v>
      </c>
      <c r="R31" s="100">
        <f t="shared" si="0"/>
        <v>0</v>
      </c>
    </row>
    <row r="32" spans="1:18" ht="27.95" customHeight="1">
      <c r="A32" s="169">
        <v>22209</v>
      </c>
      <c r="B32" s="66" t="s">
        <v>145</v>
      </c>
      <c r="C32" s="66"/>
      <c r="D32" s="66"/>
      <c r="E32" s="66"/>
      <c r="F32" s="66"/>
      <c r="G32" s="66"/>
      <c r="H32" s="66"/>
      <c r="I32" s="66"/>
      <c r="J32" s="66"/>
      <c r="K32" s="66">
        <v>90</v>
      </c>
      <c r="L32" s="66">
        <v>15400000</v>
      </c>
      <c r="M32" s="66">
        <v>27608000</v>
      </c>
      <c r="N32" s="66">
        <v>0</v>
      </c>
      <c r="O32" s="66">
        <v>0</v>
      </c>
      <c r="P32" s="66">
        <v>0</v>
      </c>
      <c r="Q32" s="66">
        <v>0</v>
      </c>
      <c r="R32" s="100">
        <f t="shared" si="0"/>
        <v>0</v>
      </c>
    </row>
    <row r="33" spans="1:18" ht="27.95" customHeight="1">
      <c r="A33" s="169"/>
      <c r="B33" s="106" t="s">
        <v>59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05">
        <f t="shared" ref="L33:P33" si="3">SUM(L28:L32)</f>
        <v>1353369750</v>
      </c>
      <c r="M33" s="105">
        <f t="shared" si="3"/>
        <v>692482100</v>
      </c>
      <c r="N33" s="105">
        <f t="shared" si="3"/>
        <v>748923680</v>
      </c>
      <c r="O33" s="105">
        <f t="shared" si="3"/>
        <v>748923680</v>
      </c>
      <c r="P33" s="105">
        <f t="shared" si="3"/>
        <v>895723680</v>
      </c>
      <c r="Q33" s="105">
        <f>SUM(Q28:Q32)</f>
        <v>895723680</v>
      </c>
      <c r="R33" s="105">
        <f t="shared" si="0"/>
        <v>0</v>
      </c>
    </row>
    <row r="34" spans="1:18" ht="27.95" customHeight="1">
      <c r="A34" s="249">
        <v>2230</v>
      </c>
      <c r="B34" s="106" t="s">
        <v>88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00">
        <f t="shared" si="0"/>
        <v>0</v>
      </c>
    </row>
    <row r="35" spans="1:18" ht="27.95" customHeight="1">
      <c r="A35" s="169">
        <v>22301</v>
      </c>
      <c r="B35" s="66" t="s">
        <v>31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6">
        <f>44792401+72850034</f>
        <v>117642435</v>
      </c>
      <c r="M35" s="116">
        <v>47762829</v>
      </c>
      <c r="N35" s="116">
        <f t="shared" ref="N35:Q36" si="4">M35</f>
        <v>47762829</v>
      </c>
      <c r="O35" s="116">
        <f t="shared" si="4"/>
        <v>47762829</v>
      </c>
      <c r="P35" s="116">
        <f t="shared" si="4"/>
        <v>47762829</v>
      </c>
      <c r="Q35" s="116">
        <f t="shared" si="4"/>
        <v>47762829</v>
      </c>
      <c r="R35" s="100">
        <f t="shared" si="0"/>
        <v>0</v>
      </c>
    </row>
    <row r="36" spans="1:18" ht="27.95" customHeight="1">
      <c r="A36" s="169">
        <v>22302</v>
      </c>
      <c r="B36" s="66" t="s">
        <v>162</v>
      </c>
      <c r="C36" s="118"/>
      <c r="D36" s="118"/>
      <c r="E36" s="100" t="e">
        <f>#REF!+#REF!</f>
        <v>#REF!</v>
      </c>
      <c r="F36" s="100" t="e">
        <f>#REF!+#REF!</f>
        <v>#REF!</v>
      </c>
      <c r="G36" s="100"/>
      <c r="H36" s="100"/>
      <c r="I36" s="100"/>
      <c r="J36" s="100"/>
      <c r="K36" s="100"/>
      <c r="L36" s="116">
        <v>5586000</v>
      </c>
      <c r="M36" s="116">
        <v>2267916</v>
      </c>
      <c r="N36" s="116">
        <f t="shared" si="4"/>
        <v>2267916</v>
      </c>
      <c r="O36" s="116">
        <f t="shared" si="4"/>
        <v>2267916</v>
      </c>
      <c r="P36" s="116">
        <f t="shared" si="4"/>
        <v>2267916</v>
      </c>
      <c r="Q36" s="116">
        <f t="shared" si="4"/>
        <v>2267916</v>
      </c>
      <c r="R36" s="100">
        <f t="shared" si="0"/>
        <v>0</v>
      </c>
    </row>
    <row r="37" spans="1:18" ht="27.95" customHeight="1">
      <c r="A37" s="169">
        <v>22303</v>
      </c>
      <c r="B37" s="66" t="s">
        <v>163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00">
        <f t="shared" ref="L37:Q37" si="5">K37-J37</f>
        <v>0</v>
      </c>
      <c r="M37" s="100">
        <f t="shared" si="5"/>
        <v>0</v>
      </c>
      <c r="N37" s="100">
        <f t="shared" si="5"/>
        <v>0</v>
      </c>
      <c r="O37" s="100">
        <f t="shared" si="5"/>
        <v>0</v>
      </c>
      <c r="P37" s="100">
        <f t="shared" si="5"/>
        <v>0</v>
      </c>
      <c r="Q37" s="100">
        <f t="shared" si="5"/>
        <v>0</v>
      </c>
      <c r="R37" s="100">
        <f t="shared" si="0"/>
        <v>0</v>
      </c>
    </row>
    <row r="38" spans="1:18" ht="27.95" customHeight="1">
      <c r="A38" s="169"/>
      <c r="B38" s="106" t="s">
        <v>59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7">
        <f t="shared" ref="L38:P38" si="6">SUM(L35:L37)</f>
        <v>123228435</v>
      </c>
      <c r="M38" s="117">
        <f t="shared" si="6"/>
        <v>50030745</v>
      </c>
      <c r="N38" s="117">
        <f t="shared" si="6"/>
        <v>50030745</v>
      </c>
      <c r="O38" s="117">
        <f t="shared" si="6"/>
        <v>50030745</v>
      </c>
      <c r="P38" s="117">
        <f t="shared" si="6"/>
        <v>50030745</v>
      </c>
      <c r="Q38" s="117">
        <f>SUM(Q35:Q37)</f>
        <v>50030745</v>
      </c>
      <c r="R38" s="105">
        <f t="shared" si="0"/>
        <v>0</v>
      </c>
    </row>
    <row r="39" spans="1:18" ht="27.95" customHeight="1">
      <c r="A39" s="249">
        <v>230</v>
      </c>
      <c r="B39" s="106" t="s">
        <v>165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00">
        <f t="shared" si="0"/>
        <v>0</v>
      </c>
    </row>
    <row r="40" spans="1:18" ht="27.95" customHeight="1">
      <c r="A40" s="249">
        <v>2310</v>
      </c>
      <c r="B40" s="106" t="s">
        <v>164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00">
        <f t="shared" si="0"/>
        <v>0</v>
      </c>
    </row>
    <row r="41" spans="1:18" ht="27.95" customHeight="1">
      <c r="A41" s="169">
        <v>23101</v>
      </c>
      <c r="B41" s="66" t="s">
        <v>104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00">
        <f>K41-J41</f>
        <v>0</v>
      </c>
      <c r="M41" s="503">
        <v>40600000</v>
      </c>
      <c r="N41" s="120">
        <v>0</v>
      </c>
      <c r="O41" s="120">
        <v>0</v>
      </c>
      <c r="P41" s="120">
        <v>0</v>
      </c>
      <c r="Q41" s="131">
        <v>50000000</v>
      </c>
      <c r="R41" s="100">
        <f t="shared" si="0"/>
        <v>50000000</v>
      </c>
    </row>
    <row r="42" spans="1:18" ht="27.95" customHeight="1">
      <c r="A42" s="169">
        <v>23102</v>
      </c>
      <c r="B42" s="66" t="s">
        <v>173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00">
        <f>K42-J42</f>
        <v>0</v>
      </c>
      <c r="M42" s="121">
        <v>183750000</v>
      </c>
      <c r="N42" s="121">
        <v>108000000</v>
      </c>
      <c r="O42" s="120">
        <v>0</v>
      </c>
      <c r="P42" s="120">
        <v>0</v>
      </c>
      <c r="Q42" s="120">
        <v>0</v>
      </c>
      <c r="R42" s="100">
        <f t="shared" si="0"/>
        <v>0</v>
      </c>
    </row>
    <row r="43" spans="1:18" ht="27.95" customHeight="1">
      <c r="A43" s="169">
        <v>23103</v>
      </c>
      <c r="B43" s="66" t="s">
        <v>106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6">
        <f>5958400+5724000</f>
        <v>11682400</v>
      </c>
      <c r="M43" s="503">
        <v>4743045</v>
      </c>
      <c r="N43" s="120">
        <v>0</v>
      </c>
      <c r="O43" s="120">
        <v>0</v>
      </c>
      <c r="P43" s="120">
        <v>0</v>
      </c>
      <c r="Q43" s="131">
        <v>0</v>
      </c>
      <c r="R43" s="100">
        <f t="shared" si="0"/>
        <v>0</v>
      </c>
    </row>
    <row r="44" spans="1:18" ht="27.95" customHeight="1">
      <c r="A44" s="169">
        <v>23104</v>
      </c>
      <c r="B44" s="66" t="s">
        <v>107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00">
        <v>5234000</v>
      </c>
      <c r="M44" s="121">
        <v>2125004</v>
      </c>
      <c r="N44" s="121">
        <v>0</v>
      </c>
      <c r="O44" s="121">
        <v>0</v>
      </c>
      <c r="P44" s="121">
        <v>0</v>
      </c>
      <c r="Q44" s="121">
        <v>0</v>
      </c>
      <c r="R44" s="100">
        <f t="shared" si="0"/>
        <v>0</v>
      </c>
    </row>
    <row r="45" spans="1:18" ht="27.95" customHeight="1">
      <c r="A45" s="169"/>
      <c r="B45" s="106" t="s">
        <v>59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05">
        <f t="shared" ref="L45:P45" si="7">SUM(L41:L44)</f>
        <v>16916400</v>
      </c>
      <c r="M45" s="105">
        <f t="shared" si="7"/>
        <v>231218049</v>
      </c>
      <c r="N45" s="105">
        <f t="shared" si="7"/>
        <v>108000000</v>
      </c>
      <c r="O45" s="105">
        <f t="shared" si="7"/>
        <v>0</v>
      </c>
      <c r="P45" s="100">
        <f t="shared" si="7"/>
        <v>0</v>
      </c>
      <c r="Q45" s="105">
        <f>SUM(Q41:Q44)</f>
        <v>50000000</v>
      </c>
      <c r="R45" s="100">
        <f t="shared" si="0"/>
        <v>50000000</v>
      </c>
    </row>
    <row r="46" spans="1:18" ht="27.95" customHeight="1">
      <c r="A46" s="249">
        <v>2320</v>
      </c>
      <c r="B46" s="106" t="s">
        <v>87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00"/>
      <c r="M46" s="100"/>
      <c r="N46" s="100">
        <v>0</v>
      </c>
      <c r="O46" s="100">
        <v>0</v>
      </c>
      <c r="P46" s="100">
        <v>0</v>
      </c>
      <c r="Q46" s="100">
        <v>0</v>
      </c>
      <c r="R46" s="100">
        <f t="shared" si="0"/>
        <v>0</v>
      </c>
    </row>
    <row r="47" spans="1:18" ht="27.95" customHeight="1">
      <c r="A47" s="169">
        <v>23201</v>
      </c>
      <c r="B47" s="66" t="s">
        <v>275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00">
        <v>0</v>
      </c>
      <c r="M47" s="100">
        <f>300000000*70%</f>
        <v>210000000</v>
      </c>
      <c r="N47" s="100">
        <v>700000000</v>
      </c>
      <c r="O47" s="100">
        <v>0</v>
      </c>
      <c r="P47" s="100">
        <v>0</v>
      </c>
      <c r="Q47" s="100">
        <v>0</v>
      </c>
      <c r="R47" s="100">
        <f t="shared" si="0"/>
        <v>0</v>
      </c>
    </row>
    <row r="48" spans="1:18" ht="27.95" customHeight="1">
      <c r="A48" s="169"/>
      <c r="B48" s="106" t="s">
        <v>59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05">
        <f>SUM(L47)</f>
        <v>0</v>
      </c>
      <c r="M48" s="105">
        <f>M47</f>
        <v>210000000</v>
      </c>
      <c r="N48" s="105">
        <f>N47</f>
        <v>700000000</v>
      </c>
      <c r="O48" s="105">
        <f>SUM(O46:O47)</f>
        <v>0</v>
      </c>
      <c r="P48" s="100">
        <f>SUM(P46:P47)</f>
        <v>0</v>
      </c>
      <c r="Q48" s="100">
        <f>SUM(Q46:Q47)</f>
        <v>0</v>
      </c>
      <c r="R48" s="100">
        <f t="shared" si="0"/>
        <v>0</v>
      </c>
    </row>
    <row r="49" spans="1:18" ht="27.95" customHeight="1">
      <c r="A49" s="169"/>
      <c r="B49" s="106" t="s">
        <v>18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05" t="e">
        <f>#REF!+L45+L38+L33+L26+L9</f>
        <v>#REF!</v>
      </c>
      <c r="M49" s="105" t="e">
        <f>#REF!+M48+M45+M38+M33+M26+M9</f>
        <v>#REF!</v>
      </c>
      <c r="N49" s="105" t="e">
        <f>#REF!+N48+N45+N38+N33+N26+N9</f>
        <v>#REF!</v>
      </c>
      <c r="O49" s="105" t="e">
        <f>#REF!+O48+O45+O38+O33+O26+O9</f>
        <v>#REF!</v>
      </c>
      <c r="P49" s="105">
        <f>P48+P45+P38+P33+P26+P9</f>
        <v>17420363164</v>
      </c>
      <c r="Q49" s="105">
        <f>Q48+Q45+Q38+Q33+Q26+Q9</f>
        <v>19262797296</v>
      </c>
      <c r="R49" s="105">
        <f t="shared" si="0"/>
        <v>1842434132</v>
      </c>
    </row>
  </sheetData>
  <pageMargins left="0.7" right="0.7" top="0.75" bottom="0.75" header="0.3" footer="0.3"/>
  <pageSetup scale="50" orientation="portrait" r:id="rId1"/>
  <headerFooter>
    <oddHeader>&amp;C&amp;"Algerian,Bold"&amp;36WASAARADdA ARIMAHA GUDAHA</oddHeader>
    <oddFooter>&amp;R&amp;"Times New Roman,Bold"&amp;12 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/>
  <dimension ref="A1:T47"/>
  <sheetViews>
    <sheetView view="pageBreakPreview" zoomScale="60" zoomScaleNormal="75" zoomScalePageLayoutView="70" workbookViewId="0">
      <selection activeCell="S38" sqref="S38"/>
    </sheetView>
  </sheetViews>
  <sheetFormatPr defaultRowHeight="27.95" customHeight="1"/>
  <cols>
    <col min="1" max="1" width="15.6640625" style="471" bestFit="1" customWidth="1"/>
    <col min="2" max="2" width="87.6640625" style="483" customWidth="1"/>
    <col min="3" max="3" width="17.1640625" style="469" hidden="1" customWidth="1"/>
    <col min="4" max="4" width="18.33203125" style="469" hidden="1" customWidth="1"/>
    <col min="5" max="5" width="18" style="472" hidden="1" customWidth="1"/>
    <col min="6" max="6" width="20.1640625" style="472" hidden="1" customWidth="1"/>
    <col min="7" max="7" width="24.83203125" style="472" hidden="1" customWidth="1"/>
    <col min="8" max="8" width="2.6640625" style="472" hidden="1" customWidth="1"/>
    <col min="9" max="9" width="22.6640625" style="472" hidden="1" customWidth="1"/>
    <col min="10" max="11" width="0.33203125" style="472" hidden="1" customWidth="1"/>
    <col min="12" max="12" width="0.1640625" style="472" hidden="1" customWidth="1"/>
    <col min="13" max="13" width="34" style="469" hidden="1" customWidth="1"/>
    <col min="14" max="14" width="0.1640625" style="469" hidden="1" customWidth="1"/>
    <col min="15" max="15" width="9.33203125" style="469" hidden="1" customWidth="1"/>
    <col min="16" max="16" width="4.6640625" style="469" hidden="1" customWidth="1"/>
    <col min="17" max="17" width="31.6640625" style="539" hidden="1" customWidth="1"/>
    <col min="18" max="18" width="31.6640625" style="539" bestFit="1" customWidth="1"/>
    <col min="19" max="19" width="31.6640625" style="539" customWidth="1"/>
    <col min="20" max="20" width="32.83203125" style="469" bestFit="1" customWidth="1"/>
    <col min="21" max="16384" width="9.33203125" style="469"/>
  </cols>
  <sheetData>
    <row r="1" spans="1:20" ht="27.95" customHeight="1">
      <c r="A1" s="353" t="s">
        <v>21</v>
      </c>
      <c r="B1" s="354" t="s">
        <v>778</v>
      </c>
      <c r="C1" s="251"/>
      <c r="D1" s="251"/>
      <c r="E1" s="106"/>
      <c r="F1" s="106"/>
      <c r="G1" s="106"/>
      <c r="H1" s="106"/>
      <c r="I1" s="106"/>
      <c r="J1" s="106"/>
      <c r="K1" s="106"/>
      <c r="L1" s="106"/>
      <c r="M1" s="251"/>
      <c r="N1" s="118"/>
      <c r="O1" s="118"/>
      <c r="P1" s="118"/>
      <c r="Q1" s="118"/>
      <c r="R1" s="118"/>
      <c r="S1" s="118"/>
      <c r="T1" s="468"/>
    </row>
    <row r="2" spans="1:20" ht="27.95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76</v>
      </c>
      <c r="L2" s="256" t="s">
        <v>110</v>
      </c>
      <c r="M2" s="256" t="s">
        <v>166</v>
      </c>
      <c r="N2" s="256" t="s">
        <v>320</v>
      </c>
      <c r="O2" s="118"/>
      <c r="P2" s="118"/>
      <c r="Q2" s="256" t="s">
        <v>529</v>
      </c>
      <c r="R2" s="256" t="s">
        <v>604</v>
      </c>
      <c r="S2" s="256" t="s">
        <v>722</v>
      </c>
      <c r="T2" s="256" t="s">
        <v>34</v>
      </c>
    </row>
    <row r="3" spans="1:20" ht="27.95" customHeight="1">
      <c r="A3" s="249">
        <v>2110</v>
      </c>
      <c r="B3" s="106" t="s">
        <v>155</v>
      </c>
      <c r="C3" s="251"/>
      <c r="D3" s="251"/>
      <c r="E3" s="106"/>
      <c r="F3" s="106"/>
      <c r="G3" s="106"/>
      <c r="H3" s="106"/>
      <c r="I3" s="106"/>
      <c r="J3" s="106"/>
      <c r="K3" s="106"/>
      <c r="L3" s="106"/>
      <c r="M3" s="251"/>
      <c r="N3" s="251"/>
      <c r="O3" s="118"/>
      <c r="P3" s="118"/>
      <c r="Q3" s="251"/>
      <c r="R3" s="251"/>
      <c r="S3" s="251"/>
      <c r="T3" s="538"/>
    </row>
    <row r="4" spans="1:20" ht="27.95" customHeight="1">
      <c r="A4" s="169">
        <v>21101</v>
      </c>
      <c r="B4" s="66" t="s">
        <v>817</v>
      </c>
      <c r="C4" s="66">
        <v>7630464000</v>
      </c>
      <c r="D4" s="66">
        <v>7646832000</v>
      </c>
      <c r="E4" s="66">
        <v>9059796000</v>
      </c>
      <c r="F4" s="66">
        <v>9479316000</v>
      </c>
      <c r="G4" s="66">
        <v>10692864000</v>
      </c>
      <c r="H4" s="66">
        <f>10739376000+12240000</f>
        <v>10751616000</v>
      </c>
      <c r="I4" s="66">
        <v>13977100800</v>
      </c>
      <c r="J4" s="66">
        <v>18260611200</v>
      </c>
      <c r="K4" s="66">
        <v>18244699200</v>
      </c>
      <c r="L4" s="66">
        <v>20000323200</v>
      </c>
      <c r="M4" s="66">
        <v>40200076800</v>
      </c>
      <c r="N4" s="66">
        <v>40174617600</v>
      </c>
      <c r="O4" s="118"/>
      <c r="P4" s="118"/>
      <c r="Q4" s="66">
        <v>40174617600</v>
      </c>
      <c r="R4" s="66">
        <v>47277734400</v>
      </c>
      <c r="S4" s="66">
        <v>55696953600</v>
      </c>
      <c r="T4" s="66">
        <f>S4-R4</f>
        <v>8419219200</v>
      </c>
    </row>
    <row r="5" spans="1:20" ht="27.95" customHeight="1">
      <c r="A5" s="169">
        <v>21103</v>
      </c>
      <c r="B5" s="66" t="s">
        <v>532</v>
      </c>
      <c r="C5" s="66">
        <v>77080000</v>
      </c>
      <c r="D5" s="66">
        <v>77080000</v>
      </c>
      <c r="E5" s="66">
        <v>75640000</v>
      </c>
      <c r="F5" s="66">
        <v>78000000</v>
      </c>
      <c r="G5" s="66">
        <v>374200000</v>
      </c>
      <c r="H5" s="66">
        <v>374200000</v>
      </c>
      <c r="I5" s="66">
        <v>374200000</v>
      </c>
      <c r="J5" s="66">
        <v>374200000</v>
      </c>
      <c r="K5" s="66">
        <v>374200000</v>
      </c>
      <c r="L5" s="66">
        <v>374200000</v>
      </c>
      <c r="M5" s="66">
        <v>374200000</v>
      </c>
      <c r="N5" s="66">
        <v>374200000</v>
      </c>
      <c r="O5" s="118"/>
      <c r="P5" s="118"/>
      <c r="Q5" s="66">
        <v>374200000</v>
      </c>
      <c r="R5" s="66">
        <v>0</v>
      </c>
      <c r="S5" s="66">
        <v>374200000</v>
      </c>
      <c r="T5" s="66">
        <f t="shared" ref="T5:T47" si="0">S5-R5</f>
        <v>374200000</v>
      </c>
    </row>
    <row r="6" spans="1:20" ht="27.95" customHeight="1">
      <c r="A6" s="169"/>
      <c r="B6" s="106" t="s">
        <v>59</v>
      </c>
      <c r="C6" s="66">
        <v>38390000</v>
      </c>
      <c r="D6" s="66">
        <v>35756369</v>
      </c>
      <c r="E6" s="66">
        <v>35756369</v>
      </c>
      <c r="F6" s="66">
        <v>35756369</v>
      </c>
      <c r="G6" s="66">
        <v>34400000</v>
      </c>
      <c r="H6" s="66">
        <v>50000000</v>
      </c>
      <c r="I6" s="66">
        <v>111720000</v>
      </c>
      <c r="J6" s="66">
        <v>120000000</v>
      </c>
      <c r="K6" s="66">
        <v>0</v>
      </c>
      <c r="L6" s="106">
        <f>SUM(L4:L5)</f>
        <v>20374523200</v>
      </c>
      <c r="M6" s="106">
        <f>SUM(M4:M5)</f>
        <v>40574276800</v>
      </c>
      <c r="N6" s="106">
        <f>SUM(N4:N5)</f>
        <v>40548817600</v>
      </c>
      <c r="O6" s="118"/>
      <c r="P6" s="118"/>
      <c r="Q6" s="106">
        <f>SUM(Q4:Q5)</f>
        <v>40548817600</v>
      </c>
      <c r="R6" s="106">
        <f>SUM(R4:R5)</f>
        <v>47277734400</v>
      </c>
      <c r="S6" s="106">
        <f>SUM(S4:S5)</f>
        <v>56071153600</v>
      </c>
      <c r="T6" s="66">
        <f t="shared" si="0"/>
        <v>8793419200</v>
      </c>
    </row>
    <row r="7" spans="1:20" ht="27.95" customHeight="1">
      <c r="A7" s="249">
        <v>220</v>
      </c>
      <c r="B7" s="106" t="s">
        <v>159</v>
      </c>
      <c r="C7" s="66">
        <v>11934000</v>
      </c>
      <c r="D7" s="66">
        <v>11115303</v>
      </c>
      <c r="E7" s="66">
        <v>11115303</v>
      </c>
      <c r="F7" s="66">
        <v>11115303</v>
      </c>
      <c r="G7" s="66">
        <v>12800000</v>
      </c>
      <c r="H7" s="66">
        <v>16000000</v>
      </c>
      <c r="I7" s="66">
        <v>14896000</v>
      </c>
      <c r="J7" s="66">
        <v>30000000</v>
      </c>
      <c r="K7" s="66">
        <v>0</v>
      </c>
      <c r="L7" s="66"/>
      <c r="M7" s="66"/>
      <c r="N7" s="66"/>
      <c r="O7" s="118"/>
      <c r="P7" s="118"/>
      <c r="Q7" s="66"/>
      <c r="R7" s="66"/>
      <c r="S7" s="66"/>
      <c r="T7" s="66">
        <f t="shared" si="0"/>
        <v>0</v>
      </c>
    </row>
    <row r="8" spans="1:20" ht="27.95" customHeight="1">
      <c r="A8" s="249">
        <v>2210</v>
      </c>
      <c r="B8" s="106" t="s">
        <v>160</v>
      </c>
      <c r="C8" s="66">
        <v>2344896000</v>
      </c>
      <c r="D8" s="66">
        <v>2114683200</v>
      </c>
      <c r="E8" s="66">
        <v>2448144000</v>
      </c>
      <c r="F8" s="66">
        <v>2972795000</v>
      </c>
      <c r="G8" s="66">
        <v>2712528000</v>
      </c>
      <c r="H8" s="66">
        <v>2997775872</v>
      </c>
      <c r="I8" s="66">
        <f>2997775872+117478118</f>
        <v>3115253990</v>
      </c>
      <c r="J8" s="66">
        <v>5644604763</v>
      </c>
      <c r="K8" s="66">
        <v>74480000</v>
      </c>
      <c r="L8" s="66"/>
      <c r="M8" s="66"/>
      <c r="N8" s="66"/>
      <c r="O8" s="118"/>
      <c r="P8" s="118"/>
      <c r="Q8" s="66"/>
      <c r="R8" s="66"/>
      <c r="S8" s="66"/>
      <c r="T8" s="66">
        <f t="shared" si="0"/>
        <v>0</v>
      </c>
    </row>
    <row r="9" spans="1:20" ht="27.95" customHeight="1">
      <c r="A9" s="169">
        <v>22101</v>
      </c>
      <c r="B9" s="66" t="s">
        <v>14</v>
      </c>
      <c r="C9" s="66"/>
      <c r="D9" s="66"/>
      <c r="E9" s="66"/>
      <c r="F9" s="66"/>
      <c r="G9" s="66"/>
      <c r="H9" s="66">
        <v>0</v>
      </c>
      <c r="I9" s="66">
        <v>230168250</v>
      </c>
      <c r="J9" s="66">
        <v>335673000</v>
      </c>
      <c r="K9" s="66">
        <v>16288776</v>
      </c>
      <c r="L9" s="66">
        <v>0</v>
      </c>
      <c r="M9" s="66">
        <v>0</v>
      </c>
      <c r="N9" s="66">
        <v>0</v>
      </c>
      <c r="O9" s="118"/>
      <c r="P9" s="118"/>
      <c r="Q9" s="66">
        <v>0</v>
      </c>
      <c r="R9" s="66">
        <f>Q10</f>
        <v>13474400</v>
      </c>
      <c r="S9" s="66">
        <f>R9</f>
        <v>13474400</v>
      </c>
      <c r="T9" s="66">
        <f t="shared" si="0"/>
        <v>0</v>
      </c>
    </row>
    <row r="10" spans="1:20" ht="27.95" customHeight="1">
      <c r="A10" s="169">
        <v>22102</v>
      </c>
      <c r="B10" s="66" t="s">
        <v>82</v>
      </c>
      <c r="C10" s="66">
        <v>25000000</v>
      </c>
      <c r="D10" s="66">
        <v>23284949</v>
      </c>
      <c r="E10" s="66">
        <v>33784960</v>
      </c>
      <c r="F10" s="66">
        <v>33784960</v>
      </c>
      <c r="G10" s="66">
        <v>38400000</v>
      </c>
      <c r="H10" s="66">
        <v>48000000</v>
      </c>
      <c r="I10" s="66">
        <v>44688000</v>
      </c>
      <c r="J10" s="66">
        <v>50000000</v>
      </c>
      <c r="K10" s="66">
        <v>6951963</v>
      </c>
      <c r="L10" s="66">
        <v>12000000</v>
      </c>
      <c r="M10" s="66">
        <f>12000000+1474400</f>
        <v>13474400</v>
      </c>
      <c r="N10" s="66">
        <f>12000000+1474400</f>
        <v>13474400</v>
      </c>
      <c r="O10" s="118"/>
      <c r="P10" s="118"/>
      <c r="Q10" s="66">
        <f>12000000+1474400</f>
        <v>13474400</v>
      </c>
      <c r="R10" s="66">
        <v>0</v>
      </c>
      <c r="S10" s="66">
        <v>0</v>
      </c>
      <c r="T10" s="66">
        <f t="shared" si="0"/>
        <v>0</v>
      </c>
    </row>
    <row r="11" spans="1:20" ht="27.95" customHeight="1">
      <c r="A11" s="169">
        <v>22103</v>
      </c>
      <c r="B11" s="66" t="s">
        <v>83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163856000</v>
      </c>
      <c r="L11" s="66">
        <v>30000000</v>
      </c>
      <c r="M11" s="66">
        <f>30000000*70%+9000000</f>
        <v>30000000</v>
      </c>
      <c r="N11" s="118"/>
      <c r="O11" s="118"/>
      <c r="P11" s="118"/>
      <c r="Q11" s="118"/>
      <c r="R11" s="118"/>
      <c r="S11" s="118"/>
      <c r="T11" s="66">
        <f t="shared" si="0"/>
        <v>0</v>
      </c>
    </row>
    <row r="12" spans="1:20" ht="27.95" customHeight="1">
      <c r="A12" s="169">
        <v>22104</v>
      </c>
      <c r="B12" s="66" t="s">
        <v>116</v>
      </c>
      <c r="C12" s="106">
        <f t="shared" ref="C12:J12" si="1">SUM(C6:C11)</f>
        <v>2420220000</v>
      </c>
      <c r="D12" s="106">
        <f t="shared" si="1"/>
        <v>2184839821</v>
      </c>
      <c r="E12" s="106">
        <f t="shared" si="1"/>
        <v>2528800632</v>
      </c>
      <c r="F12" s="106">
        <f t="shared" si="1"/>
        <v>3053451632</v>
      </c>
      <c r="G12" s="106">
        <f t="shared" si="1"/>
        <v>2798128000</v>
      </c>
      <c r="H12" s="106">
        <f t="shared" si="1"/>
        <v>3111775872</v>
      </c>
      <c r="I12" s="106">
        <f t="shared" si="1"/>
        <v>3516726240</v>
      </c>
      <c r="J12" s="106">
        <f t="shared" si="1"/>
        <v>6180277763</v>
      </c>
      <c r="K12" s="66">
        <v>150000000</v>
      </c>
      <c r="L12" s="66">
        <v>0</v>
      </c>
      <c r="M12" s="66">
        <v>0</v>
      </c>
      <c r="N12" s="66">
        <v>0</v>
      </c>
      <c r="O12" s="118"/>
      <c r="P12" s="118"/>
      <c r="Q12" s="66">
        <v>0</v>
      </c>
      <c r="R12" s="66">
        <v>0</v>
      </c>
      <c r="S12" s="66">
        <v>0</v>
      </c>
      <c r="T12" s="66">
        <f t="shared" si="0"/>
        <v>0</v>
      </c>
    </row>
    <row r="13" spans="1:20" ht="27.95" customHeight="1">
      <c r="A13" s="169">
        <v>22105</v>
      </c>
      <c r="B13" s="66" t="s">
        <v>93</v>
      </c>
      <c r="C13" s="106"/>
      <c r="D13" s="106"/>
      <c r="E13" s="106"/>
      <c r="F13" s="106"/>
      <c r="G13" s="106"/>
      <c r="H13" s="106"/>
      <c r="I13" s="106"/>
      <c r="J13" s="106"/>
      <c r="K13" s="66">
        <v>50000000</v>
      </c>
      <c r="L13" s="66">
        <v>0</v>
      </c>
      <c r="M13" s="66">
        <v>0</v>
      </c>
      <c r="N13" s="66">
        <v>0</v>
      </c>
      <c r="O13" s="118"/>
      <c r="P13" s="118"/>
      <c r="Q13" s="66">
        <v>0</v>
      </c>
      <c r="R13" s="66">
        <v>0</v>
      </c>
      <c r="S13" s="66">
        <v>0</v>
      </c>
      <c r="T13" s="66">
        <f t="shared" si="0"/>
        <v>0</v>
      </c>
    </row>
    <row r="14" spans="1:20" ht="27.95" customHeight="1">
      <c r="A14" s="169">
        <v>22106</v>
      </c>
      <c r="B14" s="66" t="s">
        <v>84</v>
      </c>
      <c r="C14" s="106"/>
      <c r="D14" s="106"/>
      <c r="E14" s="106"/>
      <c r="F14" s="106"/>
      <c r="G14" s="106"/>
      <c r="H14" s="106"/>
      <c r="I14" s="106"/>
      <c r="J14" s="106"/>
      <c r="K14" s="66">
        <v>540000000</v>
      </c>
      <c r="L14" s="66">
        <v>150000000</v>
      </c>
      <c r="M14" s="66">
        <f>150000000</f>
        <v>150000000</v>
      </c>
      <c r="N14" s="66">
        <v>50000000</v>
      </c>
      <c r="O14" s="118"/>
      <c r="P14" s="118"/>
      <c r="Q14" s="66">
        <v>50000000</v>
      </c>
      <c r="R14" s="66">
        <v>50000000</v>
      </c>
      <c r="S14" s="66">
        <v>50000000</v>
      </c>
      <c r="T14" s="66">
        <f t="shared" si="0"/>
        <v>0</v>
      </c>
    </row>
    <row r="15" spans="1:20" ht="27.95" customHeight="1">
      <c r="A15" s="169">
        <v>22107</v>
      </c>
      <c r="B15" s="66" t="s">
        <v>30</v>
      </c>
      <c r="C15" s="66"/>
      <c r="D15" s="66"/>
      <c r="E15" s="66"/>
      <c r="F15" s="66"/>
      <c r="G15" s="66"/>
      <c r="H15" s="66"/>
      <c r="I15" s="66"/>
      <c r="J15" s="66"/>
      <c r="K15" s="66">
        <v>799312000</v>
      </c>
      <c r="L15" s="66">
        <v>40000000</v>
      </c>
      <c r="M15" s="66">
        <f>40000000</f>
        <v>40000000</v>
      </c>
      <c r="N15" s="66">
        <f>M15*70%</f>
        <v>28000000</v>
      </c>
      <c r="O15" s="118"/>
      <c r="P15" s="118"/>
      <c r="Q15" s="66">
        <f>N15</f>
        <v>28000000</v>
      </c>
      <c r="R15" s="66">
        <f>Q15</f>
        <v>28000000</v>
      </c>
      <c r="S15" s="66">
        <f>R15</f>
        <v>28000000</v>
      </c>
      <c r="T15" s="66">
        <f t="shared" si="0"/>
        <v>0</v>
      </c>
    </row>
    <row r="16" spans="1:20" ht="27.95" customHeight="1">
      <c r="A16" s="169">
        <v>22108</v>
      </c>
      <c r="B16" s="66" t="s">
        <v>60</v>
      </c>
      <c r="C16" s="66"/>
      <c r="D16" s="66"/>
      <c r="E16" s="66"/>
      <c r="F16" s="66"/>
      <c r="G16" s="66"/>
      <c r="H16" s="66"/>
      <c r="I16" s="66"/>
      <c r="J16" s="66"/>
      <c r="K16" s="66">
        <v>44688000</v>
      </c>
      <c r="L16" s="66">
        <v>0</v>
      </c>
      <c r="M16" s="66">
        <v>0</v>
      </c>
      <c r="N16" s="66">
        <v>798712000</v>
      </c>
      <c r="O16" s="118"/>
      <c r="P16" s="118"/>
      <c r="Q16" s="66">
        <v>798712000</v>
      </c>
      <c r="R16" s="66">
        <v>798712000</v>
      </c>
      <c r="S16" s="66">
        <v>798712000</v>
      </c>
      <c r="T16" s="66">
        <f t="shared" si="0"/>
        <v>0</v>
      </c>
    </row>
    <row r="17" spans="1:20" ht="27.95" customHeight="1">
      <c r="A17" s="169">
        <v>22109</v>
      </c>
      <c r="B17" s="66" t="s">
        <v>94</v>
      </c>
      <c r="C17" s="66"/>
      <c r="D17" s="66"/>
      <c r="E17" s="66"/>
      <c r="F17" s="66"/>
      <c r="G17" s="66"/>
      <c r="H17" s="66"/>
      <c r="I17" s="66">
        <v>0</v>
      </c>
      <c r="J17" s="66">
        <v>100000000</v>
      </c>
      <c r="K17" s="66">
        <v>1100000000</v>
      </c>
      <c r="L17" s="122">
        <v>6951963</v>
      </c>
      <c r="M17" s="122">
        <f>6951963</f>
        <v>6951963</v>
      </c>
      <c r="N17" s="122">
        <f>6951963</f>
        <v>6951963</v>
      </c>
      <c r="O17" s="118"/>
      <c r="P17" s="118"/>
      <c r="Q17" s="122">
        <f>6951963</f>
        <v>6951963</v>
      </c>
      <c r="R17" s="122">
        <f>6951963</f>
        <v>6951963</v>
      </c>
      <c r="S17" s="122">
        <f>6951963</f>
        <v>6951963</v>
      </c>
      <c r="T17" s="66">
        <f t="shared" si="0"/>
        <v>0</v>
      </c>
    </row>
    <row r="18" spans="1:20" ht="27.95" customHeight="1">
      <c r="A18" s="169">
        <v>22112</v>
      </c>
      <c r="B18" s="66" t="s">
        <v>16</v>
      </c>
      <c r="C18" s="66">
        <v>30000000</v>
      </c>
      <c r="D18" s="66">
        <v>20000000</v>
      </c>
      <c r="E18" s="66">
        <v>20000000</v>
      </c>
      <c r="F18" s="66">
        <v>20000000</v>
      </c>
      <c r="G18" s="66">
        <v>20000000</v>
      </c>
      <c r="H18" s="66">
        <v>20000000</v>
      </c>
      <c r="I18" s="66">
        <v>18620000</v>
      </c>
      <c r="J18" s="66">
        <v>120000000</v>
      </c>
      <c r="K18" s="106">
        <f>SUM(K6:K17)</f>
        <v>2945576739</v>
      </c>
      <c r="L18" s="66">
        <v>240000000</v>
      </c>
      <c r="M18" s="66">
        <f>240000000</f>
        <v>240000000</v>
      </c>
      <c r="N18" s="66">
        <f>240000000</f>
        <v>240000000</v>
      </c>
      <c r="O18" s="118"/>
      <c r="P18" s="118"/>
      <c r="Q18" s="66">
        <f>240000000</f>
        <v>240000000</v>
      </c>
      <c r="R18" s="66">
        <f>240000000</f>
        <v>240000000</v>
      </c>
      <c r="S18" s="66">
        <f>240000000</f>
        <v>240000000</v>
      </c>
      <c r="T18" s="66">
        <f t="shared" si="0"/>
        <v>0</v>
      </c>
    </row>
    <row r="19" spans="1:20" ht="27.95" customHeight="1">
      <c r="A19" s="169">
        <v>22113</v>
      </c>
      <c r="B19" s="66" t="s">
        <v>170</v>
      </c>
      <c r="C19" s="66">
        <v>0</v>
      </c>
      <c r="D19" s="66">
        <v>0</v>
      </c>
      <c r="E19" s="66">
        <v>0</v>
      </c>
      <c r="F19" s="66">
        <v>50400000</v>
      </c>
      <c r="G19" s="66">
        <v>0</v>
      </c>
      <c r="H19" s="66">
        <v>0</v>
      </c>
      <c r="I19" s="66">
        <v>0</v>
      </c>
      <c r="J19" s="66">
        <v>483300000</v>
      </c>
      <c r="K19" s="66"/>
      <c r="L19" s="66">
        <v>230000000</v>
      </c>
      <c r="M19" s="66">
        <f>230000000</f>
        <v>230000000</v>
      </c>
      <c r="N19" s="66">
        <f>230000000</f>
        <v>230000000</v>
      </c>
      <c r="O19" s="118"/>
      <c r="P19" s="118"/>
      <c r="Q19" s="66">
        <f>230000000</f>
        <v>230000000</v>
      </c>
      <c r="R19" s="66">
        <f>230000000</f>
        <v>230000000</v>
      </c>
      <c r="S19" s="66">
        <f>230000000</f>
        <v>230000000</v>
      </c>
      <c r="T19" s="66">
        <f t="shared" si="0"/>
        <v>0</v>
      </c>
    </row>
    <row r="20" spans="1:20" ht="27.95" customHeight="1">
      <c r="A20" s="169">
        <v>22116</v>
      </c>
      <c r="B20" s="66" t="s">
        <v>210</v>
      </c>
      <c r="C20" s="66"/>
      <c r="D20" s="66"/>
      <c r="E20" s="66"/>
      <c r="F20" s="66"/>
      <c r="G20" s="66"/>
      <c r="H20" s="66"/>
      <c r="I20" s="66">
        <v>0</v>
      </c>
      <c r="J20" s="66"/>
      <c r="K20" s="66">
        <v>0</v>
      </c>
      <c r="L20" s="66">
        <v>90000000</v>
      </c>
      <c r="M20" s="66">
        <v>90000000</v>
      </c>
      <c r="N20" s="66">
        <v>90000000</v>
      </c>
      <c r="O20" s="118"/>
      <c r="P20" s="118"/>
      <c r="Q20" s="66">
        <v>90000000</v>
      </c>
      <c r="R20" s="66">
        <v>90000000</v>
      </c>
      <c r="S20" s="66">
        <v>90000000</v>
      </c>
      <c r="T20" s="66">
        <f t="shared" si="0"/>
        <v>0</v>
      </c>
    </row>
    <row r="21" spans="1:20" ht="27.95" customHeight="1">
      <c r="A21" s="169">
        <v>22132</v>
      </c>
      <c r="B21" s="66" t="s">
        <v>144</v>
      </c>
      <c r="C21" s="118"/>
      <c r="D21" s="118">
        <v>0</v>
      </c>
      <c r="E21" s="118">
        <v>0</v>
      </c>
      <c r="F21" s="66">
        <v>0</v>
      </c>
      <c r="G21" s="66">
        <v>0</v>
      </c>
      <c r="H21" s="66">
        <v>0</v>
      </c>
      <c r="I21" s="66">
        <v>0</v>
      </c>
      <c r="J21" s="66">
        <v>40000000</v>
      </c>
      <c r="K21" s="66">
        <v>0</v>
      </c>
      <c r="L21" s="66">
        <v>798712000</v>
      </c>
      <c r="M21" s="66">
        <f>798712000</f>
        <v>798712000</v>
      </c>
      <c r="N21" s="66">
        <v>0</v>
      </c>
      <c r="O21" s="118"/>
      <c r="P21" s="118"/>
      <c r="Q21" s="66">
        <v>0</v>
      </c>
      <c r="R21" s="66">
        <v>0</v>
      </c>
      <c r="S21" s="66">
        <v>0</v>
      </c>
      <c r="T21" s="66">
        <f t="shared" si="0"/>
        <v>0</v>
      </c>
    </row>
    <row r="22" spans="1:20" ht="27.95" customHeight="1">
      <c r="A22" s="169">
        <v>22138</v>
      </c>
      <c r="B22" s="66" t="s">
        <v>209</v>
      </c>
      <c r="C22" s="66">
        <v>0</v>
      </c>
      <c r="D22" s="66">
        <v>21870438</v>
      </c>
      <c r="E22" s="66">
        <v>21870438</v>
      </c>
      <c r="F22" s="66">
        <v>21870438</v>
      </c>
      <c r="G22" s="66">
        <v>17496000</v>
      </c>
      <c r="H22" s="66">
        <v>21870000</v>
      </c>
      <c r="I22" s="66">
        <v>16288776</v>
      </c>
      <c r="J22" s="66">
        <v>30000000</v>
      </c>
      <c r="K22" s="66">
        <v>0</v>
      </c>
      <c r="L22" s="66">
        <v>550000000</v>
      </c>
      <c r="M22" s="66">
        <f>550000000</f>
        <v>550000000</v>
      </c>
      <c r="N22" s="66">
        <f>M22</f>
        <v>550000000</v>
      </c>
      <c r="O22" s="118"/>
      <c r="P22" s="118"/>
      <c r="Q22" s="66">
        <f>N22</f>
        <v>550000000</v>
      </c>
      <c r="R22" s="66">
        <f>Q22</f>
        <v>550000000</v>
      </c>
      <c r="S22" s="66">
        <f>R22</f>
        <v>550000000</v>
      </c>
      <c r="T22" s="66">
        <f t="shared" si="0"/>
        <v>0</v>
      </c>
    </row>
    <row r="23" spans="1:20" ht="27.95" customHeight="1">
      <c r="A23" s="169">
        <v>22141</v>
      </c>
      <c r="B23" s="66" t="s">
        <v>423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118"/>
      <c r="P23" s="118"/>
      <c r="Q23" s="66">
        <v>720000000</v>
      </c>
      <c r="R23" s="66">
        <v>273342413</v>
      </c>
      <c r="S23" s="66">
        <v>0</v>
      </c>
      <c r="T23" s="66">
        <f t="shared" si="0"/>
        <v>-273342413</v>
      </c>
    </row>
    <row r="24" spans="1:20" ht="27.95" customHeight="1">
      <c r="A24" s="169"/>
      <c r="B24" s="106" t="s">
        <v>59</v>
      </c>
      <c r="C24" s="66">
        <v>10000000</v>
      </c>
      <c r="D24" s="66">
        <v>9334014</v>
      </c>
      <c r="E24" s="66">
        <v>9334014</v>
      </c>
      <c r="F24" s="66">
        <v>9334014</v>
      </c>
      <c r="G24" s="66">
        <v>7467200</v>
      </c>
      <c r="H24" s="66">
        <v>9334000</v>
      </c>
      <c r="I24" s="66">
        <v>6951963</v>
      </c>
      <c r="J24" s="66">
        <v>6951963</v>
      </c>
      <c r="K24" s="106">
        <f>SUM(K22:K22)</f>
        <v>0</v>
      </c>
      <c r="L24" s="106">
        <f>SUM(L10:L22)</f>
        <v>2147663963</v>
      </c>
      <c r="M24" s="106">
        <f>SUM(M9:M22)</f>
        <v>2149138363</v>
      </c>
      <c r="N24" s="106">
        <f ca="1">SUM(N9:N28)</f>
        <v>2547138363</v>
      </c>
      <c r="O24" s="118"/>
      <c r="P24" s="118"/>
      <c r="Q24" s="106">
        <f>SUM(Q9:Q23)</f>
        <v>2727138363</v>
      </c>
      <c r="R24" s="106">
        <f>SUM(R9:R23)</f>
        <v>2280480776</v>
      </c>
      <c r="S24" s="106">
        <f>SUM(S9:S23)</f>
        <v>2007138363</v>
      </c>
      <c r="T24" s="106">
        <f t="shared" si="0"/>
        <v>-273342413</v>
      </c>
    </row>
    <row r="25" spans="1:20" ht="27.95" customHeight="1">
      <c r="A25" s="249">
        <v>2220</v>
      </c>
      <c r="B25" s="106" t="s">
        <v>161</v>
      </c>
      <c r="C25" s="66">
        <v>20000000</v>
      </c>
      <c r="D25" s="66">
        <v>18627958</v>
      </c>
      <c r="E25" s="66">
        <v>18627958</v>
      </c>
      <c r="F25" s="66">
        <v>18627958</v>
      </c>
      <c r="G25" s="66">
        <v>80000000</v>
      </c>
      <c r="H25" s="66">
        <v>120000000</v>
      </c>
      <c r="I25" s="66">
        <v>163856000</v>
      </c>
      <c r="J25" s="66">
        <v>180000000</v>
      </c>
      <c r="K25" s="66"/>
      <c r="L25" s="66"/>
      <c r="M25" s="66"/>
      <c r="N25" s="66"/>
      <c r="O25" s="118"/>
      <c r="P25" s="118"/>
      <c r="Q25" s="66">
        <v>0</v>
      </c>
      <c r="R25" s="66">
        <v>0</v>
      </c>
      <c r="S25" s="66">
        <v>0</v>
      </c>
      <c r="T25" s="66">
        <f t="shared" si="0"/>
        <v>0</v>
      </c>
    </row>
    <row r="26" spans="1:20" ht="27.95" customHeight="1">
      <c r="A26" s="169">
        <v>22201</v>
      </c>
      <c r="B26" s="66" t="s">
        <v>90</v>
      </c>
      <c r="C26" s="66">
        <v>60000000</v>
      </c>
      <c r="D26" s="66">
        <v>180000000</v>
      </c>
      <c r="E26" s="66">
        <v>180000000</v>
      </c>
      <c r="F26" s="66">
        <v>180000000</v>
      </c>
      <c r="G26" s="66">
        <v>360000000</v>
      </c>
      <c r="H26" s="66">
        <v>360000000</v>
      </c>
      <c r="I26" s="66">
        <f>327712000-80000000</f>
        <v>247712000</v>
      </c>
      <c r="J26" s="66">
        <v>247712000</v>
      </c>
      <c r="K26" s="66">
        <v>360000000</v>
      </c>
      <c r="L26" s="66">
        <v>0</v>
      </c>
      <c r="M26" s="66">
        <v>0</v>
      </c>
      <c r="N26" s="66">
        <v>0</v>
      </c>
      <c r="O26" s="118"/>
      <c r="P26" s="118"/>
      <c r="Q26" s="66">
        <v>0</v>
      </c>
      <c r="R26" s="66">
        <v>1500000000</v>
      </c>
      <c r="S26" s="66">
        <v>750000000</v>
      </c>
      <c r="T26" s="66">
        <f t="shared" si="0"/>
        <v>-750000000</v>
      </c>
    </row>
    <row r="27" spans="1:20" ht="27.95" customHeight="1">
      <c r="A27" s="169">
        <v>22202</v>
      </c>
      <c r="B27" s="66" t="s">
        <v>91</v>
      </c>
      <c r="C27" s="66">
        <v>60000000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80000000</v>
      </c>
      <c r="J27" s="66">
        <v>80000000</v>
      </c>
      <c r="K27" s="66">
        <v>0</v>
      </c>
      <c r="L27" s="66">
        <v>2313040000</v>
      </c>
      <c r="M27" s="66">
        <f>2313040000</f>
        <v>2313040000</v>
      </c>
      <c r="N27" s="66">
        <f>M27*80%</f>
        <v>1850432000</v>
      </c>
      <c r="O27" s="118"/>
      <c r="P27" s="118"/>
      <c r="Q27" s="66">
        <v>1900432000</v>
      </c>
      <c r="R27" s="66">
        <v>1900432000</v>
      </c>
      <c r="S27" s="66">
        <v>2055432000</v>
      </c>
      <c r="T27" s="66">
        <f t="shared" si="0"/>
        <v>155000000</v>
      </c>
    </row>
    <row r="28" spans="1:20" ht="27.95" customHeight="1">
      <c r="A28" s="169">
        <v>22202</v>
      </c>
      <c r="B28" s="66" t="s">
        <v>394</v>
      </c>
      <c r="C28" s="118"/>
      <c r="D28" s="118">
        <v>0</v>
      </c>
      <c r="E28" s="118">
        <v>0</v>
      </c>
      <c r="F28" s="66">
        <v>0</v>
      </c>
      <c r="G28" s="66">
        <v>0</v>
      </c>
      <c r="H28" s="66">
        <v>0</v>
      </c>
      <c r="I28" s="66">
        <v>0</v>
      </c>
      <c r="J28" s="66">
        <v>30000000</v>
      </c>
      <c r="K28" s="66">
        <v>120000000</v>
      </c>
      <c r="L28" s="66">
        <v>540000000</v>
      </c>
      <c r="M28" s="66">
        <f>540000000</f>
        <v>540000000</v>
      </c>
      <c r="N28" s="66">
        <f>M28</f>
        <v>540000000</v>
      </c>
      <c r="O28" s="118"/>
      <c r="P28" s="118"/>
      <c r="Q28" s="66">
        <v>600000000</v>
      </c>
      <c r="R28" s="66">
        <v>600000000</v>
      </c>
      <c r="S28" s="66">
        <v>600000000</v>
      </c>
      <c r="T28" s="66">
        <f t="shared" si="0"/>
        <v>0</v>
      </c>
    </row>
    <row r="29" spans="1:20" ht="27.95" customHeight="1">
      <c r="A29" s="169">
        <v>22203</v>
      </c>
      <c r="B29" s="66" t="s">
        <v>85</v>
      </c>
      <c r="C29" s="66">
        <v>13000000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124560000</v>
      </c>
      <c r="J29" s="66">
        <v>171600000</v>
      </c>
      <c r="K29" s="66">
        <v>0</v>
      </c>
      <c r="L29" s="66">
        <v>161720000</v>
      </c>
      <c r="M29" s="66">
        <f>161720000</f>
        <v>161720000</v>
      </c>
      <c r="N29" s="66">
        <f>161720000</f>
        <v>161720000</v>
      </c>
      <c r="O29" s="118"/>
      <c r="P29" s="118"/>
      <c r="Q29" s="66">
        <f>161720000</f>
        <v>161720000</v>
      </c>
      <c r="R29" s="66">
        <f>161720000</f>
        <v>161720000</v>
      </c>
      <c r="S29" s="66">
        <f>161720000</f>
        <v>161720000</v>
      </c>
      <c r="T29" s="66">
        <f t="shared" si="0"/>
        <v>0</v>
      </c>
    </row>
    <row r="30" spans="1:20" ht="27.95" customHeight="1">
      <c r="A30" s="169">
        <v>22204</v>
      </c>
      <c r="B30" s="66" t="s">
        <v>86</v>
      </c>
      <c r="C30" s="66"/>
      <c r="D30" s="66"/>
      <c r="E30" s="66"/>
      <c r="F30" s="66"/>
      <c r="G30" s="66"/>
      <c r="H30" s="66"/>
      <c r="I30" s="66">
        <v>0</v>
      </c>
      <c r="J30" s="66">
        <v>300000000</v>
      </c>
      <c r="K30" s="106">
        <f>SUM(K26:K29)</f>
        <v>480000000</v>
      </c>
      <c r="L30" s="66">
        <v>44896000</v>
      </c>
      <c r="M30" s="66">
        <f>44896000</f>
        <v>44896000</v>
      </c>
      <c r="N30" s="66">
        <f>44896000</f>
        <v>44896000</v>
      </c>
      <c r="O30" s="118"/>
      <c r="P30" s="118"/>
      <c r="Q30" s="66">
        <f>44896000</f>
        <v>44896000</v>
      </c>
      <c r="R30" s="66">
        <f>44896000</f>
        <v>44896000</v>
      </c>
      <c r="S30" s="66">
        <f>44896000</f>
        <v>44896000</v>
      </c>
      <c r="T30" s="66">
        <f t="shared" si="0"/>
        <v>0</v>
      </c>
    </row>
    <row r="31" spans="1:20" ht="27.95" customHeight="1">
      <c r="A31" s="169">
        <v>22208</v>
      </c>
      <c r="B31" s="66" t="s">
        <v>323</v>
      </c>
      <c r="C31" s="118"/>
      <c r="D31" s="118"/>
      <c r="E31" s="66"/>
      <c r="F31" s="66"/>
      <c r="G31" s="66"/>
      <c r="H31" s="66"/>
      <c r="I31" s="66"/>
      <c r="J31" s="66"/>
      <c r="K31" s="66"/>
      <c r="L31" s="116">
        <v>6900234890</v>
      </c>
      <c r="M31" s="116">
        <v>13723632000</v>
      </c>
      <c r="N31" s="116">
        <v>13715324160</v>
      </c>
      <c r="O31" s="118"/>
      <c r="P31" s="118"/>
      <c r="Q31" s="116">
        <v>13715324160</v>
      </c>
      <c r="R31" s="116">
        <v>13450231824</v>
      </c>
      <c r="S31" s="116">
        <v>13823970091</v>
      </c>
      <c r="T31" s="66">
        <f t="shared" si="0"/>
        <v>373738267</v>
      </c>
    </row>
    <row r="32" spans="1:20" ht="27.95" customHeight="1">
      <c r="A32" s="169">
        <v>22209</v>
      </c>
      <c r="B32" s="66" t="s">
        <v>145</v>
      </c>
      <c r="C32" s="66">
        <v>40000000</v>
      </c>
      <c r="D32" s="66">
        <v>37255999</v>
      </c>
      <c r="E32" s="66">
        <v>37255999</v>
      </c>
      <c r="F32" s="66">
        <v>37255999</v>
      </c>
      <c r="G32" s="66">
        <v>29804800</v>
      </c>
      <c r="H32" s="66">
        <v>37256000</v>
      </c>
      <c r="I32" s="66">
        <v>74480000</v>
      </c>
      <c r="J32" s="66">
        <v>120000000</v>
      </c>
      <c r="K32" s="66">
        <v>0</v>
      </c>
      <c r="L32" s="66">
        <v>100000000</v>
      </c>
      <c r="M32" s="66">
        <f>100000000</f>
        <v>100000000</v>
      </c>
      <c r="N32" s="66">
        <f>100000000</f>
        <v>100000000</v>
      </c>
      <c r="O32" s="118"/>
      <c r="P32" s="118"/>
      <c r="Q32" s="66">
        <f>100000000</f>
        <v>100000000</v>
      </c>
      <c r="R32" s="66">
        <v>200000000</v>
      </c>
      <c r="S32" s="66">
        <v>200000000</v>
      </c>
      <c r="T32" s="66">
        <f t="shared" si="0"/>
        <v>0</v>
      </c>
    </row>
    <row r="33" spans="1:20" ht="27.95" customHeight="1">
      <c r="A33" s="169">
        <v>22210</v>
      </c>
      <c r="B33" s="66" t="s">
        <v>178</v>
      </c>
      <c r="C33" s="66"/>
      <c r="D33" s="66"/>
      <c r="E33" s="66"/>
      <c r="F33" s="66"/>
      <c r="G33" s="66"/>
      <c r="H33" s="66"/>
      <c r="I33" s="66">
        <v>0</v>
      </c>
      <c r="J33" s="66">
        <v>50000000</v>
      </c>
      <c r="K33" s="106" t="e">
        <f>K30+K24+#REF!+K18+#REF!</f>
        <v>#REF!</v>
      </c>
      <c r="L33" s="66">
        <v>180000000</v>
      </c>
      <c r="M33" s="66">
        <f>180000000</f>
        <v>180000000</v>
      </c>
      <c r="N33" s="66">
        <f>180000000</f>
        <v>180000000</v>
      </c>
      <c r="O33" s="118"/>
      <c r="P33" s="118"/>
      <c r="Q33" s="66">
        <f>180000000</f>
        <v>180000000</v>
      </c>
      <c r="R33" s="66">
        <f>180000000</f>
        <v>180000000</v>
      </c>
      <c r="S33" s="66">
        <f>180000000</f>
        <v>180000000</v>
      </c>
      <c r="T33" s="66">
        <f t="shared" si="0"/>
        <v>0</v>
      </c>
    </row>
    <row r="34" spans="1:20" ht="27.95" customHeight="1">
      <c r="A34" s="169"/>
      <c r="B34" s="106" t="s">
        <v>59</v>
      </c>
      <c r="C34" s="118"/>
      <c r="D34" s="118"/>
      <c r="E34" s="66"/>
      <c r="F34" s="66">
        <f>1386274192-71600000-798000-176160000-12600000</f>
        <v>1125116192</v>
      </c>
      <c r="G34" s="66"/>
      <c r="H34" s="66"/>
      <c r="I34" s="66"/>
      <c r="J34" s="66"/>
      <c r="K34" s="66"/>
      <c r="L34" s="105">
        <f>SUM(L27:L33)</f>
        <v>10239890890</v>
      </c>
      <c r="M34" s="105">
        <f>SUM(M27:M33)</f>
        <v>17063288000</v>
      </c>
      <c r="N34" s="105">
        <f>SUM(N27:N33)</f>
        <v>16592372160</v>
      </c>
      <c r="O34" s="118"/>
      <c r="P34" s="118"/>
      <c r="Q34" s="105">
        <f>SUM(Q26:Q33)</f>
        <v>16702372160</v>
      </c>
      <c r="R34" s="105">
        <f>SUM(R26:R33)</f>
        <v>18037279824</v>
      </c>
      <c r="S34" s="105">
        <f>SUM(S26:S33)</f>
        <v>17816018091</v>
      </c>
      <c r="T34" s="66">
        <f t="shared" si="0"/>
        <v>-221261733</v>
      </c>
    </row>
    <row r="35" spans="1:20" ht="27.95" customHeight="1">
      <c r="A35" s="249">
        <v>2230</v>
      </c>
      <c r="B35" s="106" t="s">
        <v>88</v>
      </c>
      <c r="C35" s="118"/>
      <c r="D35" s="118"/>
      <c r="E35" s="66"/>
      <c r="F35" s="66"/>
      <c r="G35" s="66"/>
      <c r="H35" s="66"/>
      <c r="I35" s="66"/>
      <c r="J35" s="66"/>
      <c r="K35" s="66"/>
      <c r="L35" s="118"/>
      <c r="M35" s="118"/>
      <c r="N35" s="118"/>
      <c r="O35" s="118"/>
      <c r="P35" s="118"/>
      <c r="Q35" s="100">
        <v>0</v>
      </c>
      <c r="R35" s="100">
        <v>0</v>
      </c>
      <c r="S35" s="100">
        <v>0</v>
      </c>
      <c r="T35" s="66">
        <f t="shared" si="0"/>
        <v>0</v>
      </c>
    </row>
    <row r="36" spans="1:20" ht="27.95" customHeight="1">
      <c r="A36" s="169">
        <v>22301</v>
      </c>
      <c r="B36" s="66" t="s">
        <v>31</v>
      </c>
      <c r="C36" s="118"/>
      <c r="D36" s="118"/>
      <c r="E36" s="66"/>
      <c r="F36" s="66"/>
      <c r="G36" s="66"/>
      <c r="H36" s="66"/>
      <c r="I36" s="66"/>
      <c r="J36" s="66"/>
      <c r="K36" s="66"/>
      <c r="L36" s="116">
        <v>600000000</v>
      </c>
      <c r="M36" s="116">
        <f>600000000</f>
        <v>600000000</v>
      </c>
      <c r="N36" s="116">
        <f>600000000</f>
        <v>600000000</v>
      </c>
      <c r="O36" s="118"/>
      <c r="P36" s="118"/>
      <c r="Q36" s="116">
        <f>600000000</f>
        <v>600000000</v>
      </c>
      <c r="R36" s="116">
        <f>600000000</f>
        <v>600000000</v>
      </c>
      <c r="S36" s="116">
        <f>800000000</f>
        <v>800000000</v>
      </c>
      <c r="T36" s="66">
        <f t="shared" si="0"/>
        <v>200000000</v>
      </c>
    </row>
    <row r="37" spans="1:20" ht="27.95" customHeight="1">
      <c r="A37" s="169">
        <v>22302</v>
      </c>
      <c r="B37" s="66" t="s">
        <v>162</v>
      </c>
      <c r="C37" s="118"/>
      <c r="D37" s="118"/>
      <c r="E37" s="66"/>
      <c r="F37" s="66"/>
      <c r="G37" s="66"/>
      <c r="H37" s="66"/>
      <c r="I37" s="66"/>
      <c r="J37" s="66"/>
      <c r="K37" s="66"/>
      <c r="L37" s="116">
        <v>60000000</v>
      </c>
      <c r="M37" s="116">
        <f>60000000</f>
        <v>60000000</v>
      </c>
      <c r="N37" s="116">
        <f>60000000</f>
        <v>60000000</v>
      </c>
      <c r="O37" s="118"/>
      <c r="P37" s="118"/>
      <c r="Q37" s="116">
        <f>60000000</f>
        <v>60000000</v>
      </c>
      <c r="R37" s="116">
        <f>60000000</f>
        <v>60000000</v>
      </c>
      <c r="S37" s="116">
        <f>60000000</f>
        <v>60000000</v>
      </c>
      <c r="T37" s="66">
        <f t="shared" si="0"/>
        <v>0</v>
      </c>
    </row>
    <row r="38" spans="1:20" ht="27.95" customHeight="1">
      <c r="A38" s="169">
        <v>22303</v>
      </c>
      <c r="B38" s="66" t="s">
        <v>163</v>
      </c>
      <c r="C38" s="118"/>
      <c r="D38" s="118"/>
      <c r="E38" s="66"/>
      <c r="F38" s="66"/>
      <c r="G38" s="66"/>
      <c r="H38" s="66"/>
      <c r="I38" s="66"/>
      <c r="J38" s="66"/>
      <c r="K38" s="66"/>
      <c r="L38" s="100">
        <v>0</v>
      </c>
      <c r="M38" s="100">
        <v>0</v>
      </c>
      <c r="N38" s="100">
        <v>0</v>
      </c>
      <c r="O38" s="118"/>
      <c r="P38" s="118"/>
      <c r="Q38" s="100">
        <v>0</v>
      </c>
      <c r="R38" s="100">
        <v>0</v>
      </c>
      <c r="S38" s="100">
        <v>0</v>
      </c>
      <c r="T38" s="66">
        <f t="shared" si="0"/>
        <v>0</v>
      </c>
    </row>
    <row r="39" spans="1:20" ht="27.95" customHeight="1">
      <c r="A39" s="169"/>
      <c r="B39" s="106" t="s">
        <v>59</v>
      </c>
      <c r="C39" s="118"/>
      <c r="D39" s="118"/>
      <c r="E39" s="66"/>
      <c r="F39" s="66"/>
      <c r="G39" s="66"/>
      <c r="H39" s="66"/>
      <c r="I39" s="66"/>
      <c r="J39" s="66"/>
      <c r="K39" s="66"/>
      <c r="L39" s="117">
        <f>SUM(L36:L38)</f>
        <v>660000000</v>
      </c>
      <c r="M39" s="117">
        <f>SUM(M36:M38)</f>
        <v>660000000</v>
      </c>
      <c r="N39" s="117">
        <f>SUM(N36:N38)</f>
        <v>660000000</v>
      </c>
      <c r="O39" s="118"/>
      <c r="P39" s="118"/>
      <c r="Q39" s="117">
        <f>SUM(Q36:Q38)</f>
        <v>660000000</v>
      </c>
      <c r="R39" s="117">
        <f>SUM(R36:R38)</f>
        <v>660000000</v>
      </c>
      <c r="S39" s="117">
        <f>SUM(S36:S38)</f>
        <v>860000000</v>
      </c>
      <c r="T39" s="66">
        <f t="shared" si="0"/>
        <v>200000000</v>
      </c>
    </row>
    <row r="40" spans="1:20" ht="27.95" customHeight="1">
      <c r="A40" s="249">
        <v>2300</v>
      </c>
      <c r="B40" s="106" t="s">
        <v>165</v>
      </c>
      <c r="C40" s="118"/>
      <c r="D40" s="118"/>
      <c r="E40" s="66"/>
      <c r="F40" s="66"/>
      <c r="G40" s="66"/>
      <c r="H40" s="66"/>
      <c r="I40" s="66"/>
      <c r="J40" s="66"/>
      <c r="K40" s="66"/>
      <c r="L40" s="118"/>
      <c r="M40" s="118"/>
      <c r="N40" s="118"/>
      <c r="O40" s="118"/>
      <c r="P40" s="118"/>
      <c r="Q40" s="118"/>
      <c r="R40" s="118"/>
      <c r="S40" s="118"/>
      <c r="T40" s="66">
        <f t="shared" si="0"/>
        <v>0</v>
      </c>
    </row>
    <row r="41" spans="1:20" ht="27.95" customHeight="1">
      <c r="A41" s="249">
        <v>2310</v>
      </c>
      <c r="B41" s="106" t="s">
        <v>164</v>
      </c>
      <c r="C41" s="118"/>
      <c r="D41" s="118"/>
      <c r="E41" s="66"/>
      <c r="F41" s="66"/>
      <c r="G41" s="66"/>
      <c r="H41" s="66"/>
      <c r="I41" s="66"/>
      <c r="J41" s="66"/>
      <c r="K41" s="66"/>
      <c r="L41" s="118"/>
      <c r="M41" s="118"/>
      <c r="N41" s="118"/>
      <c r="O41" s="118"/>
      <c r="P41" s="118"/>
      <c r="Q41" s="118"/>
      <c r="R41" s="118"/>
      <c r="S41" s="118"/>
      <c r="T41" s="66">
        <f t="shared" si="0"/>
        <v>0</v>
      </c>
    </row>
    <row r="42" spans="1:20" ht="27.95" customHeight="1">
      <c r="A42" s="169">
        <v>23101</v>
      </c>
      <c r="B42" s="66" t="s">
        <v>172</v>
      </c>
      <c r="C42" s="118"/>
      <c r="D42" s="118"/>
      <c r="E42" s="66"/>
      <c r="F42" s="66"/>
      <c r="G42" s="66"/>
      <c r="H42" s="66"/>
      <c r="I42" s="66"/>
      <c r="J42" s="66"/>
      <c r="K42" s="66"/>
      <c r="L42" s="100">
        <v>0</v>
      </c>
      <c r="M42" s="100">
        <v>0</v>
      </c>
      <c r="N42" s="100">
        <v>0</v>
      </c>
      <c r="O42" s="118"/>
      <c r="P42" s="118"/>
      <c r="Q42" s="100">
        <v>0</v>
      </c>
      <c r="R42" s="100">
        <v>0</v>
      </c>
      <c r="S42" s="100">
        <v>0</v>
      </c>
      <c r="T42" s="66">
        <f t="shared" si="0"/>
        <v>0</v>
      </c>
    </row>
    <row r="43" spans="1:20" ht="27.95" customHeight="1">
      <c r="A43" s="169">
        <v>23102</v>
      </c>
      <c r="B43" s="66" t="s">
        <v>173</v>
      </c>
      <c r="C43" s="118"/>
      <c r="D43" s="118"/>
      <c r="E43" s="66"/>
      <c r="F43" s="66"/>
      <c r="G43" s="66"/>
      <c r="H43" s="66"/>
      <c r="I43" s="66"/>
      <c r="J43" s="66"/>
      <c r="K43" s="66"/>
      <c r="L43" s="100">
        <v>0</v>
      </c>
      <c r="M43" s="100">
        <v>0</v>
      </c>
      <c r="N43" s="100"/>
      <c r="O43" s="118"/>
      <c r="P43" s="118"/>
      <c r="Q43" s="100">
        <v>0</v>
      </c>
      <c r="R43" s="100">
        <v>0</v>
      </c>
      <c r="S43" s="100">
        <v>0</v>
      </c>
      <c r="T43" s="66">
        <f t="shared" si="0"/>
        <v>0</v>
      </c>
    </row>
    <row r="44" spans="1:20" ht="27.95" customHeight="1">
      <c r="A44" s="169">
        <v>23103</v>
      </c>
      <c r="B44" s="66" t="s">
        <v>106</v>
      </c>
      <c r="C44" s="118"/>
      <c r="D44" s="118"/>
      <c r="E44" s="66"/>
      <c r="F44" s="66"/>
      <c r="G44" s="66"/>
      <c r="H44" s="66"/>
      <c r="I44" s="66"/>
      <c r="J44" s="66"/>
      <c r="K44" s="66"/>
      <c r="L44" s="116">
        <v>60000000</v>
      </c>
      <c r="M44" s="116">
        <f>60000000</f>
        <v>60000000</v>
      </c>
      <c r="N44" s="119">
        <v>0</v>
      </c>
      <c r="O44" s="118"/>
      <c r="P44" s="118"/>
      <c r="Q44" s="119">
        <v>0</v>
      </c>
      <c r="R44" s="119">
        <v>0</v>
      </c>
      <c r="S44" s="119">
        <v>0</v>
      </c>
      <c r="T44" s="66">
        <f t="shared" si="0"/>
        <v>0</v>
      </c>
    </row>
    <row r="45" spans="1:20" ht="27.95" customHeight="1">
      <c r="A45" s="169">
        <v>23104</v>
      </c>
      <c r="B45" s="66" t="s">
        <v>107</v>
      </c>
      <c r="C45" s="118"/>
      <c r="D45" s="118"/>
      <c r="E45" s="66"/>
      <c r="F45" s="66"/>
      <c r="G45" s="66"/>
      <c r="H45" s="66"/>
      <c r="I45" s="66"/>
      <c r="J45" s="66"/>
      <c r="K45" s="66"/>
      <c r="L45" s="116">
        <v>140000000</v>
      </c>
      <c r="M45" s="116">
        <f>140000000</f>
        <v>140000000</v>
      </c>
      <c r="N45" s="119">
        <v>0</v>
      </c>
      <c r="O45" s="118"/>
      <c r="P45" s="118"/>
      <c r="Q45" s="119">
        <v>0</v>
      </c>
      <c r="R45" s="119">
        <v>0</v>
      </c>
      <c r="S45" s="119">
        <v>0</v>
      </c>
      <c r="T45" s="66">
        <f t="shared" si="0"/>
        <v>0</v>
      </c>
    </row>
    <row r="46" spans="1:20" ht="27.95" customHeight="1">
      <c r="A46" s="169"/>
      <c r="B46" s="106" t="s">
        <v>59</v>
      </c>
      <c r="C46" s="118"/>
      <c r="D46" s="118"/>
      <c r="E46" s="66"/>
      <c r="F46" s="66"/>
      <c r="G46" s="66"/>
      <c r="H46" s="66"/>
      <c r="I46" s="66"/>
      <c r="J46" s="66"/>
      <c r="K46" s="66"/>
      <c r="L46" s="117">
        <f>SUM(L44:L45)</f>
        <v>200000000</v>
      </c>
      <c r="M46" s="117">
        <f>SUM(M44:M45)</f>
        <v>200000000</v>
      </c>
      <c r="N46" s="143">
        <f>SUM(N44:N45)</f>
        <v>0</v>
      </c>
      <c r="O46" s="118"/>
      <c r="P46" s="118"/>
      <c r="Q46" s="143">
        <f>SUM(Q42:Q45)</f>
        <v>0</v>
      </c>
      <c r="R46" s="143">
        <f>SUM(R42:R45)</f>
        <v>0</v>
      </c>
      <c r="S46" s="143">
        <f>SUM(S42:S45)</f>
        <v>0</v>
      </c>
      <c r="T46" s="66">
        <f t="shared" si="0"/>
        <v>0</v>
      </c>
    </row>
    <row r="47" spans="1:20" ht="27.95" customHeight="1">
      <c r="A47" s="169"/>
      <c r="B47" s="106" t="s">
        <v>18</v>
      </c>
      <c r="C47" s="118"/>
      <c r="D47" s="118"/>
      <c r="E47" s="66"/>
      <c r="F47" s="66"/>
      <c r="G47" s="66"/>
      <c r="H47" s="66"/>
      <c r="I47" s="66"/>
      <c r="J47" s="66"/>
      <c r="K47" s="66"/>
      <c r="L47" s="105">
        <f>L46+L39+L34+L24+L6</f>
        <v>33622078053</v>
      </c>
      <c r="M47" s="105">
        <f>M46+M39+M34+M24+M6</f>
        <v>60646703163</v>
      </c>
      <c r="N47" s="105">
        <f ca="1">N46+N39+N34+N24+N6</f>
        <v>59808328123</v>
      </c>
      <c r="O47" s="118"/>
      <c r="P47" s="118"/>
      <c r="Q47" s="105">
        <f>Q46+Q39+Q34+Q24+Q6</f>
        <v>60638328123</v>
      </c>
      <c r="R47" s="105">
        <f>R46+R39+R34+R24+R6</f>
        <v>68255495000</v>
      </c>
      <c r="S47" s="105">
        <f>S46+S39+S34+S24+S6</f>
        <v>76754310054</v>
      </c>
      <c r="T47" s="106">
        <f t="shared" si="0"/>
        <v>8498815054</v>
      </c>
    </row>
  </sheetData>
  <phoneticPr fontId="0" type="noConversion"/>
  <printOptions gridLines="1"/>
  <pageMargins left="0.76" right="0.36" top="0.73" bottom="0.46" header="0.19" footer="0.17"/>
  <pageSetup scale="50" orientation="portrait" r:id="rId1"/>
  <headerFooter alignWithMargins="0">
    <oddHeader xml:space="preserve">&amp;C&amp;"Algerian,Bold"&amp;36Ciidanka Booliska </oddHeader>
    <oddFooter>&amp;C&amp;"Times New Roman,Bold"&amp;12           &amp;R&amp;"Times New Roman,Bold"&amp;14 &amp;16 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A16" zoomScale="60" zoomScaleNormal="75" zoomScalePageLayoutView="70" workbookViewId="0">
      <selection activeCell="N24" sqref="N24"/>
    </sheetView>
  </sheetViews>
  <sheetFormatPr defaultRowHeight="30.95" customHeight="1"/>
  <cols>
    <col min="1" max="1" width="21.6640625" style="355" bestFit="1" customWidth="1"/>
    <col min="2" max="2" width="80.1640625" style="291" customWidth="1"/>
    <col min="3" max="5" width="20" style="291" hidden="1" customWidth="1"/>
    <col min="6" max="6" width="7.1640625" style="291" hidden="1" customWidth="1"/>
    <col min="7" max="7" width="21.5" style="291" hidden="1" customWidth="1"/>
    <col min="8" max="8" width="25.33203125" style="291" hidden="1" customWidth="1"/>
    <col min="9" max="9" width="27.6640625" style="291" hidden="1" customWidth="1"/>
    <col min="10" max="10" width="35" style="291" hidden="1" customWidth="1"/>
    <col min="11" max="11" width="0.33203125" style="291" customWidth="1"/>
    <col min="12" max="12" width="35.33203125" style="291" bestFit="1" customWidth="1"/>
    <col min="13" max="13" width="35.33203125" style="291" customWidth="1"/>
    <col min="14" max="14" width="26.5" style="291" customWidth="1"/>
    <col min="15" max="16384" width="9.33203125" style="291"/>
  </cols>
  <sheetData>
    <row r="1" spans="1:16" ht="30.95" customHeight="1">
      <c r="A1" s="353" t="s">
        <v>21</v>
      </c>
      <c r="B1" s="354" t="s">
        <v>779</v>
      </c>
      <c r="C1" s="251"/>
      <c r="D1" s="251"/>
      <c r="E1" s="251"/>
      <c r="F1" s="251"/>
      <c r="G1" s="251"/>
      <c r="H1" s="251"/>
      <c r="I1" s="251"/>
      <c r="J1" s="118"/>
      <c r="K1" s="118"/>
      <c r="L1" s="118"/>
      <c r="M1" s="118"/>
      <c r="N1" s="118"/>
    </row>
    <row r="2" spans="1:16" ht="30.95" customHeight="1">
      <c r="A2" s="353" t="s">
        <v>6</v>
      </c>
      <c r="B2" s="251" t="s">
        <v>7</v>
      </c>
      <c r="C2" s="256" t="s">
        <v>35</v>
      </c>
      <c r="D2" s="256" t="s">
        <v>42</v>
      </c>
      <c r="E2" s="256" t="s">
        <v>66</v>
      </c>
      <c r="F2" s="256" t="s">
        <v>69</v>
      </c>
      <c r="G2" s="256" t="s">
        <v>75</v>
      </c>
      <c r="H2" s="256" t="s">
        <v>110</v>
      </c>
      <c r="I2" s="256" t="s">
        <v>166</v>
      </c>
      <c r="J2" s="256" t="s">
        <v>318</v>
      </c>
      <c r="K2" s="256" t="s">
        <v>530</v>
      </c>
      <c r="L2" s="256" t="s">
        <v>605</v>
      </c>
      <c r="M2" s="256" t="s">
        <v>725</v>
      </c>
      <c r="N2" s="256" t="s">
        <v>34</v>
      </c>
    </row>
    <row r="3" spans="1:16" ht="30.95" customHeight="1">
      <c r="A3" s="249">
        <v>210</v>
      </c>
      <c r="B3" s="106" t="s">
        <v>95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ht="30.95" customHeight="1">
      <c r="A4" s="249">
        <v>2110</v>
      </c>
      <c r="B4" s="106" t="s">
        <v>155</v>
      </c>
      <c r="C4" s="66">
        <v>0</v>
      </c>
      <c r="D4" s="66">
        <v>736848000</v>
      </c>
      <c r="E4" s="66">
        <v>957902400</v>
      </c>
      <c r="F4" s="66">
        <v>1037462400</v>
      </c>
      <c r="G4" s="66">
        <v>1037462400</v>
      </c>
      <c r="H4" s="66"/>
      <c r="I4" s="66"/>
      <c r="J4" s="66"/>
      <c r="K4" s="66"/>
      <c r="L4" s="66"/>
      <c r="M4" s="66"/>
      <c r="N4" s="118"/>
    </row>
    <row r="5" spans="1:16" ht="30.95" customHeight="1">
      <c r="A5" s="169">
        <v>21101</v>
      </c>
      <c r="B5" s="66" t="s">
        <v>357</v>
      </c>
      <c r="C5" s="66">
        <v>0</v>
      </c>
      <c r="D5" s="66">
        <f>66980000+41510500</f>
        <v>108490500</v>
      </c>
      <c r="E5" s="66">
        <v>105409500</v>
      </c>
      <c r="F5" s="66">
        <v>105409500</v>
      </c>
      <c r="G5" s="66">
        <v>0</v>
      </c>
      <c r="H5" s="66">
        <v>1037462400</v>
      </c>
      <c r="I5" s="66">
        <v>3914352000</v>
      </c>
      <c r="J5" s="66">
        <v>3914352000</v>
      </c>
      <c r="K5" s="66">
        <v>4041648000</v>
      </c>
      <c r="L5" s="66">
        <v>4849977600</v>
      </c>
      <c r="M5" s="66">
        <v>5374293120</v>
      </c>
      <c r="N5" s="100">
        <f>M5-L5</f>
        <v>524315520</v>
      </c>
    </row>
    <row r="6" spans="1:16" ht="30.95" customHeight="1">
      <c r="A6" s="169">
        <v>21102</v>
      </c>
      <c r="B6" s="66" t="s">
        <v>10</v>
      </c>
      <c r="C6" s="66">
        <v>0</v>
      </c>
      <c r="D6" s="66">
        <v>66008000</v>
      </c>
      <c r="E6" s="66">
        <v>66008000</v>
      </c>
      <c r="F6" s="66">
        <v>66008000</v>
      </c>
      <c r="G6" s="66">
        <v>108409500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100">
        <f t="shared" ref="N6:N42" si="0">M6-L6</f>
        <v>0</v>
      </c>
    </row>
    <row r="7" spans="1:16" ht="30.95" customHeight="1">
      <c r="A7" s="169">
        <v>21103</v>
      </c>
      <c r="B7" s="66" t="s">
        <v>11</v>
      </c>
      <c r="C7" s="66"/>
      <c r="D7" s="66"/>
      <c r="E7" s="66"/>
      <c r="F7" s="66"/>
      <c r="G7" s="66">
        <f>24000000+66008000</f>
        <v>90008000</v>
      </c>
      <c r="H7" s="66">
        <v>108409500</v>
      </c>
      <c r="I7" s="66">
        <f>108409500</f>
        <v>108409500</v>
      </c>
      <c r="J7" s="66">
        <f>108409500</f>
        <v>108409500</v>
      </c>
      <c r="K7" s="66">
        <v>108409500</v>
      </c>
      <c r="L7" s="66">
        <v>0</v>
      </c>
      <c r="M7" s="66">
        <v>228409500</v>
      </c>
      <c r="N7" s="100">
        <f t="shared" si="0"/>
        <v>228409500</v>
      </c>
    </row>
    <row r="8" spans="1:16" ht="30.95" customHeight="1">
      <c r="A8" s="169">
        <v>21105</v>
      </c>
      <c r="B8" s="66" t="s">
        <v>330</v>
      </c>
      <c r="C8" s="66">
        <v>0</v>
      </c>
      <c r="D8" s="66">
        <v>0</v>
      </c>
      <c r="E8" s="66">
        <v>0</v>
      </c>
      <c r="F8" s="66">
        <v>0</v>
      </c>
      <c r="G8" s="106">
        <f>SUM(G4:G7)</f>
        <v>1235879900</v>
      </c>
      <c r="H8" s="66">
        <v>90008000</v>
      </c>
      <c r="I8" s="66">
        <v>282000000</v>
      </c>
      <c r="J8" s="66">
        <v>282000000</v>
      </c>
      <c r="K8" s="66">
        <v>282000000</v>
      </c>
      <c r="L8" s="66">
        <v>282000000</v>
      </c>
      <c r="M8" s="66">
        <v>288478620</v>
      </c>
      <c r="N8" s="100">
        <f t="shared" si="0"/>
        <v>6478620</v>
      </c>
    </row>
    <row r="9" spans="1:16" ht="30.95" customHeight="1">
      <c r="A9" s="169"/>
      <c r="B9" s="106" t="s">
        <v>59</v>
      </c>
      <c r="C9" s="66">
        <v>0</v>
      </c>
      <c r="D9" s="66">
        <v>20000000</v>
      </c>
      <c r="E9" s="66">
        <v>14896000</v>
      </c>
      <c r="F9" s="66">
        <v>20000000</v>
      </c>
      <c r="G9" s="66">
        <v>22344000</v>
      </c>
      <c r="H9" s="106">
        <f t="shared" ref="H9:L9" si="1">SUM(H5:H8)</f>
        <v>1235879900</v>
      </c>
      <c r="I9" s="106">
        <f t="shared" si="1"/>
        <v>4304761500</v>
      </c>
      <c r="J9" s="106">
        <f t="shared" si="1"/>
        <v>4304761500</v>
      </c>
      <c r="K9" s="106">
        <f t="shared" si="1"/>
        <v>4432057500</v>
      </c>
      <c r="L9" s="106">
        <f t="shared" si="1"/>
        <v>5131977600</v>
      </c>
      <c r="M9" s="106">
        <f>SUM(M5:M8)</f>
        <v>5891181240</v>
      </c>
      <c r="N9" s="105">
        <f t="shared" si="0"/>
        <v>759203640</v>
      </c>
    </row>
    <row r="10" spans="1:16" ht="30.95" customHeight="1">
      <c r="A10" s="249">
        <v>220</v>
      </c>
      <c r="B10" s="106" t="s">
        <v>159</v>
      </c>
      <c r="C10" s="66">
        <v>0</v>
      </c>
      <c r="D10" s="66">
        <v>0</v>
      </c>
      <c r="E10" s="66">
        <v>0</v>
      </c>
      <c r="F10" s="66">
        <v>0</v>
      </c>
      <c r="G10" s="66">
        <v>5958400</v>
      </c>
      <c r="H10" s="66"/>
      <c r="I10" s="66"/>
      <c r="J10" s="66"/>
      <c r="K10" s="66"/>
      <c r="L10" s="66"/>
      <c r="M10" s="66"/>
      <c r="N10" s="100">
        <f t="shared" si="0"/>
        <v>0</v>
      </c>
    </row>
    <row r="11" spans="1:16" ht="30.95" customHeight="1">
      <c r="A11" s="249">
        <v>2210</v>
      </c>
      <c r="B11" s="106" t="s">
        <v>160</v>
      </c>
      <c r="C11" s="66">
        <v>0</v>
      </c>
      <c r="D11" s="66">
        <v>180755316</v>
      </c>
      <c r="E11" s="66">
        <v>180755316</v>
      </c>
      <c r="F11" s="66">
        <v>274354605</v>
      </c>
      <c r="G11" s="66">
        <v>0</v>
      </c>
      <c r="H11" s="66"/>
      <c r="I11" s="66"/>
      <c r="J11" s="66"/>
      <c r="K11" s="66"/>
      <c r="L11" s="66"/>
      <c r="M11" s="66"/>
      <c r="N11" s="100">
        <f t="shared" si="0"/>
        <v>0</v>
      </c>
    </row>
    <row r="12" spans="1:16" ht="30.95" customHeight="1">
      <c r="A12" s="169">
        <v>22101</v>
      </c>
      <c r="B12" s="66" t="s">
        <v>14</v>
      </c>
      <c r="C12" s="66"/>
      <c r="D12" s="66">
        <v>0</v>
      </c>
      <c r="E12" s="66">
        <v>15791750</v>
      </c>
      <c r="F12" s="66">
        <v>19071000</v>
      </c>
      <c r="G12" s="66">
        <v>0</v>
      </c>
      <c r="H12" s="66">
        <v>17875200</v>
      </c>
      <c r="I12" s="66">
        <f>17875200*70%</f>
        <v>12512640</v>
      </c>
      <c r="J12" s="66">
        <f>17875200*70%</f>
        <v>12512640</v>
      </c>
      <c r="K12" s="66">
        <v>12512640</v>
      </c>
      <c r="L12" s="66">
        <v>12512640</v>
      </c>
      <c r="M12" s="66">
        <v>12512640</v>
      </c>
      <c r="N12" s="100">
        <f t="shared" si="0"/>
        <v>0</v>
      </c>
      <c r="O12" s="288"/>
      <c r="P12" s="288"/>
    </row>
    <row r="13" spans="1:16" ht="30.95" customHeight="1">
      <c r="A13" s="169">
        <v>22104</v>
      </c>
      <c r="B13" s="66" t="s">
        <v>116</v>
      </c>
      <c r="C13" s="106">
        <v>0</v>
      </c>
      <c r="D13" s="106">
        <f>SUM(D9:D12)</f>
        <v>200755316</v>
      </c>
      <c r="E13" s="106">
        <f>SUM(E9:E12)</f>
        <v>211443066</v>
      </c>
      <c r="F13" s="106">
        <f>SUM(F9:F12)</f>
        <v>313425605</v>
      </c>
      <c r="G13" s="66">
        <v>7448000</v>
      </c>
      <c r="H13" s="66">
        <v>8937600</v>
      </c>
      <c r="I13" s="66">
        <f>8937600*70%</f>
        <v>6256320</v>
      </c>
      <c r="J13" s="66">
        <f>8937600*70%</f>
        <v>6256320</v>
      </c>
      <c r="K13" s="66">
        <v>6256320</v>
      </c>
      <c r="L13" s="66">
        <v>16256320</v>
      </c>
      <c r="M13" s="66">
        <v>16256320</v>
      </c>
      <c r="N13" s="100">
        <f t="shared" si="0"/>
        <v>0</v>
      </c>
    </row>
    <row r="14" spans="1:16" ht="30.95" customHeight="1">
      <c r="A14" s="169">
        <v>22105</v>
      </c>
      <c r="B14" s="66" t="s">
        <v>620</v>
      </c>
      <c r="C14" s="106"/>
      <c r="D14" s="106"/>
      <c r="E14" s="106"/>
      <c r="F14" s="106"/>
      <c r="G14" s="66"/>
      <c r="H14" s="66"/>
      <c r="I14" s="66"/>
      <c r="J14" s="66"/>
      <c r="K14" s="66">
        <v>0</v>
      </c>
      <c r="L14" s="66">
        <v>33600000</v>
      </c>
      <c r="M14" s="66">
        <v>33600000</v>
      </c>
      <c r="N14" s="100">
        <f t="shared" si="0"/>
        <v>0</v>
      </c>
    </row>
    <row r="15" spans="1:16" ht="30.95" customHeight="1">
      <c r="A15" s="169">
        <v>22106</v>
      </c>
      <c r="B15" s="66" t="s">
        <v>84</v>
      </c>
      <c r="C15" s="66"/>
      <c r="D15" s="66"/>
      <c r="E15" s="66"/>
      <c r="F15" s="66"/>
      <c r="G15" s="66">
        <v>80000000</v>
      </c>
      <c r="H15" s="66">
        <v>22344000</v>
      </c>
      <c r="I15" s="66">
        <f>22344000*70%</f>
        <v>15640799.999999998</v>
      </c>
      <c r="J15" s="66">
        <v>0</v>
      </c>
      <c r="K15" s="66">
        <v>0</v>
      </c>
      <c r="L15" s="66">
        <v>0</v>
      </c>
      <c r="M15" s="66">
        <v>0</v>
      </c>
      <c r="N15" s="100">
        <f t="shared" si="0"/>
        <v>0</v>
      </c>
    </row>
    <row r="16" spans="1:16" ht="30.95" customHeight="1">
      <c r="A16" s="169">
        <v>22107</v>
      </c>
      <c r="B16" s="66" t="s">
        <v>30</v>
      </c>
      <c r="C16" s="66">
        <v>0</v>
      </c>
      <c r="D16" s="66">
        <v>25000000</v>
      </c>
      <c r="E16" s="66">
        <v>0</v>
      </c>
      <c r="F16" s="66">
        <v>0</v>
      </c>
      <c r="G16" s="106">
        <f>SUM(G9:G15)</f>
        <v>115750400</v>
      </c>
      <c r="H16" s="66">
        <v>9598400</v>
      </c>
      <c r="I16" s="66">
        <f>9598400*70%</f>
        <v>6718880</v>
      </c>
      <c r="J16" s="66">
        <f>I16*70%</f>
        <v>4703216</v>
      </c>
      <c r="K16" s="66">
        <v>4703216</v>
      </c>
      <c r="L16" s="66">
        <v>4703216</v>
      </c>
      <c r="M16" s="66">
        <v>4703216</v>
      </c>
      <c r="N16" s="100">
        <f t="shared" si="0"/>
        <v>0</v>
      </c>
    </row>
    <row r="17" spans="1:14" ht="30.95" customHeight="1">
      <c r="A17" s="169">
        <v>22109</v>
      </c>
      <c r="B17" s="66" t="s">
        <v>94</v>
      </c>
      <c r="C17" s="66">
        <v>0</v>
      </c>
      <c r="D17" s="66">
        <v>60000000</v>
      </c>
      <c r="E17" s="66">
        <v>0</v>
      </c>
      <c r="F17" s="66">
        <v>0</v>
      </c>
      <c r="G17" s="66">
        <v>40000000</v>
      </c>
      <c r="H17" s="66">
        <v>5000000</v>
      </c>
      <c r="I17" s="66">
        <f>5000000*70%</f>
        <v>3500000</v>
      </c>
      <c r="J17" s="66">
        <f>5000000*70%</f>
        <v>3500000</v>
      </c>
      <c r="K17" s="66">
        <v>3500000</v>
      </c>
      <c r="L17" s="66">
        <v>3500000</v>
      </c>
      <c r="M17" s="66">
        <v>3500000</v>
      </c>
      <c r="N17" s="100">
        <f t="shared" si="0"/>
        <v>0</v>
      </c>
    </row>
    <row r="18" spans="1:14" ht="30.95" customHeight="1">
      <c r="A18" s="169">
        <v>22112</v>
      </c>
      <c r="B18" s="66" t="s">
        <v>16</v>
      </c>
      <c r="C18" s="66">
        <v>0</v>
      </c>
      <c r="D18" s="66">
        <v>0</v>
      </c>
      <c r="E18" s="66">
        <v>0</v>
      </c>
      <c r="F18" s="66">
        <v>0</v>
      </c>
      <c r="G18" s="66">
        <v>300000000</v>
      </c>
      <c r="H18" s="66">
        <v>37937730</v>
      </c>
      <c r="I18" s="66">
        <f>37937730*70%</f>
        <v>26556411</v>
      </c>
      <c r="J18" s="66">
        <f>37937730*70%</f>
        <v>26556411</v>
      </c>
      <c r="K18" s="66">
        <v>26556411</v>
      </c>
      <c r="L18" s="66">
        <v>26556411</v>
      </c>
      <c r="M18" s="66">
        <v>26556411</v>
      </c>
      <c r="N18" s="100">
        <f t="shared" si="0"/>
        <v>0</v>
      </c>
    </row>
    <row r="19" spans="1:14" ht="30.95" customHeight="1">
      <c r="A19" s="169">
        <v>22137</v>
      </c>
      <c r="B19" s="66" t="s">
        <v>200</v>
      </c>
      <c r="C19" s="66">
        <v>0</v>
      </c>
      <c r="D19" s="66">
        <v>8000000</v>
      </c>
      <c r="E19" s="66">
        <v>8937600</v>
      </c>
      <c r="F19" s="66">
        <v>10000000</v>
      </c>
      <c r="G19" s="106" t="e">
        <f>SUM(#REF!)</f>
        <v>#REF!</v>
      </c>
      <c r="H19" s="66">
        <v>7448000</v>
      </c>
      <c r="I19" s="66">
        <f>7448000*70%</f>
        <v>5213600</v>
      </c>
      <c r="J19" s="66">
        <f>7448000*70%</f>
        <v>5213600</v>
      </c>
      <c r="K19" s="66">
        <v>5213600</v>
      </c>
      <c r="L19" s="66">
        <v>5213600</v>
      </c>
      <c r="M19" s="66">
        <v>5213600</v>
      </c>
      <c r="N19" s="100">
        <f t="shared" si="0"/>
        <v>0</v>
      </c>
    </row>
    <row r="20" spans="1:14" ht="30.95" customHeight="1">
      <c r="A20" s="169">
        <v>22138</v>
      </c>
      <c r="B20" s="66" t="s">
        <v>209</v>
      </c>
      <c r="C20" s="66">
        <v>0</v>
      </c>
      <c r="D20" s="66">
        <v>0</v>
      </c>
      <c r="E20" s="66">
        <v>22344000</v>
      </c>
      <c r="F20" s="66">
        <v>26000000</v>
      </c>
      <c r="G20" s="66">
        <v>57692952</v>
      </c>
      <c r="H20" s="66">
        <v>40000000</v>
      </c>
      <c r="I20" s="66">
        <f>40000000*70%</f>
        <v>28000000</v>
      </c>
      <c r="J20" s="66">
        <f>I20</f>
        <v>28000000</v>
      </c>
      <c r="K20" s="66">
        <v>28000000</v>
      </c>
      <c r="L20" s="66">
        <v>28000000</v>
      </c>
      <c r="M20" s="66">
        <v>28000000</v>
      </c>
      <c r="N20" s="100">
        <f t="shared" si="0"/>
        <v>0</v>
      </c>
    </row>
    <row r="21" spans="1:14" ht="30.95" customHeight="1">
      <c r="A21" s="169">
        <v>22153</v>
      </c>
      <c r="B21" s="66" t="s">
        <v>557</v>
      </c>
      <c r="C21" s="66"/>
      <c r="D21" s="66"/>
      <c r="E21" s="66"/>
      <c r="F21" s="66"/>
      <c r="G21" s="66"/>
      <c r="H21" s="66">
        <v>0</v>
      </c>
      <c r="I21" s="66">
        <f>200000000*70%</f>
        <v>140000000</v>
      </c>
      <c r="J21" s="66">
        <v>0</v>
      </c>
      <c r="K21" s="66">
        <v>100000000</v>
      </c>
      <c r="L21" s="66">
        <v>100000000</v>
      </c>
      <c r="M21" s="66">
        <v>100000000</v>
      </c>
      <c r="N21" s="100">
        <f>M21-L21</f>
        <v>0</v>
      </c>
    </row>
    <row r="22" spans="1:14" ht="30.95" customHeight="1">
      <c r="A22" s="169"/>
      <c r="B22" s="106" t="s">
        <v>59</v>
      </c>
      <c r="C22" s="66">
        <v>0</v>
      </c>
      <c r="D22" s="66">
        <v>8000000</v>
      </c>
      <c r="E22" s="66">
        <v>5958400</v>
      </c>
      <c r="F22" s="66">
        <v>10000000</v>
      </c>
      <c r="G22" s="66">
        <v>0</v>
      </c>
      <c r="H22" s="106">
        <f>SUM(H12:H20)</f>
        <v>149140930</v>
      </c>
      <c r="I22" s="106">
        <f>SUM(I12:I20)</f>
        <v>104398651</v>
      </c>
      <c r="J22" s="106">
        <f>SUM(J12:J20)</f>
        <v>86742187</v>
      </c>
      <c r="K22" s="106">
        <f>SUM(K12:K20)</f>
        <v>86742187</v>
      </c>
      <c r="L22" s="106">
        <f>SUM(L12:L21)</f>
        <v>230342187</v>
      </c>
      <c r="M22" s="106">
        <f>SUM(M12:M21)</f>
        <v>230342187</v>
      </c>
      <c r="N22" s="105">
        <f t="shared" si="0"/>
        <v>0</v>
      </c>
    </row>
    <row r="23" spans="1:14" ht="30.95" customHeight="1">
      <c r="A23" s="249">
        <v>2220</v>
      </c>
      <c r="B23" s="106" t="s">
        <v>161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/>
      <c r="I23" s="66"/>
      <c r="J23" s="66"/>
      <c r="K23" s="66"/>
      <c r="L23" s="66"/>
      <c r="M23" s="66"/>
      <c r="N23" s="100">
        <f t="shared" si="0"/>
        <v>0</v>
      </c>
    </row>
    <row r="24" spans="1:14" ht="30.95" customHeight="1">
      <c r="A24" s="169">
        <v>22201</v>
      </c>
      <c r="B24" s="66" t="s">
        <v>90</v>
      </c>
      <c r="C24" s="66">
        <v>0</v>
      </c>
      <c r="D24" s="66">
        <v>0</v>
      </c>
      <c r="E24" s="66">
        <v>0</v>
      </c>
      <c r="F24" s="66">
        <v>0</v>
      </c>
      <c r="G24" s="106">
        <f>SUM(G20:G23)</f>
        <v>57692952</v>
      </c>
      <c r="H24" s="66">
        <v>40000000</v>
      </c>
      <c r="I24" s="66">
        <f>108000000*70%</f>
        <v>75600000</v>
      </c>
      <c r="J24" s="66">
        <f>108000000*70%</f>
        <v>75600000</v>
      </c>
      <c r="K24" s="66">
        <v>75600000</v>
      </c>
      <c r="L24" s="66">
        <v>125600000</v>
      </c>
      <c r="M24" s="66">
        <v>125600000</v>
      </c>
      <c r="N24" s="100">
        <f t="shared" si="0"/>
        <v>0</v>
      </c>
    </row>
    <row r="25" spans="1:14" ht="30.95" customHeight="1">
      <c r="A25" s="169">
        <v>22202</v>
      </c>
      <c r="B25" s="66" t="s">
        <v>91</v>
      </c>
      <c r="C25" s="66"/>
      <c r="D25" s="66">
        <v>0</v>
      </c>
      <c r="E25" s="66">
        <v>0</v>
      </c>
      <c r="F25" s="66">
        <v>0</v>
      </c>
      <c r="G25" s="106" t="e">
        <f>G24+G19+#REF!+G16+G8</f>
        <v>#REF!</v>
      </c>
      <c r="H25" s="66">
        <v>320000000</v>
      </c>
      <c r="I25" s="66">
        <f>450000000*70%</f>
        <v>315000000</v>
      </c>
      <c r="J25" s="66">
        <f>I25*80%</f>
        <v>252000000</v>
      </c>
      <c r="K25" s="66">
        <v>252000000</v>
      </c>
      <c r="L25" s="66">
        <v>352000000</v>
      </c>
      <c r="M25" s="66">
        <v>652000000</v>
      </c>
      <c r="N25" s="100">
        <f t="shared" si="0"/>
        <v>300000000</v>
      </c>
    </row>
    <row r="26" spans="1:14" ht="30.95" customHeight="1">
      <c r="A26" s="169">
        <v>22203</v>
      </c>
      <c r="B26" s="66" t="s">
        <v>85</v>
      </c>
      <c r="C26" s="118"/>
      <c r="D26" s="118"/>
      <c r="E26" s="118"/>
      <c r="F26" s="118"/>
      <c r="G26" s="118"/>
      <c r="H26" s="66">
        <v>14896000</v>
      </c>
      <c r="I26" s="66">
        <f>14896000*70%</f>
        <v>10427200</v>
      </c>
      <c r="J26" s="66">
        <f>14896000*70%</f>
        <v>10427200</v>
      </c>
      <c r="K26" s="66">
        <v>10427200</v>
      </c>
      <c r="L26" s="66">
        <v>10427200</v>
      </c>
      <c r="M26" s="66">
        <v>10427200</v>
      </c>
      <c r="N26" s="100">
        <f t="shared" si="0"/>
        <v>0</v>
      </c>
    </row>
    <row r="27" spans="1:14" ht="30.95" customHeight="1">
      <c r="A27" s="169">
        <v>22208</v>
      </c>
      <c r="B27" s="66" t="s">
        <v>324</v>
      </c>
      <c r="C27" s="118"/>
      <c r="D27" s="118"/>
      <c r="E27" s="118"/>
      <c r="F27" s="118"/>
      <c r="G27" s="118"/>
      <c r="H27" s="116">
        <v>305425605</v>
      </c>
      <c r="I27" s="116">
        <v>1151280000</v>
      </c>
      <c r="J27" s="116">
        <v>1151280000</v>
      </c>
      <c r="K27" s="116">
        <v>1251356400</v>
      </c>
      <c r="L27" s="116">
        <v>1251356400</v>
      </c>
      <c r="M27" s="116">
        <v>1255297680</v>
      </c>
      <c r="N27" s="100">
        <f t="shared" si="0"/>
        <v>3941280</v>
      </c>
    </row>
    <row r="28" spans="1:14" ht="30.95" customHeight="1">
      <c r="A28" s="169">
        <v>22209</v>
      </c>
      <c r="B28" s="66" t="s">
        <v>145</v>
      </c>
      <c r="C28" s="66">
        <v>0</v>
      </c>
      <c r="D28" s="66">
        <v>0</v>
      </c>
      <c r="E28" s="66">
        <v>0</v>
      </c>
      <c r="F28" s="66">
        <v>0</v>
      </c>
      <c r="G28" s="66"/>
      <c r="H28" s="66">
        <v>22344000</v>
      </c>
      <c r="I28" s="66">
        <f>22344000*70%</f>
        <v>15640799.999999998</v>
      </c>
      <c r="J28" s="66">
        <f>22344000*70%</f>
        <v>15640799.999999998</v>
      </c>
      <c r="K28" s="66">
        <v>15640799.999999998</v>
      </c>
      <c r="L28" s="66">
        <v>15640799.999999998</v>
      </c>
      <c r="M28" s="66">
        <v>15640799.999999998</v>
      </c>
      <c r="N28" s="100">
        <f t="shared" si="0"/>
        <v>0</v>
      </c>
    </row>
    <row r="29" spans="1:14" ht="30.95" customHeight="1">
      <c r="A29" s="169">
        <v>22210</v>
      </c>
      <c r="B29" s="66" t="s">
        <v>178</v>
      </c>
      <c r="C29" s="118"/>
      <c r="D29" s="118"/>
      <c r="E29" s="118"/>
      <c r="F29" s="118"/>
      <c r="G29" s="118"/>
      <c r="H29" s="116">
        <v>6000000</v>
      </c>
      <c r="I29" s="116">
        <f>6000000*70%</f>
        <v>4200000</v>
      </c>
      <c r="J29" s="116">
        <f>6000000*70%</f>
        <v>4200000</v>
      </c>
      <c r="K29" s="116">
        <v>4200000</v>
      </c>
      <c r="L29" s="116">
        <v>4200000</v>
      </c>
      <c r="M29" s="116">
        <v>4200000</v>
      </c>
      <c r="N29" s="100">
        <f t="shared" si="0"/>
        <v>0</v>
      </c>
    </row>
    <row r="30" spans="1:14" ht="30.95" customHeight="1">
      <c r="A30" s="169"/>
      <c r="B30" s="106" t="s">
        <v>59</v>
      </c>
      <c r="C30" s="118"/>
      <c r="D30" s="118"/>
      <c r="E30" s="118"/>
      <c r="F30" s="118"/>
      <c r="G30" s="118"/>
      <c r="H30" s="105">
        <f t="shared" ref="H30:L30" si="2">SUM(H24:H29)</f>
        <v>708665605</v>
      </c>
      <c r="I30" s="105">
        <f t="shared" si="2"/>
        <v>1572148000</v>
      </c>
      <c r="J30" s="105">
        <f t="shared" si="2"/>
        <v>1509148000</v>
      </c>
      <c r="K30" s="105">
        <f t="shared" si="2"/>
        <v>1609224400</v>
      </c>
      <c r="L30" s="105">
        <f t="shared" si="2"/>
        <v>1759224400</v>
      </c>
      <c r="M30" s="105">
        <f>SUM(M24:M29)</f>
        <v>2063165680</v>
      </c>
      <c r="N30" s="105">
        <f t="shared" si="0"/>
        <v>303941280</v>
      </c>
    </row>
    <row r="31" spans="1:14" ht="30.95" customHeight="1">
      <c r="A31" s="249">
        <v>2230</v>
      </c>
      <c r="B31" s="106" t="s">
        <v>88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00">
        <f t="shared" si="0"/>
        <v>0</v>
      </c>
    </row>
    <row r="32" spans="1:14" ht="30.95" customHeight="1">
      <c r="A32" s="169">
        <v>22301</v>
      </c>
      <c r="B32" s="66" t="s">
        <v>31</v>
      </c>
      <c r="C32" s="118"/>
      <c r="D32" s="118"/>
      <c r="E32" s="118"/>
      <c r="F32" s="118"/>
      <c r="G32" s="118"/>
      <c r="H32" s="133">
        <v>67692952</v>
      </c>
      <c r="I32" s="133">
        <f>67692952*70%</f>
        <v>47385066.399999999</v>
      </c>
      <c r="J32" s="133">
        <f>67692952*70%</f>
        <v>47385066.399999999</v>
      </c>
      <c r="K32" s="133">
        <v>47385066.399999999</v>
      </c>
      <c r="L32" s="133">
        <v>57385066.399999999</v>
      </c>
      <c r="M32" s="133">
        <v>57385066.399999999</v>
      </c>
      <c r="N32" s="100">
        <f t="shared" si="0"/>
        <v>0</v>
      </c>
    </row>
    <row r="33" spans="1:14" ht="30.95" customHeight="1">
      <c r="A33" s="169">
        <v>22302</v>
      </c>
      <c r="B33" s="66" t="s">
        <v>162</v>
      </c>
      <c r="C33" s="118"/>
      <c r="D33" s="118"/>
      <c r="E33" s="118"/>
      <c r="F33" s="118"/>
      <c r="G33" s="118"/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0">
        <f t="shared" si="0"/>
        <v>0</v>
      </c>
    </row>
    <row r="34" spans="1:14" ht="30.95" customHeight="1">
      <c r="A34" s="169"/>
      <c r="B34" s="106" t="s">
        <v>59</v>
      </c>
      <c r="C34" s="118"/>
      <c r="D34" s="118"/>
      <c r="E34" s="118"/>
      <c r="F34" s="118"/>
      <c r="G34" s="118"/>
      <c r="H34" s="117">
        <f t="shared" ref="H34:L34" si="3">SUM(H32:H33)</f>
        <v>67692952</v>
      </c>
      <c r="I34" s="117">
        <f t="shared" si="3"/>
        <v>47385066.399999999</v>
      </c>
      <c r="J34" s="117">
        <f t="shared" si="3"/>
        <v>47385066.399999999</v>
      </c>
      <c r="K34" s="117">
        <f t="shared" si="3"/>
        <v>47385066.399999999</v>
      </c>
      <c r="L34" s="117">
        <f t="shared" si="3"/>
        <v>57385066.399999999</v>
      </c>
      <c r="M34" s="117">
        <f>SUM(M32:M33)</f>
        <v>57385066.399999999</v>
      </c>
      <c r="N34" s="105">
        <f t="shared" si="0"/>
        <v>0</v>
      </c>
    </row>
    <row r="35" spans="1:14" ht="30.95" customHeight="1">
      <c r="A35" s="249">
        <v>230</v>
      </c>
      <c r="B35" s="106" t="s">
        <v>165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00">
        <f t="shared" si="0"/>
        <v>0</v>
      </c>
    </row>
    <row r="36" spans="1:14" ht="30.95" customHeight="1">
      <c r="A36" s="249">
        <v>2310</v>
      </c>
      <c r="B36" s="106" t="s">
        <v>164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00">
        <f t="shared" si="0"/>
        <v>0</v>
      </c>
    </row>
    <row r="37" spans="1:14" ht="30.95" customHeight="1">
      <c r="A37" s="169">
        <v>23101</v>
      </c>
      <c r="B37" s="66" t="s">
        <v>172</v>
      </c>
      <c r="C37" s="118"/>
      <c r="D37" s="118"/>
      <c r="E37" s="118"/>
      <c r="F37" s="118"/>
      <c r="G37" s="118"/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0">
        <f t="shared" si="0"/>
        <v>0</v>
      </c>
    </row>
    <row r="38" spans="1:14" ht="30.95" customHeight="1">
      <c r="A38" s="169">
        <v>23102</v>
      </c>
      <c r="B38" s="66" t="s">
        <v>370</v>
      </c>
      <c r="C38" s="118"/>
      <c r="D38" s="118"/>
      <c r="E38" s="118"/>
      <c r="F38" s="118"/>
      <c r="G38" s="118"/>
      <c r="H38" s="106">
        <v>0</v>
      </c>
      <c r="I38" s="66">
        <f>16000*2*6000*70%</f>
        <v>134400000</v>
      </c>
      <c r="J38" s="66">
        <v>198000000</v>
      </c>
      <c r="K38" s="66"/>
      <c r="L38" s="66"/>
      <c r="M38" s="66"/>
      <c r="N38" s="100">
        <f t="shared" si="0"/>
        <v>0</v>
      </c>
    </row>
    <row r="39" spans="1:14" ht="30.95" customHeight="1">
      <c r="A39" s="169">
        <v>23103</v>
      </c>
      <c r="B39" s="66" t="s">
        <v>106</v>
      </c>
      <c r="C39" s="118"/>
      <c r="D39" s="118"/>
      <c r="E39" s="118"/>
      <c r="F39" s="118"/>
      <c r="G39" s="118"/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0">
        <f t="shared" si="0"/>
        <v>0</v>
      </c>
    </row>
    <row r="40" spans="1:14" ht="30.95" customHeight="1">
      <c r="A40" s="169">
        <v>23104</v>
      </c>
      <c r="B40" s="66" t="s">
        <v>107</v>
      </c>
      <c r="C40" s="118"/>
      <c r="D40" s="118"/>
      <c r="E40" s="118"/>
      <c r="F40" s="118"/>
      <c r="G40" s="118"/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0">
        <f t="shared" si="0"/>
        <v>0</v>
      </c>
    </row>
    <row r="41" spans="1:14" ht="30.95" customHeight="1">
      <c r="A41" s="169"/>
      <c r="B41" s="106" t="s">
        <v>59</v>
      </c>
      <c r="C41" s="118"/>
      <c r="D41" s="118"/>
      <c r="E41" s="118"/>
      <c r="F41" s="118"/>
      <c r="G41" s="118"/>
      <c r="H41" s="106">
        <v>0</v>
      </c>
      <c r="I41" s="106">
        <f>SUM(I37:I40)</f>
        <v>134400000</v>
      </c>
      <c r="J41" s="106">
        <f>SUM(J37:J40)</f>
        <v>198000000</v>
      </c>
      <c r="K41" s="106">
        <f>SUM(K37:K40)</f>
        <v>0</v>
      </c>
      <c r="L41" s="106">
        <f>SUM(L37:L40)</f>
        <v>0</v>
      </c>
      <c r="M41" s="106">
        <f>SUM(M37:M40)</f>
        <v>0</v>
      </c>
      <c r="N41" s="100">
        <f t="shared" si="0"/>
        <v>0</v>
      </c>
    </row>
    <row r="42" spans="1:14" ht="30.95" customHeight="1">
      <c r="A42" s="169"/>
      <c r="B42" s="106" t="s">
        <v>18</v>
      </c>
      <c r="C42" s="118"/>
      <c r="D42" s="118"/>
      <c r="E42" s="118"/>
      <c r="F42" s="118"/>
      <c r="G42" s="118"/>
      <c r="H42" s="105">
        <f>H34+H30+H22+H9</f>
        <v>2161379387</v>
      </c>
      <c r="I42" s="105">
        <f>I41+I34+I30+I22+I9</f>
        <v>6163093217.3999996</v>
      </c>
      <c r="J42" s="105">
        <f>J41+J34+J30+J22+J9</f>
        <v>6146036753.3999996</v>
      </c>
      <c r="K42" s="105">
        <f>K41+K34+K30+K22+K9</f>
        <v>6175409153.3999996</v>
      </c>
      <c r="L42" s="105">
        <f>L41+L34+L30+L22+L9</f>
        <v>7178929253.3999996</v>
      </c>
      <c r="M42" s="105">
        <f>M41+M34+M30+M22+M9</f>
        <v>8242074173.3999996</v>
      </c>
      <c r="N42" s="105">
        <f t="shared" si="0"/>
        <v>1063144920</v>
      </c>
    </row>
  </sheetData>
  <phoneticPr fontId="0" type="noConversion"/>
  <pageMargins left="0.68" right="0.32" top="0.89" bottom="0.5" header="0.32" footer="0.26"/>
  <pageSetup scale="50" orientation="portrait" r:id="rId1"/>
  <headerFooter alignWithMargins="0">
    <oddHeader>&amp;C&amp;"Algerian,Bold"&amp;36CIIDANKA ILLAALADDA XEEBAHA</oddHeader>
    <oddFooter>&amp;R&amp;"Times New Roman,Bold"&amp;14 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/>
  <dimension ref="A1:Q2234"/>
  <sheetViews>
    <sheetView view="pageBreakPreview" zoomScale="67" zoomScaleSheetLayoutView="67" workbookViewId="0">
      <selection activeCell="Q18" sqref="Q18"/>
    </sheetView>
  </sheetViews>
  <sheetFormatPr defaultRowHeight="24.95" customHeight="1"/>
  <cols>
    <col min="1" max="1" width="18.33203125" style="359" bestFit="1" customWidth="1"/>
    <col min="2" max="2" width="76" style="360" bestFit="1" customWidth="1"/>
    <col min="3" max="3" width="17.1640625" style="304" hidden="1" customWidth="1"/>
    <col min="4" max="4" width="16.83203125" style="304" hidden="1" customWidth="1"/>
    <col min="5" max="5" width="18" style="304" hidden="1" customWidth="1"/>
    <col min="6" max="6" width="15.6640625" style="304" hidden="1" customWidth="1"/>
    <col min="7" max="7" width="18.83203125" style="304" hidden="1" customWidth="1"/>
    <col min="8" max="8" width="17.5" style="304" hidden="1" customWidth="1"/>
    <col min="9" max="10" width="1.5" style="304" hidden="1" customWidth="1"/>
    <col min="11" max="11" width="2" style="304" hidden="1" customWidth="1"/>
    <col min="12" max="12" width="21.1640625" style="360" hidden="1" customWidth="1"/>
    <col min="13" max="13" width="20.1640625" style="360" hidden="1" customWidth="1"/>
    <col min="14" max="14" width="0.1640625" style="360" customWidth="1"/>
    <col min="15" max="15" width="24.5" style="360" bestFit="1" customWidth="1"/>
    <col min="16" max="16" width="24.5" style="360" customWidth="1"/>
    <col min="17" max="17" width="24.5" style="360" bestFit="1" customWidth="1"/>
    <col min="18" max="18" width="13.83203125" style="304" customWidth="1"/>
    <col min="19" max="16384" width="9.33203125" style="304"/>
  </cols>
  <sheetData>
    <row r="1" spans="1:17" ht="24.95" customHeight="1">
      <c r="A1" s="353" t="s">
        <v>20</v>
      </c>
      <c r="B1" s="146" t="s">
        <v>821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24.95" customHeight="1">
      <c r="A2" s="353" t="s">
        <v>6</v>
      </c>
      <c r="B2" s="146" t="s">
        <v>6</v>
      </c>
      <c r="C2" s="357" t="s">
        <v>7</v>
      </c>
      <c r="D2" s="357" t="s">
        <v>2</v>
      </c>
      <c r="E2" s="357" t="s">
        <v>24</v>
      </c>
      <c r="F2" s="357" t="s">
        <v>28</v>
      </c>
      <c r="G2" s="357" t="s">
        <v>33</v>
      </c>
      <c r="H2" s="357" t="s">
        <v>40</v>
      </c>
      <c r="I2" s="357" t="s">
        <v>66</v>
      </c>
      <c r="J2" s="357" t="s">
        <v>69</v>
      </c>
      <c r="K2" s="357" t="s">
        <v>75</v>
      </c>
      <c r="L2" s="357" t="s">
        <v>110</v>
      </c>
      <c r="M2" s="357" t="s">
        <v>167</v>
      </c>
      <c r="N2" s="357" t="s">
        <v>538</v>
      </c>
      <c r="O2" s="357" t="s">
        <v>607</v>
      </c>
      <c r="P2" s="357" t="s">
        <v>722</v>
      </c>
      <c r="Q2" s="357" t="s">
        <v>34</v>
      </c>
    </row>
    <row r="3" spans="1:17" ht="24.95" customHeight="1">
      <c r="A3" s="249">
        <v>2110</v>
      </c>
      <c r="B3" s="147" t="s">
        <v>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24.95" customHeight="1">
      <c r="A4" s="169">
        <v>21101</v>
      </c>
      <c r="B4" s="99" t="s">
        <v>9</v>
      </c>
      <c r="C4" s="99">
        <v>1157000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73429200</v>
      </c>
      <c r="L4" s="99">
        <f>73429200+16598400</f>
        <v>90027600</v>
      </c>
      <c r="M4" s="99" t="e">
        <f>#REF!+3600000</f>
        <v>#REF!</v>
      </c>
      <c r="N4" s="99">
        <v>189103200</v>
      </c>
      <c r="O4" s="99">
        <v>229170240</v>
      </c>
      <c r="P4" s="99">
        <v>306521280</v>
      </c>
      <c r="Q4" s="99">
        <f>P4-O4</f>
        <v>77351040</v>
      </c>
    </row>
    <row r="5" spans="1:17" ht="24.95" customHeight="1">
      <c r="A5" s="169">
        <v>21102</v>
      </c>
      <c r="B5" s="99" t="s">
        <v>10</v>
      </c>
      <c r="C5" s="99">
        <v>10800000</v>
      </c>
      <c r="D5" s="99">
        <v>8400000</v>
      </c>
      <c r="E5" s="99">
        <v>8400000</v>
      </c>
      <c r="F5" s="99">
        <v>8400000</v>
      </c>
      <c r="G5" s="99">
        <v>26088000</v>
      </c>
      <c r="H5" s="99">
        <v>26088000</v>
      </c>
      <c r="I5" s="99">
        <v>26088000</v>
      </c>
      <c r="J5" s="99">
        <v>26088000</v>
      </c>
      <c r="K5" s="99">
        <v>0</v>
      </c>
      <c r="L5" s="99">
        <v>0</v>
      </c>
      <c r="M5" s="99">
        <v>0</v>
      </c>
      <c r="N5" s="99">
        <v>54000000</v>
      </c>
      <c r="O5" s="99">
        <v>114000000</v>
      </c>
      <c r="P5" s="99">
        <v>114000000</v>
      </c>
      <c r="Q5" s="99">
        <f t="shared" ref="Q5:Q42" si="0">P5-O5</f>
        <v>0</v>
      </c>
    </row>
    <row r="6" spans="1:17" ht="24.95" customHeight="1">
      <c r="A6" s="169">
        <v>21103</v>
      </c>
      <c r="B6" s="99" t="s">
        <v>429</v>
      </c>
      <c r="C6" s="99"/>
      <c r="D6" s="99"/>
      <c r="E6" s="99"/>
      <c r="F6" s="99"/>
      <c r="G6" s="99"/>
      <c r="H6" s="99"/>
      <c r="I6" s="99"/>
      <c r="J6" s="99">
        <v>0</v>
      </c>
      <c r="K6" s="99">
        <v>26088000</v>
      </c>
      <c r="L6" s="99">
        <f>26088000+2400000</f>
        <v>28488000</v>
      </c>
      <c r="M6" s="99">
        <f>26088000+2400000</f>
        <v>28488000</v>
      </c>
      <c r="N6" s="99">
        <v>57600000</v>
      </c>
      <c r="O6" s="99">
        <v>108000000</v>
      </c>
      <c r="P6" s="99">
        <v>108000000</v>
      </c>
      <c r="Q6" s="99">
        <f t="shared" si="0"/>
        <v>0</v>
      </c>
    </row>
    <row r="7" spans="1:17" ht="24.95" customHeight="1">
      <c r="A7" s="169">
        <v>21105</v>
      </c>
      <c r="B7" s="99" t="s">
        <v>338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>
        <v>36000000</v>
      </c>
      <c r="N7" s="99">
        <f>M7</f>
        <v>36000000</v>
      </c>
      <c r="O7" s="99">
        <f>N7</f>
        <v>36000000</v>
      </c>
      <c r="P7" s="99">
        <f>O7</f>
        <v>36000000</v>
      </c>
      <c r="Q7" s="99">
        <f t="shared" si="0"/>
        <v>0</v>
      </c>
    </row>
    <row r="8" spans="1:17" ht="24.95" customHeight="1">
      <c r="A8" s="249">
        <v>2120</v>
      </c>
      <c r="B8" s="125" t="s">
        <v>5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25">
        <f>SUM(K4:K6)</f>
        <v>99517200</v>
      </c>
      <c r="L8" s="125">
        <f>SUM(L4:L6)</f>
        <v>118515600</v>
      </c>
      <c r="M8" s="125" t="e">
        <f>M7+M6+M5+M4</f>
        <v>#REF!</v>
      </c>
      <c r="N8" s="125">
        <f>SUM(N4:N7)</f>
        <v>336703200</v>
      </c>
      <c r="O8" s="125">
        <f>SUM(O4:O7)</f>
        <v>487170240</v>
      </c>
      <c r="P8" s="125">
        <f>SUM(P4:P7)</f>
        <v>564521280</v>
      </c>
      <c r="Q8" s="125">
        <f t="shared" si="0"/>
        <v>77351040</v>
      </c>
    </row>
    <row r="9" spans="1:17" s="358" customFormat="1" ht="24.95" customHeight="1">
      <c r="A9" s="169">
        <v>220</v>
      </c>
      <c r="B9" s="125" t="s">
        <v>280</v>
      </c>
      <c r="C9" s="125">
        <f t="shared" ref="C9:J9" si="1">SUM(C4:C8)</f>
        <v>11957000</v>
      </c>
      <c r="D9" s="125">
        <f t="shared" si="1"/>
        <v>8400000</v>
      </c>
      <c r="E9" s="125">
        <f t="shared" si="1"/>
        <v>8400000</v>
      </c>
      <c r="F9" s="125">
        <f t="shared" si="1"/>
        <v>8400000</v>
      </c>
      <c r="G9" s="125">
        <f t="shared" si="1"/>
        <v>26088000</v>
      </c>
      <c r="H9" s="125">
        <f t="shared" si="1"/>
        <v>26088000</v>
      </c>
      <c r="I9" s="125">
        <f t="shared" si="1"/>
        <v>26088000</v>
      </c>
      <c r="J9" s="125">
        <f t="shared" si="1"/>
        <v>26088000</v>
      </c>
      <c r="K9" s="125"/>
      <c r="L9" s="125"/>
      <c r="M9" s="125"/>
      <c r="N9" s="125" t="s">
        <v>4</v>
      </c>
      <c r="O9" s="125" t="s">
        <v>4</v>
      </c>
      <c r="P9" s="125" t="s">
        <v>4</v>
      </c>
      <c r="Q9" s="99"/>
    </row>
    <row r="10" spans="1:17" s="358" customFormat="1" ht="24.95" customHeight="1">
      <c r="A10" s="169">
        <v>2210</v>
      </c>
      <c r="B10" s="125" t="s">
        <v>281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99">
        <f t="shared" si="0"/>
        <v>0</v>
      </c>
    </row>
    <row r="11" spans="1:17" ht="24.95" customHeight="1">
      <c r="A11" s="169">
        <v>22101</v>
      </c>
      <c r="B11" s="99" t="s">
        <v>118</v>
      </c>
      <c r="C11" s="99"/>
      <c r="D11" s="99"/>
      <c r="E11" s="99"/>
      <c r="F11" s="99"/>
      <c r="G11" s="99"/>
      <c r="H11" s="99"/>
      <c r="I11" s="99"/>
      <c r="J11" s="99"/>
      <c r="K11" s="99">
        <v>14896000</v>
      </c>
      <c r="L11" s="99">
        <v>14896000</v>
      </c>
      <c r="M11" s="99">
        <f>14896000*70%</f>
        <v>10427200</v>
      </c>
      <c r="N11" s="99">
        <v>0</v>
      </c>
      <c r="O11" s="99">
        <v>0</v>
      </c>
      <c r="P11" s="99">
        <v>0</v>
      </c>
      <c r="Q11" s="99">
        <f t="shared" si="0"/>
        <v>0</v>
      </c>
    </row>
    <row r="12" spans="1:17" ht="24.95" customHeight="1">
      <c r="A12" s="169">
        <v>22102</v>
      </c>
      <c r="B12" s="99" t="s">
        <v>82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 t="shared" si="0"/>
        <v>0</v>
      </c>
    </row>
    <row r="13" spans="1:17" ht="24.95" customHeight="1">
      <c r="A13" s="169">
        <v>22103</v>
      </c>
      <c r="B13" s="99" t="s">
        <v>117</v>
      </c>
      <c r="C13" s="99">
        <v>35246000</v>
      </c>
      <c r="D13" s="99">
        <v>23700000</v>
      </c>
      <c r="E13" s="99">
        <v>23700000</v>
      </c>
      <c r="F13" s="99">
        <v>23700000</v>
      </c>
      <c r="G13" s="99">
        <v>35985600</v>
      </c>
      <c r="H13" s="99">
        <v>44982000</v>
      </c>
      <c r="I13" s="99">
        <v>44982000</v>
      </c>
      <c r="J13" s="99">
        <v>62000000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f t="shared" si="0"/>
        <v>0</v>
      </c>
    </row>
    <row r="14" spans="1:17" ht="24.95" customHeight="1">
      <c r="A14" s="169">
        <v>22104</v>
      </c>
      <c r="B14" s="99" t="s">
        <v>116</v>
      </c>
      <c r="C14" s="99">
        <v>6388200</v>
      </c>
      <c r="D14" s="99">
        <v>4411000</v>
      </c>
      <c r="E14" s="99">
        <v>4411000</v>
      </c>
      <c r="F14" s="99">
        <v>4411000</v>
      </c>
      <c r="G14" s="99">
        <v>14400000</v>
      </c>
      <c r="H14" s="99">
        <v>18000000</v>
      </c>
      <c r="I14" s="99">
        <v>13406400</v>
      </c>
      <c r="J14" s="99">
        <v>13406400</v>
      </c>
      <c r="K14" s="99">
        <v>10427200</v>
      </c>
      <c r="L14" s="99">
        <v>16025200</v>
      </c>
      <c r="M14" s="99">
        <v>11217640</v>
      </c>
      <c r="N14" s="99">
        <v>7000000</v>
      </c>
      <c r="O14" s="99">
        <v>17000000</v>
      </c>
      <c r="P14" s="99">
        <v>17000000</v>
      </c>
      <c r="Q14" s="99">
        <f t="shared" si="0"/>
        <v>0</v>
      </c>
    </row>
    <row r="15" spans="1:17" ht="24.95" customHeight="1">
      <c r="A15" s="169">
        <v>22105</v>
      </c>
      <c r="B15" s="99" t="s">
        <v>120</v>
      </c>
      <c r="C15" s="99">
        <v>0</v>
      </c>
      <c r="D15" s="99">
        <v>4000000</v>
      </c>
      <c r="E15" s="99">
        <v>4000000</v>
      </c>
      <c r="F15" s="99">
        <v>4000000</v>
      </c>
      <c r="G15" s="99">
        <v>5600000</v>
      </c>
      <c r="H15" s="99">
        <v>7000000</v>
      </c>
      <c r="I15" s="99">
        <v>5213600</v>
      </c>
      <c r="J15" s="99">
        <v>5213600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f t="shared" si="0"/>
        <v>0</v>
      </c>
    </row>
    <row r="16" spans="1:17" ht="24.95" customHeight="1">
      <c r="A16" s="169">
        <v>22106</v>
      </c>
      <c r="B16" s="99" t="s">
        <v>84</v>
      </c>
      <c r="C16" s="99"/>
      <c r="D16" s="99"/>
      <c r="E16" s="99"/>
      <c r="F16" s="99"/>
      <c r="G16" s="99"/>
      <c r="H16" s="99"/>
      <c r="I16" s="99"/>
      <c r="J16" s="99"/>
      <c r="K16" s="99">
        <v>18620000</v>
      </c>
      <c r="L16" s="99">
        <v>20620000</v>
      </c>
      <c r="M16" s="99">
        <f>20620000*70%</f>
        <v>14434000</v>
      </c>
      <c r="N16" s="99">
        <v>0</v>
      </c>
      <c r="O16" s="99">
        <v>0</v>
      </c>
      <c r="P16" s="99">
        <v>0</v>
      </c>
      <c r="Q16" s="99">
        <f t="shared" si="0"/>
        <v>0</v>
      </c>
    </row>
    <row r="17" spans="1:17" ht="24.95" customHeight="1">
      <c r="A17" s="169">
        <v>22107</v>
      </c>
      <c r="B17" s="99" t="s">
        <v>115</v>
      </c>
      <c r="C17" s="99">
        <v>0</v>
      </c>
      <c r="D17" s="99">
        <v>0</v>
      </c>
      <c r="E17" s="356">
        <v>0</v>
      </c>
      <c r="F17" s="99">
        <v>0</v>
      </c>
      <c r="G17" s="99">
        <v>0</v>
      </c>
      <c r="H17" s="99">
        <v>0</v>
      </c>
      <c r="I17" s="99">
        <v>0</v>
      </c>
      <c r="J17" s="99">
        <v>7000000</v>
      </c>
      <c r="K17" s="99">
        <v>4468800</v>
      </c>
      <c r="L17" s="99">
        <v>7468800</v>
      </c>
      <c r="M17" s="99">
        <f>L17*70%</f>
        <v>5228160</v>
      </c>
      <c r="N17" s="99">
        <v>0</v>
      </c>
      <c r="O17" s="99">
        <v>0</v>
      </c>
      <c r="P17" s="99">
        <v>0</v>
      </c>
      <c r="Q17" s="99">
        <f t="shared" si="0"/>
        <v>0</v>
      </c>
    </row>
    <row r="18" spans="1:17" s="358" customFormat="1" ht="24.95" customHeight="1">
      <c r="A18" s="169">
        <v>22109</v>
      </c>
      <c r="B18" s="99" t="s">
        <v>114</v>
      </c>
      <c r="C18" s="125">
        <f>SUM(C12:C17)</f>
        <v>41634200</v>
      </c>
      <c r="D18" s="125">
        <f>SUM(D12:D17)</f>
        <v>32111000</v>
      </c>
      <c r="E18" s="125">
        <f>SUM(E12:E15)</f>
        <v>32111000</v>
      </c>
      <c r="F18" s="125">
        <f>SUM(F12:F17)</f>
        <v>32111000</v>
      </c>
      <c r="G18" s="125">
        <f>SUM(G12:G17)</f>
        <v>55985600</v>
      </c>
      <c r="H18" s="125">
        <f>SUM(H12:H17)</f>
        <v>69982000</v>
      </c>
      <c r="I18" s="125">
        <f>SUM(I12:I17)</f>
        <v>63602000</v>
      </c>
      <c r="J18" s="125">
        <f>SUM(J12:J17)</f>
        <v>87620000</v>
      </c>
      <c r="K18" s="99">
        <v>1489600</v>
      </c>
      <c r="L18" s="99">
        <v>1489600</v>
      </c>
      <c r="M18" s="99">
        <v>1489600</v>
      </c>
      <c r="N18" s="99">
        <v>0</v>
      </c>
      <c r="O18" s="99">
        <v>0</v>
      </c>
      <c r="P18" s="99">
        <v>0</v>
      </c>
      <c r="Q18" s="99">
        <f t="shared" si="0"/>
        <v>0</v>
      </c>
    </row>
    <row r="19" spans="1:17" s="358" customFormat="1" ht="24.95" customHeight="1">
      <c r="A19" s="169">
        <v>22112</v>
      </c>
      <c r="B19" s="99" t="s">
        <v>124</v>
      </c>
      <c r="C19" s="125"/>
      <c r="D19" s="125"/>
      <c r="E19" s="125"/>
      <c r="F19" s="125"/>
      <c r="G19" s="125"/>
      <c r="H19" s="125"/>
      <c r="I19" s="125"/>
      <c r="J19" s="125"/>
      <c r="K19" s="99">
        <v>5958400</v>
      </c>
      <c r="L19" s="99">
        <v>7958400</v>
      </c>
      <c r="M19" s="99">
        <f>L19*70%</f>
        <v>5570880</v>
      </c>
      <c r="N19" s="99">
        <v>5000000</v>
      </c>
      <c r="O19" s="99">
        <v>13000000</v>
      </c>
      <c r="P19" s="99">
        <v>13000000</v>
      </c>
      <c r="Q19" s="99">
        <f t="shared" si="0"/>
        <v>0</v>
      </c>
    </row>
    <row r="20" spans="1:17" ht="24.95" customHeight="1">
      <c r="A20" s="169">
        <v>22118</v>
      </c>
      <c r="B20" s="99" t="s">
        <v>123</v>
      </c>
      <c r="C20" s="99"/>
      <c r="D20" s="99"/>
      <c r="E20" s="99"/>
      <c r="F20" s="99"/>
      <c r="G20" s="99"/>
      <c r="H20" s="99"/>
      <c r="I20" s="99"/>
      <c r="J20" s="99"/>
      <c r="K20" s="99">
        <v>44688000</v>
      </c>
      <c r="L20" s="99">
        <v>100000000</v>
      </c>
      <c r="M20" s="99">
        <f>100000000*70%</f>
        <v>70000000</v>
      </c>
      <c r="N20" s="99">
        <v>10000000</v>
      </c>
      <c r="O20" s="99">
        <v>110000000</v>
      </c>
      <c r="P20" s="99">
        <v>110000000</v>
      </c>
      <c r="Q20" s="99">
        <f t="shared" si="0"/>
        <v>0</v>
      </c>
    </row>
    <row r="21" spans="1:17" ht="24.95" customHeight="1">
      <c r="A21" s="169">
        <v>22129</v>
      </c>
      <c r="B21" s="99" t="s">
        <v>121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f t="shared" si="0"/>
        <v>0</v>
      </c>
    </row>
    <row r="22" spans="1:17" ht="24.95" customHeight="1">
      <c r="A22" s="169">
        <v>22137</v>
      </c>
      <c r="B22" s="99" t="s">
        <v>122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f t="shared" si="0"/>
        <v>0</v>
      </c>
    </row>
    <row r="23" spans="1:17" ht="24.95" customHeight="1">
      <c r="A23" s="169">
        <v>22141</v>
      </c>
      <c r="B23" s="99" t="s">
        <v>381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>
        <f t="shared" si="0"/>
        <v>0</v>
      </c>
    </row>
    <row r="24" spans="1:17" ht="24.95" customHeight="1">
      <c r="A24" s="169"/>
      <c r="B24" s="125" t="s">
        <v>5</v>
      </c>
      <c r="C24" s="99"/>
      <c r="D24" s="99"/>
      <c r="E24" s="99"/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125">
        <f>SUM(K11:K22)</f>
        <v>100548000</v>
      </c>
      <c r="L24" s="125">
        <f>SUM(L11:L22)</f>
        <v>168458000</v>
      </c>
      <c r="M24" s="125">
        <f>SUM(M11:M22)</f>
        <v>118367480</v>
      </c>
      <c r="N24" s="125">
        <f>SUM(N11:N23)</f>
        <v>22000000</v>
      </c>
      <c r="O24" s="125">
        <f>SUM(O11:O23)</f>
        <v>140000000</v>
      </c>
      <c r="P24" s="125">
        <f>SUM(P11:P23)</f>
        <v>140000000</v>
      </c>
      <c r="Q24" s="125">
        <f t="shared" si="0"/>
        <v>0</v>
      </c>
    </row>
    <row r="25" spans="1:17" s="358" customFormat="1" ht="24.95" customHeight="1">
      <c r="A25" s="249">
        <v>2220</v>
      </c>
      <c r="B25" s="125" t="s">
        <v>89</v>
      </c>
      <c r="C25" s="125">
        <f>SUM(C21:C22)</f>
        <v>0</v>
      </c>
      <c r="D25" s="125">
        <f>SUM(D21:D22)</f>
        <v>0</v>
      </c>
      <c r="E25" s="125">
        <f>SUM(E21:E22)</f>
        <v>0</v>
      </c>
      <c r="F25" s="125">
        <v>0</v>
      </c>
      <c r="G25" s="125">
        <f>SUM(G21:G24)</f>
        <v>0</v>
      </c>
      <c r="H25" s="125">
        <f>SUM(H21:H24)</f>
        <v>0</v>
      </c>
      <c r="I25" s="125">
        <v>0</v>
      </c>
      <c r="J25" s="125">
        <v>0</v>
      </c>
      <c r="K25" s="125"/>
      <c r="L25" s="125"/>
      <c r="M25" s="125"/>
      <c r="N25" s="125"/>
      <c r="O25" s="125"/>
      <c r="P25" s="125"/>
      <c r="Q25" s="99">
        <f t="shared" si="0"/>
        <v>0</v>
      </c>
    </row>
    <row r="26" spans="1:17" ht="24.95" customHeight="1">
      <c r="A26" s="169">
        <v>22201</v>
      </c>
      <c r="B26" s="99" t="s">
        <v>90</v>
      </c>
      <c r="C26" s="99"/>
      <c r="D26" s="99"/>
      <c r="E26" s="99"/>
      <c r="F26" s="99"/>
      <c r="G26" s="99"/>
      <c r="H26" s="99"/>
      <c r="I26" s="99"/>
      <c r="J26" s="99"/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f t="shared" si="0"/>
        <v>0</v>
      </c>
    </row>
    <row r="27" spans="1:17" ht="24.95" customHeight="1">
      <c r="A27" s="169">
        <v>22202</v>
      </c>
      <c r="B27" s="99" t="s">
        <v>91</v>
      </c>
      <c r="C27" s="99">
        <v>2475000</v>
      </c>
      <c r="D27" s="99">
        <v>4000000</v>
      </c>
      <c r="E27" s="99">
        <v>4000000</v>
      </c>
      <c r="F27" s="99">
        <v>7000000</v>
      </c>
      <c r="G27" s="99">
        <v>12000000</v>
      </c>
      <c r="H27" s="99">
        <v>15000000</v>
      </c>
      <c r="I27" s="99">
        <v>14896000</v>
      </c>
      <c r="J27" s="99">
        <v>38000000</v>
      </c>
      <c r="K27" s="99">
        <v>44982000</v>
      </c>
      <c r="L27" s="99">
        <v>120000000</v>
      </c>
      <c r="M27" s="99">
        <f>L27*70%</f>
        <v>84000000</v>
      </c>
      <c r="N27" s="99">
        <v>70000000</v>
      </c>
      <c r="O27" s="99">
        <v>120000000</v>
      </c>
      <c r="P27" s="99">
        <v>150000000</v>
      </c>
      <c r="Q27" s="99">
        <f t="shared" si="0"/>
        <v>30000000</v>
      </c>
    </row>
    <row r="28" spans="1:17" ht="24.95" customHeight="1">
      <c r="A28" s="169">
        <v>22203</v>
      </c>
      <c r="B28" s="99" t="s">
        <v>85</v>
      </c>
      <c r="C28" s="99">
        <v>990000</v>
      </c>
      <c r="D28" s="99">
        <v>3000000</v>
      </c>
      <c r="E28" s="99">
        <v>3000000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13406400</v>
      </c>
      <c r="L28" s="99">
        <v>13406400</v>
      </c>
      <c r="M28" s="99">
        <f>L28*70%</f>
        <v>9384480</v>
      </c>
      <c r="N28" s="99">
        <f>M28</f>
        <v>9384480</v>
      </c>
      <c r="O28" s="99">
        <f>N28</f>
        <v>9384480</v>
      </c>
      <c r="P28" s="99">
        <f>O28</f>
        <v>9384480</v>
      </c>
      <c r="Q28" s="99">
        <f t="shared" si="0"/>
        <v>0</v>
      </c>
    </row>
    <row r="29" spans="1:17" ht="24.95" customHeight="1">
      <c r="A29" s="169">
        <v>22204</v>
      </c>
      <c r="B29" s="99" t="s">
        <v>86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5213600</v>
      </c>
      <c r="L29" s="99">
        <v>5213600</v>
      </c>
      <c r="M29" s="99">
        <f>5213600*70%</f>
        <v>3649520</v>
      </c>
      <c r="N29" s="99">
        <v>0</v>
      </c>
      <c r="O29" s="99">
        <v>0</v>
      </c>
      <c r="P29" s="99">
        <v>0</v>
      </c>
      <c r="Q29" s="99">
        <f t="shared" si="0"/>
        <v>0</v>
      </c>
    </row>
    <row r="30" spans="1:17" ht="24.95" customHeight="1">
      <c r="A30" s="169">
        <v>22209</v>
      </c>
      <c r="B30" s="99" t="s">
        <v>282</v>
      </c>
      <c r="C30" s="99"/>
      <c r="D30" s="99"/>
      <c r="E30" s="99"/>
      <c r="F30" s="99"/>
      <c r="G30" s="99"/>
      <c r="H30" s="99"/>
      <c r="I30" s="99"/>
      <c r="J30" s="99"/>
      <c r="K30" s="99"/>
      <c r="L30" s="99" t="s">
        <v>283</v>
      </c>
      <c r="M30" s="99" t="s">
        <v>284</v>
      </c>
      <c r="N30" s="99">
        <v>0</v>
      </c>
      <c r="O30" s="99">
        <v>0</v>
      </c>
      <c r="P30" s="99">
        <v>0</v>
      </c>
      <c r="Q30" s="99">
        <f t="shared" si="0"/>
        <v>0</v>
      </c>
    </row>
    <row r="31" spans="1:17" ht="24.95" customHeight="1">
      <c r="A31" s="169"/>
      <c r="B31" s="125" t="s">
        <v>59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125">
        <f>SUM(K26:K29)</f>
        <v>63602000</v>
      </c>
      <c r="L31" s="125">
        <f>SUM(L26:L29)</f>
        <v>138620000</v>
      </c>
      <c r="M31" s="125">
        <f>SUM(M26:M29)</f>
        <v>97034000</v>
      </c>
      <c r="N31" s="125">
        <f>SUM(N26:N30)</f>
        <v>79384480</v>
      </c>
      <c r="O31" s="125">
        <f>SUM(O26:O30)</f>
        <v>129384480</v>
      </c>
      <c r="P31" s="125">
        <f>SUM(P26:P30)</f>
        <v>159384480</v>
      </c>
      <c r="Q31" s="125">
        <f t="shared" si="0"/>
        <v>30000000</v>
      </c>
    </row>
    <row r="32" spans="1:17" ht="24.95" customHeight="1">
      <c r="A32" s="249">
        <v>2230</v>
      </c>
      <c r="B32" s="125" t="s">
        <v>88</v>
      </c>
      <c r="C32" s="99">
        <v>8000000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/>
      <c r="L32" s="99"/>
      <c r="M32" s="99"/>
      <c r="N32" s="99"/>
      <c r="O32" s="99"/>
      <c r="P32" s="99"/>
      <c r="Q32" s="99">
        <f t="shared" ref="Q32:Q35" si="2">P32-O32</f>
        <v>0</v>
      </c>
    </row>
    <row r="33" spans="1:17" ht="24.95" customHeight="1">
      <c r="A33" s="169">
        <v>22301</v>
      </c>
      <c r="B33" s="99" t="s">
        <v>108</v>
      </c>
      <c r="C33" s="99">
        <v>0</v>
      </c>
      <c r="D33" s="99">
        <v>0</v>
      </c>
      <c r="E33" s="99">
        <v>0</v>
      </c>
      <c r="F33" s="99">
        <v>0</v>
      </c>
      <c r="G33" s="99">
        <v>20000000</v>
      </c>
      <c r="H33" s="99">
        <v>25000000</v>
      </c>
      <c r="I33" s="99">
        <v>18620000</v>
      </c>
      <c r="J33" s="99">
        <v>18620000</v>
      </c>
      <c r="K33" s="99">
        <v>14896000</v>
      </c>
      <c r="L33" s="99">
        <v>18526072</v>
      </c>
      <c r="M33" s="99">
        <f>L33*70%</f>
        <v>12968250.399999999</v>
      </c>
      <c r="N33" s="99">
        <v>17968250</v>
      </c>
      <c r="O33" s="99">
        <v>37968250</v>
      </c>
      <c r="P33" s="99">
        <v>37968250</v>
      </c>
      <c r="Q33" s="99">
        <f t="shared" si="2"/>
        <v>0</v>
      </c>
    </row>
    <row r="34" spans="1:17" ht="24.95" customHeight="1">
      <c r="A34" s="169">
        <v>22302</v>
      </c>
      <c r="B34" s="99" t="s">
        <v>111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f t="shared" si="2"/>
        <v>0</v>
      </c>
    </row>
    <row r="35" spans="1:17" ht="24.95" customHeight="1">
      <c r="A35" s="169"/>
      <c r="B35" s="125" t="s">
        <v>5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125">
        <f t="shared" ref="K35:N35" si="3">SUM(K33:K34)</f>
        <v>14896000</v>
      </c>
      <c r="L35" s="125">
        <f t="shared" si="3"/>
        <v>18526072</v>
      </c>
      <c r="M35" s="125">
        <f t="shared" si="3"/>
        <v>12968250.399999999</v>
      </c>
      <c r="N35" s="125">
        <f t="shared" si="3"/>
        <v>17968250</v>
      </c>
      <c r="O35" s="125">
        <f>SUM(O33:O34)</f>
        <v>37968250</v>
      </c>
      <c r="P35" s="125">
        <f>SUM(P33:P34)</f>
        <v>37968250</v>
      </c>
      <c r="Q35" s="125">
        <f t="shared" si="2"/>
        <v>0</v>
      </c>
    </row>
    <row r="36" spans="1:17" ht="24.95" customHeight="1">
      <c r="A36" s="249">
        <v>230</v>
      </c>
      <c r="B36" s="125" t="s">
        <v>285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/>
      <c r="L36" s="99"/>
      <c r="M36" s="99"/>
      <c r="N36" s="99"/>
      <c r="O36" s="99"/>
      <c r="P36" s="99"/>
      <c r="Q36" s="99">
        <f t="shared" si="0"/>
        <v>0</v>
      </c>
    </row>
    <row r="37" spans="1:17" ht="24.95" customHeight="1">
      <c r="A37" s="249">
        <v>2310</v>
      </c>
      <c r="B37" s="125" t="s">
        <v>286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/>
      <c r="L37" s="99"/>
      <c r="M37" s="99"/>
      <c r="N37" s="99"/>
      <c r="O37" s="99"/>
      <c r="P37" s="99"/>
      <c r="Q37" s="99">
        <f t="shared" si="0"/>
        <v>0</v>
      </c>
    </row>
    <row r="38" spans="1:17" s="358" customFormat="1" ht="24.95" customHeight="1">
      <c r="A38" s="169">
        <v>23101</v>
      </c>
      <c r="B38" s="99" t="s">
        <v>104</v>
      </c>
      <c r="C38" s="125">
        <f t="shared" ref="C38:J38" si="4">SUM(C27:C37)</f>
        <v>11465000</v>
      </c>
      <c r="D38" s="125">
        <f t="shared" si="4"/>
        <v>7000000</v>
      </c>
      <c r="E38" s="125">
        <f t="shared" si="4"/>
        <v>7000000</v>
      </c>
      <c r="F38" s="125">
        <f t="shared" si="4"/>
        <v>7000000</v>
      </c>
      <c r="G38" s="125">
        <f t="shared" si="4"/>
        <v>32000000</v>
      </c>
      <c r="H38" s="125">
        <f t="shared" si="4"/>
        <v>40000000</v>
      </c>
      <c r="I38" s="125">
        <f t="shared" si="4"/>
        <v>33516000</v>
      </c>
      <c r="J38" s="125">
        <f t="shared" si="4"/>
        <v>56620000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99">
        <f t="shared" si="0"/>
        <v>0</v>
      </c>
    </row>
    <row r="39" spans="1:17" ht="24.95" customHeight="1">
      <c r="A39" s="169">
        <v>23102</v>
      </c>
      <c r="B39" s="99" t="s">
        <v>105</v>
      </c>
      <c r="C39" s="99"/>
      <c r="D39" s="99"/>
      <c r="E39" s="99"/>
      <c r="F39" s="99"/>
      <c r="G39" s="99"/>
      <c r="H39" s="99"/>
      <c r="I39" s="99"/>
      <c r="J39" s="99"/>
      <c r="K39" s="99">
        <v>0</v>
      </c>
      <c r="L39" s="99">
        <v>0</v>
      </c>
      <c r="M39" s="99">
        <v>0</v>
      </c>
      <c r="N39" s="99">
        <v>0</v>
      </c>
      <c r="O39" s="99">
        <v>42000000</v>
      </c>
      <c r="P39" s="99">
        <v>0</v>
      </c>
      <c r="Q39" s="99">
        <f t="shared" si="0"/>
        <v>-42000000</v>
      </c>
    </row>
    <row r="40" spans="1:17" ht="24.95" customHeight="1">
      <c r="A40" s="169">
        <v>23103</v>
      </c>
      <c r="B40" s="99" t="s">
        <v>106</v>
      </c>
      <c r="C40" s="99">
        <v>9789800</v>
      </c>
      <c r="D40" s="99">
        <v>10000000</v>
      </c>
      <c r="E40" s="99">
        <v>10000000</v>
      </c>
      <c r="F40" s="99">
        <v>10000000</v>
      </c>
      <c r="G40" s="99">
        <v>16000000</v>
      </c>
      <c r="H40" s="99">
        <v>20000000</v>
      </c>
      <c r="I40" s="99">
        <v>14896000</v>
      </c>
      <c r="J40" s="99">
        <v>14896000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f t="shared" si="0"/>
        <v>0</v>
      </c>
    </row>
    <row r="41" spans="1:17" ht="24.95" customHeight="1">
      <c r="A41" s="169">
        <v>23104</v>
      </c>
      <c r="B41" s="99" t="s">
        <v>107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f t="shared" si="0"/>
        <v>0</v>
      </c>
    </row>
    <row r="42" spans="1:17" ht="24.95" customHeight="1">
      <c r="A42" s="249"/>
      <c r="B42" s="125" t="s">
        <v>59</v>
      </c>
      <c r="C42" s="99">
        <v>1650000</v>
      </c>
      <c r="D42" s="99">
        <v>2520200</v>
      </c>
      <c r="E42" s="99">
        <v>2520200</v>
      </c>
      <c r="F42" s="99">
        <f>2520200+2520200</f>
        <v>5040400</v>
      </c>
      <c r="G42" s="99">
        <v>9216000</v>
      </c>
      <c r="H42" s="99">
        <v>11520000</v>
      </c>
      <c r="I42" s="99">
        <v>10427200</v>
      </c>
      <c r="J42" s="99">
        <v>10427200</v>
      </c>
      <c r="K42" s="125">
        <f t="shared" ref="K42:P42" si="5">SUM(K38:K41)</f>
        <v>0</v>
      </c>
      <c r="L42" s="125">
        <f t="shared" si="5"/>
        <v>0</v>
      </c>
      <c r="M42" s="125">
        <f t="shared" si="5"/>
        <v>0</v>
      </c>
      <c r="N42" s="125">
        <f t="shared" si="5"/>
        <v>0</v>
      </c>
      <c r="O42" s="125">
        <f t="shared" si="5"/>
        <v>42000000</v>
      </c>
      <c r="P42" s="125">
        <f t="shared" si="5"/>
        <v>0</v>
      </c>
      <c r="Q42" s="125">
        <f t="shared" si="0"/>
        <v>-42000000</v>
      </c>
    </row>
    <row r="43" spans="1:17" ht="24.95" customHeight="1">
      <c r="A43" s="169"/>
      <c r="B43" s="125" t="s">
        <v>18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1489600</v>
      </c>
      <c r="J43" s="99">
        <v>1489600</v>
      </c>
      <c r="K43" s="125" t="e">
        <f>#REF!+K31+K24+K8</f>
        <v>#REF!</v>
      </c>
      <c r="L43" s="125" t="e">
        <f>#REF!+L31+L24+L8</f>
        <v>#REF!</v>
      </c>
      <c r="M43" s="125" t="e">
        <f>#REF!+M31+M24+M8</f>
        <v>#REF!</v>
      </c>
      <c r="N43" s="125" t="e">
        <f>#REF!+N31+N24+N8+N42</f>
        <v>#REF!</v>
      </c>
      <c r="O43" s="125">
        <f>O42+O35+O31+O24+O8</f>
        <v>836522970</v>
      </c>
      <c r="P43" s="125">
        <f>P42++++P35+P31+P24+P8</f>
        <v>901874010</v>
      </c>
      <c r="Q43" s="125">
        <f>P43-O43</f>
        <v>65351040</v>
      </c>
    </row>
    <row r="44" spans="1:17" ht="24.95" customHeight="1">
      <c r="G44" s="361" t="s">
        <v>4</v>
      </c>
      <c r="H44" s="361"/>
      <c r="I44" s="361"/>
      <c r="J44" s="361"/>
      <c r="K44" s="361"/>
      <c r="L44" s="362"/>
      <c r="M44" s="362"/>
      <c r="N44" s="362"/>
      <c r="O44" s="362"/>
      <c r="P44" s="362"/>
      <c r="Q44" s="362"/>
    </row>
    <row r="45" spans="1:17" ht="24.95" customHeight="1">
      <c r="F45" s="361" t="s">
        <v>4</v>
      </c>
      <c r="G45" s="361"/>
      <c r="H45" s="361"/>
      <c r="I45" s="361"/>
      <c r="J45" s="361"/>
      <c r="K45" s="361"/>
      <c r="L45" s="362"/>
      <c r="M45" s="362"/>
      <c r="N45" s="362"/>
      <c r="O45" s="362"/>
      <c r="P45" s="362"/>
      <c r="Q45" s="362"/>
    </row>
    <row r="46" spans="1:17" ht="24.95" customHeight="1">
      <c r="N46" s="362"/>
      <c r="O46" s="362"/>
      <c r="P46" s="362"/>
      <c r="Q46" s="362"/>
    </row>
    <row r="47" spans="1:17" ht="24.95" customHeight="1">
      <c r="F47" s="304">
        <f>1386274192-71600000-798000-176160000-12600000</f>
        <v>1125116192</v>
      </c>
      <c r="N47" s="362"/>
      <c r="O47" s="362"/>
      <c r="P47" s="362"/>
      <c r="Q47" s="362"/>
    </row>
    <row r="48" spans="1:17" ht="24.95" customHeight="1">
      <c r="N48" s="362"/>
      <c r="O48" s="362"/>
      <c r="P48" s="362"/>
      <c r="Q48" s="362"/>
    </row>
    <row r="49" spans="14:17" ht="24.95" customHeight="1">
      <c r="N49" s="362"/>
      <c r="O49" s="362"/>
      <c r="P49" s="362"/>
      <c r="Q49" s="362"/>
    </row>
    <row r="50" spans="14:17" ht="24.95" customHeight="1">
      <c r="N50" s="362"/>
      <c r="O50" s="362"/>
      <c r="P50" s="362"/>
      <c r="Q50" s="362"/>
    </row>
    <row r="51" spans="14:17" ht="24.95" customHeight="1">
      <c r="N51" s="362"/>
      <c r="O51" s="362"/>
      <c r="P51" s="362"/>
      <c r="Q51" s="362"/>
    </row>
    <row r="52" spans="14:17" ht="24.95" customHeight="1">
      <c r="N52" s="362"/>
      <c r="O52" s="362"/>
      <c r="P52" s="362"/>
      <c r="Q52" s="362"/>
    </row>
    <row r="53" spans="14:17" ht="24.95" customHeight="1">
      <c r="N53" s="362"/>
      <c r="O53" s="362"/>
      <c r="P53" s="362"/>
      <c r="Q53" s="362"/>
    </row>
    <row r="54" spans="14:17" ht="24.95" customHeight="1">
      <c r="N54" s="362"/>
      <c r="O54" s="362"/>
      <c r="P54" s="362"/>
      <c r="Q54" s="362"/>
    </row>
    <row r="55" spans="14:17" ht="24.95" customHeight="1">
      <c r="N55" s="362"/>
      <c r="O55" s="362"/>
      <c r="P55" s="362"/>
      <c r="Q55" s="362"/>
    </row>
    <row r="56" spans="14:17" ht="24.95" customHeight="1">
      <c r="N56" s="362"/>
      <c r="O56" s="362"/>
      <c r="P56" s="362"/>
      <c r="Q56" s="362"/>
    </row>
    <row r="57" spans="14:17" ht="24.95" customHeight="1">
      <c r="N57" s="362"/>
      <c r="O57" s="362"/>
      <c r="P57" s="362"/>
      <c r="Q57" s="362"/>
    </row>
    <row r="58" spans="14:17" ht="24.95" customHeight="1">
      <c r="N58" s="362"/>
      <c r="O58" s="362"/>
      <c r="P58" s="362"/>
      <c r="Q58" s="362"/>
    </row>
    <row r="59" spans="14:17" ht="24.95" customHeight="1">
      <c r="N59" s="362"/>
      <c r="O59" s="362"/>
      <c r="P59" s="362"/>
      <c r="Q59" s="362"/>
    </row>
    <row r="60" spans="14:17" ht="24.95" customHeight="1">
      <c r="N60" s="362"/>
      <c r="O60" s="362"/>
      <c r="P60" s="362"/>
      <c r="Q60" s="362"/>
    </row>
    <row r="61" spans="14:17" ht="24.95" customHeight="1">
      <c r="N61" s="362"/>
      <c r="O61" s="362"/>
      <c r="P61" s="362"/>
      <c r="Q61" s="362"/>
    </row>
    <row r="62" spans="14:17" ht="24.95" customHeight="1">
      <c r="N62" s="362"/>
      <c r="O62" s="362"/>
      <c r="P62" s="362"/>
      <c r="Q62" s="362"/>
    </row>
    <row r="63" spans="14:17" ht="24.95" customHeight="1">
      <c r="N63" s="362"/>
      <c r="O63" s="362"/>
      <c r="P63" s="362"/>
      <c r="Q63" s="362"/>
    </row>
    <row r="64" spans="14:17" ht="24.95" customHeight="1">
      <c r="N64" s="362"/>
      <c r="O64" s="362"/>
      <c r="P64" s="362"/>
      <c r="Q64" s="362"/>
    </row>
    <row r="65" spans="14:17" ht="24.95" customHeight="1">
      <c r="N65" s="362"/>
      <c r="O65" s="362"/>
      <c r="P65" s="362"/>
      <c r="Q65" s="362"/>
    </row>
    <row r="66" spans="14:17" ht="24.95" customHeight="1">
      <c r="N66" s="362"/>
      <c r="O66" s="362"/>
      <c r="P66" s="362"/>
      <c r="Q66" s="362"/>
    </row>
    <row r="67" spans="14:17" ht="24.95" customHeight="1">
      <c r="N67" s="362"/>
      <c r="O67" s="362"/>
      <c r="P67" s="362"/>
      <c r="Q67" s="362"/>
    </row>
    <row r="68" spans="14:17" ht="24.95" customHeight="1">
      <c r="N68" s="362"/>
      <c r="O68" s="362"/>
      <c r="P68" s="362"/>
      <c r="Q68" s="362"/>
    </row>
    <row r="69" spans="14:17" ht="24.95" customHeight="1">
      <c r="N69" s="362"/>
      <c r="O69" s="362"/>
      <c r="P69" s="362"/>
      <c r="Q69" s="362"/>
    </row>
    <row r="70" spans="14:17" ht="24.95" customHeight="1">
      <c r="N70" s="362"/>
      <c r="O70" s="362"/>
      <c r="P70" s="362"/>
      <c r="Q70" s="362"/>
    </row>
    <row r="71" spans="14:17" ht="24.95" customHeight="1">
      <c r="N71" s="362"/>
      <c r="O71" s="362"/>
      <c r="P71" s="362"/>
      <c r="Q71" s="362"/>
    </row>
    <row r="72" spans="14:17" ht="24.95" customHeight="1">
      <c r="N72" s="362"/>
      <c r="O72" s="362"/>
      <c r="P72" s="362"/>
      <c r="Q72" s="362"/>
    </row>
    <row r="73" spans="14:17" ht="24.95" customHeight="1">
      <c r="N73" s="362"/>
      <c r="O73" s="362"/>
      <c r="P73" s="362"/>
      <c r="Q73" s="362"/>
    </row>
    <row r="74" spans="14:17" ht="24.95" customHeight="1">
      <c r="N74" s="362"/>
      <c r="O74" s="362"/>
      <c r="P74" s="362"/>
      <c r="Q74" s="362"/>
    </row>
    <row r="75" spans="14:17" ht="24.95" customHeight="1">
      <c r="N75" s="362"/>
      <c r="O75" s="362"/>
      <c r="P75" s="362"/>
      <c r="Q75" s="362"/>
    </row>
    <row r="76" spans="14:17" ht="24.95" customHeight="1">
      <c r="N76" s="362"/>
      <c r="O76" s="362"/>
      <c r="P76" s="362"/>
      <c r="Q76" s="362"/>
    </row>
    <row r="77" spans="14:17" ht="24.95" customHeight="1">
      <c r="N77" s="362"/>
      <c r="O77" s="362"/>
      <c r="P77" s="362"/>
      <c r="Q77" s="362"/>
    </row>
    <row r="78" spans="14:17" ht="24.95" customHeight="1">
      <c r="N78" s="362"/>
      <c r="O78" s="362"/>
      <c r="P78" s="362"/>
      <c r="Q78" s="362"/>
    </row>
    <row r="79" spans="14:17" ht="24.95" customHeight="1">
      <c r="N79" s="362"/>
      <c r="O79" s="362"/>
      <c r="P79" s="362"/>
      <c r="Q79" s="362"/>
    </row>
    <row r="80" spans="14:17" ht="24.95" customHeight="1">
      <c r="N80" s="362"/>
      <c r="O80" s="362"/>
      <c r="P80" s="362"/>
      <c r="Q80" s="362"/>
    </row>
    <row r="81" spans="14:17" ht="24.95" customHeight="1">
      <c r="N81" s="362"/>
      <c r="O81" s="362"/>
      <c r="P81" s="362"/>
      <c r="Q81" s="362"/>
    </row>
    <row r="82" spans="14:17" ht="24.95" customHeight="1">
      <c r="N82" s="362"/>
      <c r="O82" s="362"/>
      <c r="P82" s="362"/>
      <c r="Q82" s="362"/>
    </row>
    <row r="83" spans="14:17" ht="24.95" customHeight="1">
      <c r="N83" s="362"/>
      <c r="O83" s="362"/>
      <c r="P83" s="362"/>
      <c r="Q83" s="362"/>
    </row>
    <row r="84" spans="14:17" ht="24.95" customHeight="1">
      <c r="N84" s="362"/>
      <c r="O84" s="362"/>
      <c r="P84" s="362"/>
      <c r="Q84" s="362"/>
    </row>
    <row r="85" spans="14:17" ht="24.95" customHeight="1">
      <c r="N85" s="362"/>
      <c r="O85" s="362"/>
      <c r="P85" s="362"/>
      <c r="Q85" s="362"/>
    </row>
    <row r="86" spans="14:17" ht="24.95" customHeight="1">
      <c r="N86" s="362"/>
      <c r="O86" s="362"/>
      <c r="P86" s="362"/>
      <c r="Q86" s="362"/>
    </row>
    <row r="87" spans="14:17" ht="24.95" customHeight="1">
      <c r="N87" s="362"/>
      <c r="O87" s="362"/>
      <c r="P87" s="362"/>
      <c r="Q87" s="362"/>
    </row>
    <row r="88" spans="14:17" ht="24.95" customHeight="1">
      <c r="N88" s="362"/>
      <c r="O88" s="362"/>
      <c r="P88" s="362"/>
      <c r="Q88" s="362"/>
    </row>
    <row r="89" spans="14:17" ht="24.95" customHeight="1">
      <c r="N89" s="362"/>
      <c r="O89" s="362"/>
      <c r="P89" s="362"/>
      <c r="Q89" s="362"/>
    </row>
    <row r="90" spans="14:17" ht="24.95" customHeight="1">
      <c r="N90" s="362"/>
      <c r="O90" s="362"/>
      <c r="P90" s="362"/>
      <c r="Q90" s="362"/>
    </row>
    <row r="91" spans="14:17" ht="24.95" customHeight="1">
      <c r="N91" s="362"/>
      <c r="O91" s="362"/>
      <c r="P91" s="362"/>
      <c r="Q91" s="362"/>
    </row>
    <row r="92" spans="14:17" ht="24.95" customHeight="1">
      <c r="N92" s="362"/>
      <c r="O92" s="362"/>
      <c r="P92" s="362"/>
      <c r="Q92" s="362"/>
    </row>
    <row r="93" spans="14:17" ht="24.95" customHeight="1">
      <c r="N93" s="362"/>
      <c r="O93" s="362"/>
      <c r="P93" s="362"/>
      <c r="Q93" s="362"/>
    </row>
    <row r="94" spans="14:17" ht="24.95" customHeight="1">
      <c r="N94" s="362"/>
      <c r="O94" s="362"/>
      <c r="P94" s="362"/>
      <c r="Q94" s="362"/>
    </row>
    <row r="95" spans="14:17" ht="24.95" customHeight="1">
      <c r="N95" s="362"/>
      <c r="O95" s="362"/>
      <c r="P95" s="362"/>
      <c r="Q95" s="362"/>
    </row>
    <row r="96" spans="14:17" ht="24.95" customHeight="1">
      <c r="N96" s="362"/>
      <c r="O96" s="362"/>
      <c r="P96" s="362"/>
      <c r="Q96" s="362"/>
    </row>
    <row r="97" spans="14:17" ht="24.95" customHeight="1">
      <c r="N97" s="362"/>
      <c r="O97" s="362"/>
      <c r="P97" s="362"/>
      <c r="Q97" s="362"/>
    </row>
    <row r="98" spans="14:17" ht="24.95" customHeight="1">
      <c r="N98" s="362"/>
      <c r="O98" s="362"/>
      <c r="P98" s="362"/>
      <c r="Q98" s="362"/>
    </row>
    <row r="99" spans="14:17" ht="24.95" customHeight="1">
      <c r="N99" s="362"/>
      <c r="O99" s="362"/>
      <c r="P99" s="362"/>
      <c r="Q99" s="362"/>
    </row>
    <row r="100" spans="14:17" ht="24.95" customHeight="1">
      <c r="N100" s="362"/>
      <c r="O100" s="362"/>
      <c r="P100" s="362"/>
      <c r="Q100" s="362"/>
    </row>
    <row r="101" spans="14:17" ht="24.95" customHeight="1">
      <c r="N101" s="362"/>
      <c r="O101" s="362"/>
      <c r="P101" s="362"/>
      <c r="Q101" s="362"/>
    </row>
    <row r="102" spans="14:17" ht="24.95" customHeight="1">
      <c r="N102" s="362"/>
      <c r="O102" s="362"/>
      <c r="P102" s="362"/>
      <c r="Q102" s="362"/>
    </row>
    <row r="103" spans="14:17" ht="24.95" customHeight="1">
      <c r="N103" s="362"/>
      <c r="O103" s="362"/>
      <c r="P103" s="362"/>
      <c r="Q103" s="362"/>
    </row>
    <row r="104" spans="14:17" ht="24.95" customHeight="1">
      <c r="N104" s="362"/>
      <c r="O104" s="362"/>
      <c r="P104" s="362"/>
      <c r="Q104" s="362"/>
    </row>
    <row r="105" spans="14:17" ht="24.95" customHeight="1">
      <c r="N105" s="362"/>
      <c r="O105" s="362"/>
      <c r="P105" s="362"/>
      <c r="Q105" s="362"/>
    </row>
    <row r="106" spans="14:17" ht="24.95" customHeight="1">
      <c r="N106" s="362"/>
      <c r="O106" s="362"/>
      <c r="P106" s="362"/>
      <c r="Q106" s="362"/>
    </row>
    <row r="107" spans="14:17" ht="24.95" customHeight="1">
      <c r="N107" s="362"/>
      <c r="O107" s="362"/>
      <c r="P107" s="362"/>
      <c r="Q107" s="362"/>
    </row>
    <row r="108" spans="14:17" ht="24.95" customHeight="1">
      <c r="N108" s="362"/>
      <c r="O108" s="362"/>
      <c r="P108" s="362"/>
      <c r="Q108" s="362"/>
    </row>
    <row r="109" spans="14:17" ht="24.95" customHeight="1">
      <c r="N109" s="362"/>
      <c r="O109" s="362"/>
      <c r="P109" s="362"/>
      <c r="Q109" s="362"/>
    </row>
    <row r="110" spans="14:17" ht="24.95" customHeight="1">
      <c r="N110" s="362"/>
      <c r="O110" s="362"/>
      <c r="P110" s="362"/>
      <c r="Q110" s="362"/>
    </row>
    <row r="111" spans="14:17" ht="24.95" customHeight="1">
      <c r="N111" s="362"/>
      <c r="O111" s="362"/>
      <c r="P111" s="362"/>
      <c r="Q111" s="362"/>
    </row>
    <row r="112" spans="14:17" ht="24.95" customHeight="1">
      <c r="N112" s="362"/>
      <c r="O112" s="362"/>
      <c r="P112" s="362"/>
      <c r="Q112" s="362"/>
    </row>
    <row r="113" spans="14:17" ht="24.95" customHeight="1">
      <c r="N113" s="362"/>
      <c r="O113" s="362"/>
      <c r="P113" s="362"/>
      <c r="Q113" s="362"/>
    </row>
    <row r="114" spans="14:17" ht="24.95" customHeight="1">
      <c r="N114" s="362"/>
      <c r="O114" s="362"/>
      <c r="P114" s="362"/>
      <c r="Q114" s="362"/>
    </row>
    <row r="115" spans="14:17" ht="24.95" customHeight="1">
      <c r="N115" s="362"/>
      <c r="O115" s="362"/>
      <c r="P115" s="362"/>
      <c r="Q115" s="362"/>
    </row>
    <row r="116" spans="14:17" ht="24.95" customHeight="1">
      <c r="N116" s="362"/>
      <c r="O116" s="362"/>
      <c r="P116" s="362"/>
      <c r="Q116" s="362"/>
    </row>
    <row r="117" spans="14:17" ht="24.95" customHeight="1">
      <c r="N117" s="362"/>
      <c r="O117" s="362"/>
      <c r="P117" s="362"/>
      <c r="Q117" s="362"/>
    </row>
    <row r="118" spans="14:17" ht="24.95" customHeight="1">
      <c r="N118" s="362"/>
      <c r="O118" s="362"/>
      <c r="P118" s="362"/>
      <c r="Q118" s="362"/>
    </row>
    <row r="119" spans="14:17" ht="24.95" customHeight="1">
      <c r="N119" s="362"/>
      <c r="O119" s="362"/>
      <c r="P119" s="362"/>
      <c r="Q119" s="362"/>
    </row>
    <row r="120" spans="14:17" ht="24.95" customHeight="1">
      <c r="N120" s="362"/>
      <c r="O120" s="362"/>
      <c r="P120" s="362"/>
      <c r="Q120" s="362"/>
    </row>
    <row r="121" spans="14:17" ht="24.95" customHeight="1">
      <c r="N121" s="362"/>
      <c r="O121" s="362"/>
      <c r="P121" s="362"/>
      <c r="Q121" s="362"/>
    </row>
    <row r="122" spans="14:17" ht="24.95" customHeight="1">
      <c r="N122" s="362"/>
      <c r="O122" s="362"/>
      <c r="P122" s="362"/>
      <c r="Q122" s="362"/>
    </row>
    <row r="123" spans="14:17" ht="24.95" customHeight="1">
      <c r="N123" s="362"/>
      <c r="O123" s="362"/>
      <c r="P123" s="362"/>
      <c r="Q123" s="362"/>
    </row>
    <row r="124" spans="14:17" ht="24.95" customHeight="1">
      <c r="N124" s="362"/>
      <c r="O124" s="362"/>
      <c r="P124" s="362"/>
      <c r="Q124" s="362"/>
    </row>
    <row r="125" spans="14:17" ht="24.95" customHeight="1">
      <c r="N125" s="362"/>
      <c r="O125" s="362"/>
      <c r="P125" s="362"/>
      <c r="Q125" s="362"/>
    </row>
    <row r="126" spans="14:17" ht="24.95" customHeight="1">
      <c r="N126" s="362"/>
      <c r="O126" s="362"/>
      <c r="P126" s="362"/>
      <c r="Q126" s="362"/>
    </row>
    <row r="127" spans="14:17" ht="24.95" customHeight="1">
      <c r="N127" s="362"/>
      <c r="O127" s="362"/>
      <c r="P127" s="362"/>
      <c r="Q127" s="362"/>
    </row>
    <row r="128" spans="14:17" ht="24.95" customHeight="1">
      <c r="N128" s="362"/>
      <c r="O128" s="362"/>
      <c r="P128" s="362"/>
      <c r="Q128" s="362"/>
    </row>
    <row r="129" spans="14:17" ht="24.95" customHeight="1">
      <c r="N129" s="362"/>
      <c r="O129" s="362"/>
      <c r="P129" s="362"/>
      <c r="Q129" s="362"/>
    </row>
    <row r="130" spans="14:17" ht="24.95" customHeight="1">
      <c r="N130" s="362"/>
      <c r="O130" s="362"/>
      <c r="P130" s="362"/>
      <c r="Q130" s="362"/>
    </row>
    <row r="131" spans="14:17" ht="24.95" customHeight="1">
      <c r="N131" s="362"/>
      <c r="O131" s="362"/>
      <c r="P131" s="362"/>
      <c r="Q131" s="362"/>
    </row>
    <row r="132" spans="14:17" ht="24.95" customHeight="1">
      <c r="N132" s="362"/>
      <c r="O132" s="362"/>
      <c r="P132" s="362"/>
      <c r="Q132" s="362"/>
    </row>
    <row r="133" spans="14:17" ht="24.95" customHeight="1">
      <c r="N133" s="362"/>
      <c r="O133" s="362"/>
      <c r="P133" s="362"/>
      <c r="Q133" s="362"/>
    </row>
    <row r="134" spans="14:17" ht="24.95" customHeight="1">
      <c r="N134" s="362"/>
      <c r="O134" s="362"/>
      <c r="P134" s="362"/>
      <c r="Q134" s="362"/>
    </row>
    <row r="135" spans="14:17" ht="24.95" customHeight="1">
      <c r="N135" s="362"/>
      <c r="O135" s="362"/>
      <c r="P135" s="362"/>
      <c r="Q135" s="362"/>
    </row>
    <row r="136" spans="14:17" ht="24.95" customHeight="1">
      <c r="N136" s="362"/>
      <c r="O136" s="362"/>
      <c r="P136" s="362"/>
      <c r="Q136" s="362"/>
    </row>
    <row r="137" spans="14:17" ht="24.95" customHeight="1">
      <c r="N137" s="362"/>
      <c r="O137" s="362"/>
      <c r="P137" s="362"/>
      <c r="Q137" s="362"/>
    </row>
    <row r="138" spans="14:17" ht="24.95" customHeight="1">
      <c r="N138" s="362"/>
      <c r="O138" s="362"/>
      <c r="P138" s="362"/>
      <c r="Q138" s="362"/>
    </row>
    <row r="139" spans="14:17" ht="24.95" customHeight="1">
      <c r="N139" s="362"/>
      <c r="O139" s="362"/>
      <c r="P139" s="362"/>
      <c r="Q139" s="362"/>
    </row>
    <row r="140" spans="14:17" ht="24.95" customHeight="1">
      <c r="N140" s="362"/>
      <c r="O140" s="362"/>
      <c r="P140" s="362"/>
      <c r="Q140" s="362"/>
    </row>
    <row r="141" spans="14:17" ht="24.95" customHeight="1">
      <c r="N141" s="362"/>
      <c r="O141" s="362"/>
      <c r="P141" s="362"/>
      <c r="Q141" s="362"/>
    </row>
    <row r="142" spans="14:17" ht="24.95" customHeight="1">
      <c r="N142" s="362"/>
      <c r="O142" s="362"/>
      <c r="P142" s="362"/>
      <c r="Q142" s="362"/>
    </row>
    <row r="143" spans="14:17" ht="24.95" customHeight="1">
      <c r="N143" s="362"/>
      <c r="O143" s="362"/>
      <c r="P143" s="362"/>
      <c r="Q143" s="362"/>
    </row>
    <row r="144" spans="14:17" ht="24.95" customHeight="1">
      <c r="N144" s="362"/>
      <c r="O144" s="362"/>
      <c r="P144" s="362"/>
      <c r="Q144" s="362"/>
    </row>
    <row r="145" spans="14:17" ht="24.95" customHeight="1">
      <c r="N145" s="362"/>
      <c r="O145" s="362"/>
      <c r="P145" s="362"/>
      <c r="Q145" s="362"/>
    </row>
    <row r="146" spans="14:17" ht="24.95" customHeight="1">
      <c r="N146" s="362"/>
      <c r="O146" s="362"/>
      <c r="P146" s="362"/>
      <c r="Q146" s="362"/>
    </row>
    <row r="147" spans="14:17" ht="24.95" customHeight="1">
      <c r="N147" s="362"/>
      <c r="O147" s="362"/>
      <c r="P147" s="362"/>
      <c r="Q147" s="362"/>
    </row>
    <row r="148" spans="14:17" ht="24.95" customHeight="1">
      <c r="N148" s="362"/>
      <c r="O148" s="362"/>
      <c r="P148" s="362"/>
      <c r="Q148" s="362"/>
    </row>
    <row r="149" spans="14:17" ht="24.95" customHeight="1">
      <c r="N149" s="362"/>
      <c r="O149" s="362"/>
      <c r="P149" s="362"/>
      <c r="Q149" s="362"/>
    </row>
    <row r="150" spans="14:17" ht="24.95" customHeight="1">
      <c r="N150" s="362"/>
      <c r="O150" s="362"/>
      <c r="P150" s="362"/>
      <c r="Q150" s="362"/>
    </row>
    <row r="151" spans="14:17" ht="24.95" customHeight="1">
      <c r="N151" s="362"/>
      <c r="O151" s="362"/>
      <c r="P151" s="362"/>
      <c r="Q151" s="362"/>
    </row>
    <row r="152" spans="14:17" ht="24.95" customHeight="1">
      <c r="N152" s="362"/>
      <c r="O152" s="362"/>
      <c r="P152" s="362"/>
      <c r="Q152" s="362"/>
    </row>
    <row r="153" spans="14:17" ht="24.95" customHeight="1">
      <c r="N153" s="362"/>
      <c r="O153" s="362"/>
      <c r="P153" s="362"/>
      <c r="Q153" s="362"/>
    </row>
    <row r="154" spans="14:17" ht="24.95" customHeight="1">
      <c r="N154" s="362"/>
      <c r="O154" s="362"/>
      <c r="P154" s="362"/>
      <c r="Q154" s="362"/>
    </row>
    <row r="155" spans="14:17" ht="24.95" customHeight="1">
      <c r="N155" s="362"/>
      <c r="O155" s="362"/>
      <c r="P155" s="362"/>
      <c r="Q155" s="362"/>
    </row>
    <row r="156" spans="14:17" ht="24.95" customHeight="1">
      <c r="N156" s="362"/>
      <c r="O156" s="362"/>
      <c r="P156" s="362"/>
      <c r="Q156" s="362"/>
    </row>
    <row r="157" spans="14:17" ht="24.95" customHeight="1">
      <c r="N157" s="362"/>
      <c r="O157" s="362"/>
      <c r="P157" s="362"/>
      <c r="Q157" s="362"/>
    </row>
    <row r="158" spans="14:17" ht="24.95" customHeight="1">
      <c r="N158" s="362"/>
      <c r="O158" s="362"/>
      <c r="P158" s="362"/>
      <c r="Q158" s="362"/>
    </row>
    <row r="159" spans="14:17" ht="24.95" customHeight="1">
      <c r="N159" s="362"/>
      <c r="O159" s="362"/>
      <c r="P159" s="362"/>
      <c r="Q159" s="362"/>
    </row>
    <row r="160" spans="14:17" ht="24.95" customHeight="1">
      <c r="N160" s="362"/>
      <c r="O160" s="362"/>
      <c r="P160" s="362"/>
      <c r="Q160" s="362"/>
    </row>
    <row r="161" spans="14:17" ht="24.95" customHeight="1">
      <c r="N161" s="362"/>
      <c r="O161" s="362"/>
      <c r="P161" s="362"/>
      <c r="Q161" s="362"/>
    </row>
    <row r="162" spans="14:17" ht="24.95" customHeight="1">
      <c r="N162" s="362"/>
      <c r="O162" s="362"/>
      <c r="P162" s="362"/>
      <c r="Q162" s="362"/>
    </row>
    <row r="163" spans="14:17" ht="24.95" customHeight="1">
      <c r="N163" s="362"/>
      <c r="O163" s="362"/>
      <c r="P163" s="362"/>
      <c r="Q163" s="362"/>
    </row>
    <row r="164" spans="14:17" ht="24.95" customHeight="1">
      <c r="N164" s="362"/>
      <c r="O164" s="362"/>
      <c r="P164" s="362"/>
      <c r="Q164" s="362"/>
    </row>
    <row r="165" spans="14:17" ht="24.95" customHeight="1">
      <c r="N165" s="362"/>
      <c r="O165" s="362"/>
      <c r="P165" s="362"/>
      <c r="Q165" s="362"/>
    </row>
    <row r="166" spans="14:17" ht="24.95" customHeight="1">
      <c r="N166" s="362"/>
      <c r="O166" s="362"/>
      <c r="P166" s="362"/>
      <c r="Q166" s="362"/>
    </row>
    <row r="167" spans="14:17" ht="24.95" customHeight="1">
      <c r="N167" s="362"/>
      <c r="O167" s="362"/>
      <c r="P167" s="362"/>
      <c r="Q167" s="362"/>
    </row>
    <row r="168" spans="14:17" ht="24.95" customHeight="1">
      <c r="N168" s="362"/>
      <c r="O168" s="362"/>
      <c r="P168" s="362"/>
      <c r="Q168" s="362"/>
    </row>
    <row r="169" spans="14:17" ht="24.95" customHeight="1">
      <c r="N169" s="362"/>
      <c r="O169" s="362"/>
      <c r="P169" s="362"/>
      <c r="Q169" s="362"/>
    </row>
    <row r="170" spans="14:17" ht="24.95" customHeight="1">
      <c r="N170" s="362"/>
      <c r="O170" s="362"/>
      <c r="P170" s="362"/>
      <c r="Q170" s="362"/>
    </row>
    <row r="171" spans="14:17" ht="24.95" customHeight="1">
      <c r="N171" s="362"/>
      <c r="O171" s="362"/>
      <c r="P171" s="362"/>
      <c r="Q171" s="362"/>
    </row>
    <row r="172" spans="14:17" ht="24.95" customHeight="1">
      <c r="N172" s="362"/>
      <c r="O172" s="362"/>
      <c r="P172" s="362"/>
      <c r="Q172" s="362"/>
    </row>
    <row r="173" spans="14:17" ht="24.95" customHeight="1">
      <c r="N173" s="362"/>
      <c r="O173" s="362"/>
      <c r="P173" s="362"/>
      <c r="Q173" s="362"/>
    </row>
    <row r="174" spans="14:17" ht="24.95" customHeight="1">
      <c r="N174" s="362"/>
      <c r="O174" s="362"/>
      <c r="P174" s="362"/>
      <c r="Q174" s="362"/>
    </row>
    <row r="175" spans="14:17" ht="24.95" customHeight="1">
      <c r="N175" s="362"/>
      <c r="O175" s="362"/>
      <c r="P175" s="362"/>
      <c r="Q175" s="362"/>
    </row>
    <row r="176" spans="14:17" ht="24.95" customHeight="1">
      <c r="N176" s="362"/>
      <c r="O176" s="362"/>
      <c r="P176" s="362"/>
      <c r="Q176" s="362"/>
    </row>
    <row r="177" spans="14:17" ht="24.95" customHeight="1">
      <c r="N177" s="362"/>
      <c r="O177" s="362"/>
      <c r="P177" s="362"/>
      <c r="Q177" s="362"/>
    </row>
    <row r="178" spans="14:17" ht="24.95" customHeight="1">
      <c r="N178" s="362"/>
      <c r="O178" s="362"/>
      <c r="P178" s="362"/>
      <c r="Q178" s="362"/>
    </row>
    <row r="179" spans="14:17" ht="24.95" customHeight="1">
      <c r="N179" s="362"/>
      <c r="O179" s="362"/>
      <c r="P179" s="362"/>
      <c r="Q179" s="362"/>
    </row>
    <row r="180" spans="14:17" ht="24.95" customHeight="1">
      <c r="N180" s="362"/>
      <c r="O180" s="362"/>
      <c r="P180" s="362"/>
      <c r="Q180" s="362"/>
    </row>
    <row r="181" spans="14:17" ht="24.95" customHeight="1">
      <c r="N181" s="362"/>
      <c r="O181" s="362"/>
      <c r="P181" s="362"/>
      <c r="Q181" s="362"/>
    </row>
    <row r="182" spans="14:17" ht="24.95" customHeight="1">
      <c r="N182" s="362"/>
      <c r="O182" s="362"/>
      <c r="P182" s="362"/>
      <c r="Q182" s="362"/>
    </row>
    <row r="183" spans="14:17" ht="24.95" customHeight="1">
      <c r="N183" s="362"/>
      <c r="O183" s="362"/>
      <c r="P183" s="362"/>
      <c r="Q183" s="362"/>
    </row>
    <row r="184" spans="14:17" ht="24.95" customHeight="1">
      <c r="N184" s="362"/>
      <c r="O184" s="362"/>
      <c r="P184" s="362"/>
      <c r="Q184" s="362"/>
    </row>
    <row r="185" spans="14:17" ht="24.95" customHeight="1">
      <c r="N185" s="362"/>
      <c r="O185" s="362"/>
      <c r="P185" s="362"/>
      <c r="Q185" s="362"/>
    </row>
    <row r="186" spans="14:17" ht="24.95" customHeight="1">
      <c r="N186" s="362"/>
      <c r="O186" s="362"/>
      <c r="P186" s="362"/>
      <c r="Q186" s="362"/>
    </row>
    <row r="187" spans="14:17" ht="24.95" customHeight="1">
      <c r="N187" s="362"/>
      <c r="O187" s="362"/>
      <c r="P187" s="362"/>
      <c r="Q187" s="362"/>
    </row>
    <row r="188" spans="14:17" ht="24.95" customHeight="1">
      <c r="N188" s="362"/>
      <c r="O188" s="362"/>
      <c r="P188" s="362"/>
      <c r="Q188" s="362"/>
    </row>
    <row r="189" spans="14:17" ht="24.95" customHeight="1">
      <c r="N189" s="362"/>
      <c r="O189" s="362"/>
      <c r="P189" s="362"/>
      <c r="Q189" s="362"/>
    </row>
    <row r="190" spans="14:17" ht="24.95" customHeight="1">
      <c r="N190" s="362"/>
      <c r="O190" s="362"/>
      <c r="P190" s="362"/>
      <c r="Q190" s="362"/>
    </row>
    <row r="191" spans="14:17" ht="24.95" customHeight="1">
      <c r="N191" s="362"/>
      <c r="O191" s="362"/>
      <c r="P191" s="362"/>
      <c r="Q191" s="362"/>
    </row>
    <row r="192" spans="14:17" ht="24.95" customHeight="1">
      <c r="N192" s="362"/>
      <c r="O192" s="362"/>
      <c r="P192" s="362"/>
      <c r="Q192" s="362"/>
    </row>
    <row r="193" spans="14:17" ht="24.95" customHeight="1">
      <c r="N193" s="362"/>
      <c r="O193" s="362"/>
      <c r="P193" s="362"/>
      <c r="Q193" s="362"/>
    </row>
    <row r="194" spans="14:17" ht="24.95" customHeight="1">
      <c r="N194" s="362"/>
      <c r="O194" s="362"/>
      <c r="P194" s="362"/>
      <c r="Q194" s="362"/>
    </row>
    <row r="195" spans="14:17" ht="24.95" customHeight="1">
      <c r="N195" s="362"/>
      <c r="O195" s="362"/>
      <c r="P195" s="362"/>
      <c r="Q195" s="362"/>
    </row>
    <row r="196" spans="14:17" ht="24.95" customHeight="1">
      <c r="N196" s="362"/>
      <c r="O196" s="362"/>
      <c r="P196" s="362"/>
      <c r="Q196" s="362"/>
    </row>
    <row r="197" spans="14:17" ht="24.95" customHeight="1">
      <c r="N197" s="362"/>
      <c r="O197" s="362"/>
      <c r="P197" s="362"/>
      <c r="Q197" s="362"/>
    </row>
    <row r="198" spans="14:17" ht="24.95" customHeight="1">
      <c r="N198" s="362"/>
      <c r="O198" s="362"/>
      <c r="P198" s="362"/>
      <c r="Q198" s="362"/>
    </row>
    <row r="199" spans="14:17" ht="24.95" customHeight="1">
      <c r="N199" s="362"/>
      <c r="O199" s="362"/>
      <c r="P199" s="362"/>
      <c r="Q199" s="362"/>
    </row>
    <row r="200" spans="14:17" ht="24.95" customHeight="1">
      <c r="N200" s="362"/>
      <c r="O200" s="362"/>
      <c r="P200" s="362"/>
      <c r="Q200" s="362"/>
    </row>
    <row r="201" spans="14:17" ht="24.95" customHeight="1">
      <c r="N201" s="362"/>
      <c r="O201" s="362"/>
      <c r="P201" s="362"/>
      <c r="Q201" s="362"/>
    </row>
    <row r="202" spans="14:17" ht="24.95" customHeight="1">
      <c r="N202" s="362"/>
      <c r="O202" s="362"/>
      <c r="P202" s="362"/>
      <c r="Q202" s="362"/>
    </row>
    <row r="203" spans="14:17" ht="24.95" customHeight="1">
      <c r="N203" s="362"/>
      <c r="O203" s="362"/>
      <c r="P203" s="362"/>
      <c r="Q203" s="362"/>
    </row>
    <row r="204" spans="14:17" ht="24.95" customHeight="1">
      <c r="N204" s="362"/>
      <c r="O204" s="362"/>
      <c r="P204" s="362"/>
      <c r="Q204" s="362"/>
    </row>
    <row r="205" spans="14:17" ht="24.95" customHeight="1">
      <c r="N205" s="362"/>
      <c r="O205" s="362"/>
      <c r="P205" s="362"/>
      <c r="Q205" s="362"/>
    </row>
    <row r="206" spans="14:17" ht="24.95" customHeight="1">
      <c r="N206" s="362"/>
      <c r="O206" s="362"/>
      <c r="P206" s="362"/>
      <c r="Q206" s="362"/>
    </row>
    <row r="207" spans="14:17" ht="24.95" customHeight="1">
      <c r="N207" s="362"/>
      <c r="O207" s="362"/>
      <c r="P207" s="362"/>
      <c r="Q207" s="362"/>
    </row>
    <row r="208" spans="14:17" ht="24.95" customHeight="1">
      <c r="N208" s="362"/>
      <c r="O208" s="362"/>
      <c r="P208" s="362"/>
      <c r="Q208" s="362"/>
    </row>
    <row r="209" spans="14:17" ht="24.95" customHeight="1">
      <c r="N209" s="362"/>
      <c r="O209" s="362"/>
      <c r="P209" s="362"/>
      <c r="Q209" s="362"/>
    </row>
    <row r="210" spans="14:17" ht="24.95" customHeight="1">
      <c r="N210" s="362"/>
      <c r="O210" s="362"/>
      <c r="P210" s="362"/>
      <c r="Q210" s="362"/>
    </row>
    <row r="211" spans="14:17" ht="24.95" customHeight="1">
      <c r="N211" s="362"/>
      <c r="O211" s="362"/>
      <c r="P211" s="362"/>
      <c r="Q211" s="362"/>
    </row>
    <row r="212" spans="14:17" ht="24.95" customHeight="1">
      <c r="N212" s="362"/>
      <c r="O212" s="362"/>
      <c r="P212" s="362"/>
      <c r="Q212" s="362"/>
    </row>
    <row r="213" spans="14:17" ht="24.95" customHeight="1">
      <c r="N213" s="362"/>
      <c r="O213" s="362"/>
      <c r="P213" s="362"/>
      <c r="Q213" s="362"/>
    </row>
    <row r="214" spans="14:17" ht="24.95" customHeight="1">
      <c r="N214" s="362"/>
      <c r="O214" s="362"/>
      <c r="P214" s="362"/>
      <c r="Q214" s="362"/>
    </row>
    <row r="215" spans="14:17" ht="24.95" customHeight="1">
      <c r="N215" s="362"/>
      <c r="O215" s="362"/>
      <c r="P215" s="362"/>
      <c r="Q215" s="362"/>
    </row>
    <row r="216" spans="14:17" ht="24.95" customHeight="1">
      <c r="N216" s="362"/>
      <c r="O216" s="362"/>
      <c r="P216" s="362"/>
      <c r="Q216" s="362"/>
    </row>
    <row r="217" spans="14:17" ht="24.95" customHeight="1">
      <c r="N217" s="362"/>
      <c r="O217" s="362"/>
      <c r="P217" s="362"/>
      <c r="Q217" s="362"/>
    </row>
    <row r="218" spans="14:17" ht="24.95" customHeight="1">
      <c r="N218" s="362"/>
      <c r="O218" s="362"/>
      <c r="P218" s="362"/>
      <c r="Q218" s="362"/>
    </row>
    <row r="219" spans="14:17" ht="24.95" customHeight="1">
      <c r="N219" s="362"/>
      <c r="O219" s="362"/>
      <c r="P219" s="362"/>
      <c r="Q219" s="362"/>
    </row>
    <row r="220" spans="14:17" ht="24.95" customHeight="1">
      <c r="N220" s="362"/>
      <c r="O220" s="362"/>
      <c r="P220" s="362"/>
      <c r="Q220" s="362"/>
    </row>
    <row r="221" spans="14:17" ht="24.95" customHeight="1">
      <c r="N221" s="362"/>
      <c r="O221" s="362"/>
      <c r="P221" s="362"/>
      <c r="Q221" s="362"/>
    </row>
    <row r="222" spans="14:17" ht="24.95" customHeight="1">
      <c r="N222" s="362"/>
      <c r="O222" s="362"/>
      <c r="P222" s="362"/>
      <c r="Q222" s="362"/>
    </row>
    <row r="223" spans="14:17" ht="24.95" customHeight="1">
      <c r="N223" s="362"/>
      <c r="O223" s="362"/>
      <c r="P223" s="362"/>
      <c r="Q223" s="362"/>
    </row>
    <row r="224" spans="14:17" ht="24.95" customHeight="1">
      <c r="N224" s="362"/>
      <c r="O224" s="362"/>
      <c r="P224" s="362"/>
      <c r="Q224" s="362"/>
    </row>
    <row r="225" spans="14:17" ht="24.95" customHeight="1">
      <c r="N225" s="362"/>
      <c r="O225" s="362"/>
      <c r="P225" s="362"/>
      <c r="Q225" s="362"/>
    </row>
    <row r="226" spans="14:17" ht="24.95" customHeight="1">
      <c r="N226" s="362"/>
      <c r="O226" s="362"/>
      <c r="P226" s="362"/>
      <c r="Q226" s="362"/>
    </row>
    <row r="227" spans="14:17" ht="24.95" customHeight="1">
      <c r="N227" s="362"/>
      <c r="O227" s="362"/>
      <c r="P227" s="362"/>
      <c r="Q227" s="362"/>
    </row>
    <row r="228" spans="14:17" ht="24.95" customHeight="1">
      <c r="N228" s="362"/>
      <c r="O228" s="362"/>
      <c r="P228" s="362"/>
      <c r="Q228" s="362"/>
    </row>
    <row r="229" spans="14:17" ht="24.95" customHeight="1">
      <c r="N229" s="362"/>
      <c r="O229" s="362"/>
      <c r="P229" s="362"/>
      <c r="Q229" s="362"/>
    </row>
    <row r="230" spans="14:17" ht="24.95" customHeight="1">
      <c r="N230" s="362"/>
      <c r="O230" s="362"/>
      <c r="P230" s="362"/>
      <c r="Q230" s="362"/>
    </row>
    <row r="231" spans="14:17" ht="24.95" customHeight="1">
      <c r="N231" s="362"/>
      <c r="O231" s="362"/>
      <c r="P231" s="362"/>
      <c r="Q231" s="362"/>
    </row>
    <row r="232" spans="14:17" ht="24.95" customHeight="1">
      <c r="N232" s="362"/>
      <c r="O232" s="362"/>
      <c r="P232" s="362"/>
      <c r="Q232" s="362"/>
    </row>
    <row r="233" spans="14:17" ht="24.95" customHeight="1">
      <c r="N233" s="362"/>
      <c r="O233" s="362"/>
      <c r="P233" s="362"/>
      <c r="Q233" s="362"/>
    </row>
    <row r="234" spans="14:17" ht="24.95" customHeight="1">
      <c r="N234" s="362"/>
      <c r="O234" s="362"/>
      <c r="P234" s="362"/>
      <c r="Q234" s="362"/>
    </row>
    <row r="235" spans="14:17" ht="24.95" customHeight="1">
      <c r="N235" s="362"/>
      <c r="O235" s="362"/>
      <c r="P235" s="362"/>
      <c r="Q235" s="362"/>
    </row>
    <row r="236" spans="14:17" ht="24.95" customHeight="1">
      <c r="N236" s="362"/>
      <c r="O236" s="362"/>
      <c r="P236" s="362"/>
      <c r="Q236" s="362"/>
    </row>
    <row r="237" spans="14:17" ht="24.95" customHeight="1">
      <c r="N237" s="362"/>
      <c r="O237" s="362"/>
      <c r="P237" s="362"/>
      <c r="Q237" s="362"/>
    </row>
    <row r="238" spans="14:17" ht="24.95" customHeight="1">
      <c r="N238" s="362"/>
      <c r="O238" s="362"/>
      <c r="P238" s="362"/>
      <c r="Q238" s="362"/>
    </row>
    <row r="239" spans="14:17" ht="24.95" customHeight="1">
      <c r="N239" s="362"/>
      <c r="O239" s="362"/>
      <c r="P239" s="362"/>
      <c r="Q239" s="362"/>
    </row>
    <row r="240" spans="14:17" ht="24.95" customHeight="1">
      <c r="N240" s="362"/>
      <c r="O240" s="362"/>
      <c r="P240" s="362"/>
      <c r="Q240" s="362"/>
    </row>
    <row r="241" spans="14:17" ht="24.95" customHeight="1">
      <c r="N241" s="362"/>
      <c r="O241" s="362"/>
      <c r="P241" s="362"/>
      <c r="Q241" s="362"/>
    </row>
    <row r="242" spans="14:17" ht="24.95" customHeight="1">
      <c r="N242" s="362"/>
      <c r="O242" s="362"/>
      <c r="P242" s="362"/>
      <c r="Q242" s="362"/>
    </row>
    <row r="243" spans="14:17" ht="24.95" customHeight="1">
      <c r="N243" s="362"/>
      <c r="O243" s="362"/>
      <c r="P243" s="362"/>
      <c r="Q243" s="362"/>
    </row>
    <row r="244" spans="14:17" ht="24.95" customHeight="1">
      <c r="N244" s="362"/>
      <c r="O244" s="362"/>
      <c r="P244" s="362"/>
      <c r="Q244" s="362"/>
    </row>
    <row r="245" spans="14:17" ht="24.95" customHeight="1">
      <c r="N245" s="362"/>
      <c r="O245" s="362"/>
      <c r="P245" s="362"/>
      <c r="Q245" s="362"/>
    </row>
    <row r="246" spans="14:17" ht="24.95" customHeight="1">
      <c r="N246" s="362"/>
      <c r="O246" s="362"/>
      <c r="P246" s="362"/>
      <c r="Q246" s="362"/>
    </row>
    <row r="247" spans="14:17" ht="24.95" customHeight="1">
      <c r="N247" s="362"/>
      <c r="O247" s="362"/>
      <c r="P247" s="362"/>
      <c r="Q247" s="362"/>
    </row>
    <row r="248" spans="14:17" ht="24.95" customHeight="1">
      <c r="N248" s="362"/>
      <c r="O248" s="362"/>
      <c r="P248" s="362"/>
      <c r="Q248" s="362"/>
    </row>
    <row r="249" spans="14:17" ht="24.95" customHeight="1">
      <c r="N249" s="362"/>
      <c r="O249" s="362"/>
      <c r="P249" s="362"/>
      <c r="Q249" s="362"/>
    </row>
    <row r="250" spans="14:17" ht="24.95" customHeight="1">
      <c r="N250" s="362"/>
      <c r="O250" s="362"/>
      <c r="P250" s="362"/>
      <c r="Q250" s="362"/>
    </row>
    <row r="251" spans="14:17" ht="24.95" customHeight="1">
      <c r="N251" s="362"/>
      <c r="O251" s="362"/>
      <c r="P251" s="362"/>
      <c r="Q251" s="362"/>
    </row>
    <row r="252" spans="14:17" ht="24.95" customHeight="1">
      <c r="N252" s="362"/>
      <c r="O252" s="362"/>
      <c r="P252" s="362"/>
      <c r="Q252" s="362"/>
    </row>
    <row r="253" spans="14:17" ht="24.95" customHeight="1">
      <c r="N253" s="362"/>
      <c r="O253" s="362"/>
      <c r="P253" s="362"/>
      <c r="Q253" s="362"/>
    </row>
    <row r="254" spans="14:17" ht="24.95" customHeight="1">
      <c r="N254" s="362"/>
      <c r="O254" s="362"/>
      <c r="P254" s="362"/>
      <c r="Q254" s="362"/>
    </row>
    <row r="255" spans="14:17" ht="24.95" customHeight="1">
      <c r="N255" s="362"/>
      <c r="O255" s="362"/>
      <c r="P255" s="362"/>
      <c r="Q255" s="362"/>
    </row>
    <row r="256" spans="14:17" ht="24.95" customHeight="1">
      <c r="N256" s="362"/>
      <c r="O256" s="362"/>
      <c r="P256" s="362"/>
      <c r="Q256" s="362"/>
    </row>
    <row r="257" spans="14:17" ht="24.95" customHeight="1">
      <c r="N257" s="362"/>
      <c r="O257" s="362"/>
      <c r="P257" s="362"/>
      <c r="Q257" s="362"/>
    </row>
    <row r="258" spans="14:17" ht="24.95" customHeight="1">
      <c r="N258" s="362"/>
      <c r="O258" s="362"/>
      <c r="P258" s="362"/>
      <c r="Q258" s="362"/>
    </row>
    <row r="259" spans="14:17" ht="24.95" customHeight="1">
      <c r="N259" s="362"/>
      <c r="O259" s="362"/>
      <c r="P259" s="362"/>
      <c r="Q259" s="362"/>
    </row>
    <row r="260" spans="14:17" ht="24.95" customHeight="1">
      <c r="N260" s="362"/>
      <c r="O260" s="362"/>
      <c r="P260" s="362"/>
      <c r="Q260" s="362"/>
    </row>
    <row r="261" spans="14:17" ht="24.95" customHeight="1">
      <c r="N261" s="362"/>
      <c r="O261" s="362"/>
      <c r="P261" s="362"/>
      <c r="Q261" s="362"/>
    </row>
    <row r="262" spans="14:17" ht="24.95" customHeight="1">
      <c r="N262" s="362"/>
      <c r="O262" s="362"/>
      <c r="P262" s="362"/>
      <c r="Q262" s="362"/>
    </row>
    <row r="263" spans="14:17" ht="24.95" customHeight="1">
      <c r="N263" s="362"/>
      <c r="O263" s="362"/>
      <c r="P263" s="362"/>
      <c r="Q263" s="362"/>
    </row>
    <row r="264" spans="14:17" ht="24.95" customHeight="1">
      <c r="N264" s="362"/>
      <c r="O264" s="362"/>
      <c r="P264" s="362"/>
      <c r="Q264" s="362"/>
    </row>
    <row r="265" spans="14:17" ht="24.95" customHeight="1">
      <c r="N265" s="362"/>
      <c r="O265" s="362"/>
      <c r="P265" s="362"/>
      <c r="Q265" s="362"/>
    </row>
    <row r="266" spans="14:17" ht="24.95" customHeight="1">
      <c r="N266" s="362"/>
      <c r="O266" s="362"/>
      <c r="P266" s="362"/>
      <c r="Q266" s="362"/>
    </row>
    <row r="267" spans="14:17" ht="24.95" customHeight="1">
      <c r="N267" s="362"/>
      <c r="O267" s="362"/>
      <c r="P267" s="362"/>
      <c r="Q267" s="362"/>
    </row>
    <row r="268" spans="14:17" ht="24.95" customHeight="1">
      <c r="N268" s="362"/>
      <c r="O268" s="362"/>
      <c r="P268" s="362"/>
      <c r="Q268" s="362"/>
    </row>
    <row r="269" spans="14:17" ht="24.95" customHeight="1">
      <c r="N269" s="362"/>
      <c r="O269" s="362"/>
      <c r="P269" s="362"/>
      <c r="Q269" s="362"/>
    </row>
    <row r="270" spans="14:17" ht="24.95" customHeight="1">
      <c r="N270" s="362"/>
      <c r="O270" s="362"/>
      <c r="P270" s="362"/>
      <c r="Q270" s="362"/>
    </row>
    <row r="271" spans="14:17" ht="24.95" customHeight="1">
      <c r="N271" s="362"/>
      <c r="O271" s="362"/>
      <c r="P271" s="362"/>
      <c r="Q271" s="362"/>
    </row>
    <row r="272" spans="14:17" ht="24.95" customHeight="1">
      <c r="N272" s="362"/>
      <c r="O272" s="362"/>
      <c r="P272" s="362"/>
      <c r="Q272" s="362"/>
    </row>
    <row r="273" spans="14:17" ht="24.95" customHeight="1">
      <c r="N273" s="362"/>
      <c r="O273" s="362"/>
      <c r="P273" s="362"/>
      <c r="Q273" s="362"/>
    </row>
    <row r="274" spans="14:17" ht="24.95" customHeight="1">
      <c r="N274" s="362"/>
      <c r="O274" s="362"/>
      <c r="P274" s="362"/>
      <c r="Q274" s="362"/>
    </row>
    <row r="275" spans="14:17" ht="24.95" customHeight="1">
      <c r="N275" s="362"/>
      <c r="O275" s="362"/>
      <c r="P275" s="362"/>
      <c r="Q275" s="362"/>
    </row>
    <row r="276" spans="14:17" ht="24.95" customHeight="1">
      <c r="N276" s="362"/>
      <c r="O276" s="362"/>
      <c r="P276" s="362"/>
      <c r="Q276" s="362"/>
    </row>
    <row r="277" spans="14:17" ht="24.95" customHeight="1">
      <c r="N277" s="362"/>
      <c r="O277" s="362"/>
      <c r="P277" s="362"/>
      <c r="Q277" s="362"/>
    </row>
    <row r="278" spans="14:17" ht="24.95" customHeight="1">
      <c r="N278" s="362"/>
      <c r="O278" s="362"/>
      <c r="P278" s="362"/>
      <c r="Q278" s="362"/>
    </row>
    <row r="279" spans="14:17" ht="24.95" customHeight="1">
      <c r="N279" s="362"/>
      <c r="O279" s="362"/>
      <c r="P279" s="362"/>
      <c r="Q279" s="362"/>
    </row>
    <row r="280" spans="14:17" ht="24.95" customHeight="1">
      <c r="N280" s="362"/>
      <c r="O280" s="362"/>
      <c r="P280" s="362"/>
      <c r="Q280" s="362"/>
    </row>
    <row r="281" spans="14:17" ht="24.95" customHeight="1">
      <c r="N281" s="362"/>
      <c r="O281" s="362"/>
      <c r="P281" s="362"/>
      <c r="Q281" s="362"/>
    </row>
    <row r="282" spans="14:17" ht="24.95" customHeight="1">
      <c r="N282" s="362"/>
      <c r="O282" s="362"/>
      <c r="P282" s="362"/>
      <c r="Q282" s="362"/>
    </row>
    <row r="283" spans="14:17" ht="24.95" customHeight="1">
      <c r="N283" s="362"/>
      <c r="O283" s="362"/>
      <c r="P283" s="362"/>
      <c r="Q283" s="362"/>
    </row>
    <row r="284" spans="14:17" ht="24.95" customHeight="1">
      <c r="N284" s="362"/>
      <c r="O284" s="362"/>
      <c r="P284" s="362"/>
      <c r="Q284" s="362"/>
    </row>
    <row r="285" spans="14:17" ht="24.95" customHeight="1">
      <c r="N285" s="362"/>
      <c r="O285" s="362"/>
      <c r="P285" s="362"/>
      <c r="Q285" s="362"/>
    </row>
    <row r="286" spans="14:17" ht="24.95" customHeight="1">
      <c r="N286" s="362"/>
      <c r="O286" s="362"/>
      <c r="P286" s="362"/>
      <c r="Q286" s="362"/>
    </row>
    <row r="287" spans="14:17" ht="24.95" customHeight="1">
      <c r="N287" s="362"/>
      <c r="O287" s="362"/>
      <c r="P287" s="362"/>
      <c r="Q287" s="362"/>
    </row>
    <row r="288" spans="14:17" ht="24.95" customHeight="1">
      <c r="N288" s="362"/>
      <c r="O288" s="362"/>
      <c r="P288" s="362"/>
      <c r="Q288" s="362"/>
    </row>
    <row r="289" spans="14:17" ht="24.95" customHeight="1">
      <c r="N289" s="362"/>
      <c r="O289" s="362"/>
      <c r="P289" s="362"/>
      <c r="Q289" s="362"/>
    </row>
    <row r="290" spans="14:17" ht="24.95" customHeight="1">
      <c r="N290" s="362"/>
      <c r="O290" s="362"/>
      <c r="P290" s="362"/>
      <c r="Q290" s="362"/>
    </row>
    <row r="291" spans="14:17" ht="24.95" customHeight="1">
      <c r="N291" s="362"/>
      <c r="O291" s="362"/>
      <c r="P291" s="362"/>
      <c r="Q291" s="362"/>
    </row>
    <row r="292" spans="14:17" ht="24.95" customHeight="1">
      <c r="N292" s="362"/>
      <c r="O292" s="362"/>
      <c r="P292" s="362"/>
      <c r="Q292" s="362"/>
    </row>
    <row r="293" spans="14:17" ht="24.95" customHeight="1">
      <c r="N293" s="362"/>
      <c r="O293" s="362"/>
      <c r="P293" s="362"/>
      <c r="Q293" s="362"/>
    </row>
    <row r="294" spans="14:17" ht="24.95" customHeight="1">
      <c r="N294" s="362"/>
      <c r="O294" s="362"/>
      <c r="P294" s="362"/>
      <c r="Q294" s="362"/>
    </row>
    <row r="295" spans="14:17" ht="24.95" customHeight="1">
      <c r="N295" s="362"/>
      <c r="O295" s="362"/>
      <c r="P295" s="362"/>
      <c r="Q295" s="362"/>
    </row>
    <row r="296" spans="14:17" ht="24.95" customHeight="1">
      <c r="N296" s="362"/>
      <c r="O296" s="362"/>
      <c r="P296" s="362"/>
      <c r="Q296" s="362"/>
    </row>
    <row r="297" spans="14:17" ht="24.95" customHeight="1">
      <c r="N297" s="362"/>
      <c r="O297" s="362"/>
      <c r="P297" s="362"/>
      <c r="Q297" s="362"/>
    </row>
    <row r="298" spans="14:17" ht="24.95" customHeight="1">
      <c r="N298" s="362"/>
      <c r="O298" s="362"/>
      <c r="P298" s="362"/>
      <c r="Q298" s="362"/>
    </row>
    <row r="299" spans="14:17" ht="24.95" customHeight="1">
      <c r="N299" s="362"/>
      <c r="O299" s="362"/>
      <c r="P299" s="362"/>
      <c r="Q299" s="362"/>
    </row>
    <row r="300" spans="14:17" ht="24.95" customHeight="1">
      <c r="N300" s="362"/>
      <c r="O300" s="362"/>
      <c r="P300" s="362"/>
      <c r="Q300" s="362"/>
    </row>
    <row r="301" spans="14:17" ht="24.95" customHeight="1">
      <c r="N301" s="362"/>
      <c r="O301" s="362"/>
      <c r="P301" s="362"/>
      <c r="Q301" s="362"/>
    </row>
    <row r="302" spans="14:17" ht="24.95" customHeight="1">
      <c r="N302" s="362"/>
      <c r="O302" s="362"/>
      <c r="P302" s="362"/>
      <c r="Q302" s="362"/>
    </row>
    <row r="303" spans="14:17" ht="24.95" customHeight="1">
      <c r="N303" s="362"/>
      <c r="O303" s="362"/>
      <c r="P303" s="362"/>
      <c r="Q303" s="362"/>
    </row>
    <row r="304" spans="14:17" ht="24.95" customHeight="1">
      <c r="N304" s="362"/>
      <c r="O304" s="362"/>
      <c r="P304" s="362"/>
      <c r="Q304" s="362"/>
    </row>
    <row r="305" spans="14:17" ht="24.95" customHeight="1">
      <c r="N305" s="362"/>
      <c r="O305" s="362"/>
      <c r="P305" s="362"/>
      <c r="Q305" s="362"/>
    </row>
    <row r="306" spans="14:17" ht="24.95" customHeight="1">
      <c r="N306" s="362"/>
      <c r="O306" s="362"/>
      <c r="P306" s="362"/>
      <c r="Q306" s="362"/>
    </row>
    <row r="307" spans="14:17" ht="24.95" customHeight="1">
      <c r="N307" s="362"/>
      <c r="O307" s="362"/>
      <c r="P307" s="362"/>
      <c r="Q307" s="362"/>
    </row>
    <row r="308" spans="14:17" ht="24.95" customHeight="1">
      <c r="N308" s="362"/>
      <c r="O308" s="362"/>
      <c r="P308" s="362"/>
      <c r="Q308" s="362"/>
    </row>
    <row r="309" spans="14:17" ht="24.95" customHeight="1">
      <c r="N309" s="362"/>
      <c r="O309" s="362"/>
      <c r="P309" s="362"/>
      <c r="Q309" s="362"/>
    </row>
    <row r="310" spans="14:17" ht="24.95" customHeight="1">
      <c r="N310" s="362"/>
      <c r="O310" s="362"/>
      <c r="P310" s="362"/>
      <c r="Q310" s="362"/>
    </row>
    <row r="311" spans="14:17" ht="24.95" customHeight="1">
      <c r="N311" s="362"/>
      <c r="O311" s="362"/>
      <c r="P311" s="362"/>
      <c r="Q311" s="362"/>
    </row>
    <row r="312" spans="14:17" ht="24.95" customHeight="1">
      <c r="N312" s="362"/>
      <c r="O312" s="362"/>
      <c r="P312" s="362"/>
      <c r="Q312" s="362"/>
    </row>
    <row r="313" spans="14:17" ht="24.95" customHeight="1">
      <c r="N313" s="362"/>
      <c r="O313" s="362"/>
      <c r="P313" s="362"/>
      <c r="Q313" s="362"/>
    </row>
    <row r="314" spans="14:17" ht="24.95" customHeight="1">
      <c r="N314" s="362"/>
      <c r="O314" s="362"/>
      <c r="P314" s="362"/>
      <c r="Q314" s="362"/>
    </row>
    <row r="315" spans="14:17" ht="24.95" customHeight="1">
      <c r="N315" s="362"/>
      <c r="O315" s="362"/>
      <c r="P315" s="362"/>
      <c r="Q315" s="362"/>
    </row>
    <row r="316" spans="14:17" ht="24.95" customHeight="1">
      <c r="N316" s="362"/>
      <c r="O316" s="362"/>
      <c r="P316" s="362"/>
      <c r="Q316" s="362"/>
    </row>
    <row r="317" spans="14:17" ht="24.95" customHeight="1">
      <c r="N317" s="362"/>
      <c r="O317" s="362"/>
      <c r="P317" s="362"/>
      <c r="Q317" s="362"/>
    </row>
    <row r="318" spans="14:17" ht="24.95" customHeight="1">
      <c r="N318" s="362"/>
      <c r="O318" s="362"/>
      <c r="P318" s="362"/>
      <c r="Q318" s="362"/>
    </row>
    <row r="319" spans="14:17" ht="24.95" customHeight="1">
      <c r="N319" s="362"/>
      <c r="O319" s="362"/>
      <c r="P319" s="362"/>
      <c r="Q319" s="362"/>
    </row>
    <row r="320" spans="14:17" ht="24.95" customHeight="1">
      <c r="N320" s="362"/>
      <c r="O320" s="362"/>
      <c r="P320" s="362"/>
      <c r="Q320" s="362"/>
    </row>
    <row r="321" spans="14:17" ht="24.95" customHeight="1">
      <c r="N321" s="362"/>
      <c r="O321" s="362"/>
      <c r="P321" s="362"/>
      <c r="Q321" s="362"/>
    </row>
    <row r="322" spans="14:17" ht="24.95" customHeight="1">
      <c r="N322" s="362"/>
      <c r="O322" s="362"/>
      <c r="P322" s="362"/>
      <c r="Q322" s="362"/>
    </row>
    <row r="323" spans="14:17" ht="24.95" customHeight="1">
      <c r="N323" s="362"/>
      <c r="O323" s="362"/>
      <c r="P323" s="362"/>
      <c r="Q323" s="362"/>
    </row>
    <row r="324" spans="14:17" ht="24.95" customHeight="1">
      <c r="N324" s="362"/>
      <c r="O324" s="362"/>
      <c r="P324" s="362"/>
      <c r="Q324" s="362"/>
    </row>
    <row r="325" spans="14:17" ht="24.95" customHeight="1">
      <c r="N325" s="362"/>
      <c r="O325" s="362"/>
      <c r="P325" s="362"/>
      <c r="Q325" s="362"/>
    </row>
    <row r="326" spans="14:17" ht="24.95" customHeight="1">
      <c r="N326" s="362"/>
      <c r="O326" s="362"/>
      <c r="P326" s="362"/>
      <c r="Q326" s="362"/>
    </row>
    <row r="327" spans="14:17" ht="24.95" customHeight="1">
      <c r="N327" s="362"/>
      <c r="O327" s="362"/>
      <c r="P327" s="362"/>
      <c r="Q327" s="362"/>
    </row>
    <row r="328" spans="14:17" ht="24.95" customHeight="1">
      <c r="N328" s="362"/>
      <c r="O328" s="362"/>
      <c r="P328" s="362"/>
      <c r="Q328" s="362"/>
    </row>
    <row r="329" spans="14:17" ht="24.95" customHeight="1">
      <c r="N329" s="362"/>
      <c r="O329" s="362"/>
      <c r="P329" s="362"/>
      <c r="Q329" s="362"/>
    </row>
    <row r="330" spans="14:17" ht="24.95" customHeight="1">
      <c r="N330" s="362"/>
      <c r="O330" s="362"/>
      <c r="P330" s="362"/>
      <c r="Q330" s="362"/>
    </row>
    <row r="331" spans="14:17" ht="24.95" customHeight="1">
      <c r="N331" s="362"/>
      <c r="O331" s="362"/>
      <c r="P331" s="362"/>
      <c r="Q331" s="362"/>
    </row>
    <row r="332" spans="14:17" ht="24.95" customHeight="1">
      <c r="N332" s="362"/>
      <c r="O332" s="362"/>
      <c r="P332" s="362"/>
      <c r="Q332" s="362"/>
    </row>
    <row r="333" spans="14:17" ht="24.95" customHeight="1">
      <c r="N333" s="362"/>
      <c r="O333" s="362"/>
      <c r="P333" s="362"/>
      <c r="Q333" s="362"/>
    </row>
    <row r="334" spans="14:17" ht="24.95" customHeight="1">
      <c r="N334" s="362"/>
      <c r="O334" s="362"/>
      <c r="P334" s="362"/>
      <c r="Q334" s="362"/>
    </row>
    <row r="335" spans="14:17" ht="24.95" customHeight="1">
      <c r="N335" s="362"/>
      <c r="O335" s="362"/>
      <c r="P335" s="362"/>
      <c r="Q335" s="362"/>
    </row>
    <row r="336" spans="14:17" ht="24.95" customHeight="1">
      <c r="N336" s="362"/>
      <c r="O336" s="362"/>
      <c r="P336" s="362"/>
      <c r="Q336" s="362"/>
    </row>
    <row r="337" spans="14:17" ht="24.95" customHeight="1">
      <c r="N337" s="362"/>
      <c r="O337" s="362"/>
      <c r="P337" s="362"/>
      <c r="Q337" s="362"/>
    </row>
    <row r="338" spans="14:17" ht="24.95" customHeight="1">
      <c r="N338" s="362"/>
      <c r="O338" s="362"/>
      <c r="P338" s="362"/>
      <c r="Q338" s="362"/>
    </row>
    <row r="339" spans="14:17" ht="24.95" customHeight="1">
      <c r="N339" s="362"/>
      <c r="O339" s="362"/>
      <c r="P339" s="362"/>
      <c r="Q339" s="362"/>
    </row>
    <row r="340" spans="14:17" ht="24.95" customHeight="1">
      <c r="N340" s="362"/>
      <c r="O340" s="362"/>
      <c r="P340" s="362"/>
      <c r="Q340" s="362"/>
    </row>
    <row r="341" spans="14:17" ht="24.95" customHeight="1">
      <c r="N341" s="362"/>
      <c r="O341" s="362"/>
      <c r="P341" s="362"/>
      <c r="Q341" s="362"/>
    </row>
    <row r="342" spans="14:17" ht="24.95" customHeight="1">
      <c r="N342" s="362"/>
      <c r="O342" s="362"/>
      <c r="P342" s="362"/>
      <c r="Q342" s="362"/>
    </row>
    <row r="343" spans="14:17" ht="24.95" customHeight="1">
      <c r="N343" s="362"/>
      <c r="O343" s="362"/>
      <c r="P343" s="362"/>
      <c r="Q343" s="362"/>
    </row>
    <row r="344" spans="14:17" ht="24.95" customHeight="1">
      <c r="N344" s="362"/>
      <c r="O344" s="362"/>
      <c r="P344" s="362"/>
      <c r="Q344" s="362"/>
    </row>
    <row r="345" spans="14:17" ht="24.95" customHeight="1">
      <c r="N345" s="362"/>
      <c r="O345" s="362"/>
      <c r="P345" s="362"/>
      <c r="Q345" s="362"/>
    </row>
    <row r="346" spans="14:17" ht="24.95" customHeight="1">
      <c r="N346" s="362"/>
      <c r="O346" s="362"/>
      <c r="P346" s="362"/>
      <c r="Q346" s="362"/>
    </row>
    <row r="347" spans="14:17" ht="24.95" customHeight="1">
      <c r="N347" s="362"/>
      <c r="O347" s="362"/>
      <c r="P347" s="362"/>
      <c r="Q347" s="362"/>
    </row>
    <row r="348" spans="14:17" ht="24.95" customHeight="1">
      <c r="N348" s="362"/>
      <c r="O348" s="362"/>
      <c r="P348" s="362"/>
      <c r="Q348" s="362"/>
    </row>
    <row r="349" spans="14:17" ht="24.95" customHeight="1">
      <c r="N349" s="362"/>
      <c r="O349" s="362"/>
      <c r="P349" s="362"/>
      <c r="Q349" s="362"/>
    </row>
    <row r="350" spans="14:17" ht="24.95" customHeight="1">
      <c r="N350" s="362"/>
      <c r="O350" s="362"/>
      <c r="P350" s="362"/>
      <c r="Q350" s="362"/>
    </row>
    <row r="351" spans="14:17" ht="24.95" customHeight="1">
      <c r="N351" s="362"/>
      <c r="O351" s="362"/>
      <c r="P351" s="362"/>
      <c r="Q351" s="362"/>
    </row>
    <row r="352" spans="14:17" ht="24.95" customHeight="1">
      <c r="N352" s="362"/>
      <c r="O352" s="362"/>
      <c r="P352" s="362"/>
      <c r="Q352" s="362"/>
    </row>
    <row r="353" spans="14:17" ht="24.95" customHeight="1">
      <c r="N353" s="362"/>
      <c r="O353" s="362"/>
      <c r="P353" s="362"/>
      <c r="Q353" s="362"/>
    </row>
    <row r="354" spans="14:17" ht="24.95" customHeight="1">
      <c r="N354" s="362"/>
      <c r="O354" s="362"/>
      <c r="P354" s="362"/>
      <c r="Q354" s="362"/>
    </row>
    <row r="355" spans="14:17" ht="24.95" customHeight="1">
      <c r="N355" s="362"/>
      <c r="O355" s="362"/>
      <c r="P355" s="362"/>
      <c r="Q355" s="362"/>
    </row>
    <row r="356" spans="14:17" ht="24.95" customHeight="1">
      <c r="N356" s="362"/>
      <c r="O356" s="362"/>
      <c r="P356" s="362"/>
      <c r="Q356" s="362"/>
    </row>
    <row r="357" spans="14:17" ht="24.95" customHeight="1">
      <c r="N357" s="362"/>
      <c r="O357" s="362"/>
      <c r="P357" s="362"/>
      <c r="Q357" s="362"/>
    </row>
    <row r="358" spans="14:17" ht="24.95" customHeight="1">
      <c r="N358" s="362"/>
      <c r="O358" s="362"/>
      <c r="P358" s="362"/>
      <c r="Q358" s="362"/>
    </row>
    <row r="359" spans="14:17" ht="24.95" customHeight="1">
      <c r="N359" s="362"/>
      <c r="O359" s="362"/>
      <c r="P359" s="362"/>
      <c r="Q359" s="362"/>
    </row>
    <row r="360" spans="14:17" ht="24.95" customHeight="1">
      <c r="N360" s="362"/>
      <c r="O360" s="362"/>
      <c r="P360" s="362"/>
      <c r="Q360" s="362"/>
    </row>
    <row r="361" spans="14:17" ht="24.95" customHeight="1">
      <c r="N361" s="362"/>
      <c r="O361" s="362"/>
      <c r="P361" s="362"/>
      <c r="Q361" s="362"/>
    </row>
    <row r="362" spans="14:17" ht="24.95" customHeight="1">
      <c r="N362" s="362"/>
      <c r="O362" s="362"/>
      <c r="P362" s="362"/>
      <c r="Q362" s="362"/>
    </row>
    <row r="363" spans="14:17" ht="24.95" customHeight="1">
      <c r="N363" s="362"/>
      <c r="O363" s="362"/>
      <c r="P363" s="362"/>
      <c r="Q363" s="362"/>
    </row>
    <row r="364" spans="14:17" ht="24.95" customHeight="1">
      <c r="N364" s="362"/>
      <c r="O364" s="362"/>
      <c r="P364" s="362"/>
      <c r="Q364" s="362"/>
    </row>
    <row r="365" spans="14:17" ht="24.95" customHeight="1">
      <c r="N365" s="362"/>
      <c r="O365" s="362"/>
      <c r="P365" s="362"/>
      <c r="Q365" s="362"/>
    </row>
    <row r="366" spans="14:17" ht="24.95" customHeight="1">
      <c r="N366" s="362"/>
      <c r="O366" s="362"/>
      <c r="P366" s="362"/>
      <c r="Q366" s="362"/>
    </row>
    <row r="367" spans="14:17" ht="24.95" customHeight="1">
      <c r="N367" s="362"/>
      <c r="O367" s="362"/>
      <c r="P367" s="362"/>
      <c r="Q367" s="362"/>
    </row>
    <row r="368" spans="14:17" ht="24.95" customHeight="1">
      <c r="N368" s="362"/>
      <c r="O368" s="362"/>
      <c r="P368" s="362"/>
      <c r="Q368" s="362"/>
    </row>
    <row r="369" spans="14:17" ht="24.95" customHeight="1">
      <c r="N369" s="362"/>
      <c r="O369" s="362"/>
      <c r="P369" s="362"/>
      <c r="Q369" s="362"/>
    </row>
    <row r="370" spans="14:17" ht="24.95" customHeight="1">
      <c r="N370" s="362"/>
      <c r="O370" s="362"/>
      <c r="P370" s="362"/>
      <c r="Q370" s="362"/>
    </row>
    <row r="371" spans="14:17" ht="24.95" customHeight="1">
      <c r="N371" s="362"/>
      <c r="O371" s="362"/>
      <c r="P371" s="362"/>
      <c r="Q371" s="362"/>
    </row>
    <row r="372" spans="14:17" ht="24.95" customHeight="1">
      <c r="N372" s="362"/>
      <c r="O372" s="362"/>
      <c r="P372" s="362"/>
      <c r="Q372" s="362"/>
    </row>
    <row r="373" spans="14:17" ht="24.95" customHeight="1">
      <c r="N373" s="362"/>
      <c r="O373" s="362"/>
      <c r="P373" s="362"/>
      <c r="Q373" s="362"/>
    </row>
    <row r="374" spans="14:17" ht="24.95" customHeight="1">
      <c r="N374" s="362"/>
      <c r="O374" s="362"/>
      <c r="P374" s="362"/>
      <c r="Q374" s="362"/>
    </row>
    <row r="375" spans="14:17" ht="24.95" customHeight="1">
      <c r="N375" s="362"/>
      <c r="O375" s="362"/>
      <c r="P375" s="362"/>
      <c r="Q375" s="362"/>
    </row>
    <row r="376" spans="14:17" ht="24.95" customHeight="1">
      <c r="N376" s="362"/>
      <c r="O376" s="362"/>
      <c r="P376" s="362"/>
      <c r="Q376" s="362"/>
    </row>
    <row r="377" spans="14:17" ht="24.95" customHeight="1">
      <c r="N377" s="362"/>
      <c r="O377" s="362"/>
      <c r="P377" s="362"/>
      <c r="Q377" s="362"/>
    </row>
    <row r="378" spans="14:17" ht="24.95" customHeight="1">
      <c r="N378" s="362"/>
      <c r="O378" s="362"/>
      <c r="P378" s="362"/>
      <c r="Q378" s="362"/>
    </row>
    <row r="379" spans="14:17" ht="24.95" customHeight="1">
      <c r="N379" s="362"/>
      <c r="O379" s="362"/>
      <c r="P379" s="362"/>
      <c r="Q379" s="362"/>
    </row>
    <row r="380" spans="14:17" ht="24.95" customHeight="1">
      <c r="N380" s="362"/>
      <c r="O380" s="362"/>
      <c r="P380" s="362"/>
      <c r="Q380" s="362"/>
    </row>
    <row r="381" spans="14:17" ht="24.95" customHeight="1">
      <c r="N381" s="362"/>
      <c r="O381" s="362"/>
      <c r="P381" s="362"/>
      <c r="Q381" s="362"/>
    </row>
    <row r="382" spans="14:17" ht="24.95" customHeight="1">
      <c r="N382" s="362"/>
      <c r="O382" s="362"/>
      <c r="P382" s="362"/>
      <c r="Q382" s="362"/>
    </row>
    <row r="383" spans="14:17" ht="24.95" customHeight="1">
      <c r="N383" s="362"/>
      <c r="O383" s="362"/>
      <c r="P383" s="362"/>
      <c r="Q383" s="362"/>
    </row>
    <row r="384" spans="14:17" ht="24.95" customHeight="1">
      <c r="N384" s="362"/>
      <c r="O384" s="362"/>
      <c r="P384" s="362"/>
      <c r="Q384" s="362"/>
    </row>
    <row r="385" spans="14:17" ht="24.95" customHeight="1">
      <c r="N385" s="362"/>
      <c r="O385" s="362"/>
      <c r="P385" s="362"/>
      <c r="Q385" s="362"/>
    </row>
    <row r="386" spans="14:17" ht="24.95" customHeight="1">
      <c r="N386" s="362"/>
      <c r="O386" s="362"/>
      <c r="P386" s="362"/>
      <c r="Q386" s="362"/>
    </row>
    <row r="387" spans="14:17" ht="24.95" customHeight="1">
      <c r="N387" s="362"/>
      <c r="O387" s="362"/>
      <c r="P387" s="362"/>
      <c r="Q387" s="362"/>
    </row>
    <row r="388" spans="14:17" ht="24.95" customHeight="1">
      <c r="N388" s="362"/>
      <c r="O388" s="362"/>
      <c r="P388" s="362"/>
      <c r="Q388" s="362"/>
    </row>
    <row r="389" spans="14:17" ht="24.95" customHeight="1">
      <c r="N389" s="362"/>
      <c r="O389" s="362"/>
      <c r="P389" s="362"/>
      <c r="Q389" s="362"/>
    </row>
    <row r="390" spans="14:17" ht="24.95" customHeight="1">
      <c r="N390" s="362"/>
      <c r="O390" s="362"/>
      <c r="P390" s="362"/>
      <c r="Q390" s="362"/>
    </row>
    <row r="391" spans="14:17" ht="24.95" customHeight="1">
      <c r="N391" s="362"/>
      <c r="O391" s="362"/>
      <c r="P391" s="362"/>
      <c r="Q391" s="362"/>
    </row>
    <row r="392" spans="14:17" ht="24.95" customHeight="1">
      <c r="N392" s="362"/>
      <c r="O392" s="362"/>
      <c r="P392" s="362"/>
      <c r="Q392" s="362"/>
    </row>
    <row r="393" spans="14:17" ht="24.95" customHeight="1">
      <c r="N393" s="362"/>
      <c r="O393" s="362"/>
      <c r="P393" s="362"/>
      <c r="Q393" s="362"/>
    </row>
    <row r="394" spans="14:17" ht="24.95" customHeight="1">
      <c r="N394" s="362"/>
      <c r="O394" s="362"/>
      <c r="P394" s="362"/>
      <c r="Q394" s="362"/>
    </row>
    <row r="395" spans="14:17" ht="24.95" customHeight="1">
      <c r="N395" s="362"/>
      <c r="O395" s="362"/>
      <c r="P395" s="362"/>
      <c r="Q395" s="362"/>
    </row>
    <row r="396" spans="14:17" ht="24.95" customHeight="1">
      <c r="N396" s="362"/>
      <c r="O396" s="362"/>
      <c r="P396" s="362"/>
      <c r="Q396" s="362"/>
    </row>
    <row r="397" spans="14:17" ht="24.95" customHeight="1">
      <c r="N397" s="362"/>
      <c r="O397" s="362"/>
      <c r="P397" s="362"/>
      <c r="Q397" s="362"/>
    </row>
    <row r="398" spans="14:17" ht="24.95" customHeight="1">
      <c r="N398" s="362"/>
      <c r="O398" s="362"/>
      <c r="P398" s="362"/>
      <c r="Q398" s="362"/>
    </row>
    <row r="399" spans="14:17" ht="24.95" customHeight="1">
      <c r="N399" s="362"/>
      <c r="O399" s="362"/>
      <c r="P399" s="362"/>
      <c r="Q399" s="362"/>
    </row>
    <row r="400" spans="14:17" ht="24.95" customHeight="1">
      <c r="N400" s="362"/>
      <c r="O400" s="362"/>
      <c r="P400" s="362"/>
      <c r="Q400" s="362"/>
    </row>
    <row r="401" spans="14:17" ht="24.95" customHeight="1">
      <c r="N401" s="362"/>
      <c r="O401" s="362"/>
      <c r="P401" s="362"/>
      <c r="Q401" s="362"/>
    </row>
    <row r="402" spans="14:17" ht="24.95" customHeight="1">
      <c r="N402" s="362"/>
      <c r="O402" s="362"/>
      <c r="P402" s="362"/>
      <c r="Q402" s="362"/>
    </row>
    <row r="403" spans="14:17" ht="24.95" customHeight="1">
      <c r="N403" s="362"/>
      <c r="O403" s="362"/>
      <c r="P403" s="362"/>
      <c r="Q403" s="362"/>
    </row>
    <row r="404" spans="14:17" ht="24.95" customHeight="1">
      <c r="N404" s="362"/>
      <c r="O404" s="362"/>
      <c r="P404" s="362"/>
      <c r="Q404" s="362"/>
    </row>
    <row r="405" spans="14:17" ht="24.95" customHeight="1">
      <c r="N405" s="362"/>
      <c r="O405" s="362"/>
      <c r="P405" s="362"/>
      <c r="Q405" s="362"/>
    </row>
    <row r="406" spans="14:17" ht="24.95" customHeight="1">
      <c r="N406" s="362"/>
      <c r="O406" s="362"/>
      <c r="P406" s="362"/>
      <c r="Q406" s="362"/>
    </row>
    <row r="407" spans="14:17" ht="24.95" customHeight="1">
      <c r="N407" s="362"/>
      <c r="O407" s="362"/>
      <c r="P407" s="362"/>
      <c r="Q407" s="362"/>
    </row>
    <row r="408" spans="14:17" ht="24.95" customHeight="1">
      <c r="N408" s="362"/>
      <c r="O408" s="362"/>
      <c r="P408" s="362"/>
      <c r="Q408" s="362"/>
    </row>
    <row r="409" spans="14:17" ht="24.95" customHeight="1">
      <c r="N409" s="362"/>
      <c r="O409" s="362"/>
      <c r="P409" s="362"/>
      <c r="Q409" s="362"/>
    </row>
    <row r="410" spans="14:17" ht="24.95" customHeight="1">
      <c r="N410" s="362"/>
      <c r="O410" s="362"/>
      <c r="P410" s="362"/>
      <c r="Q410" s="362"/>
    </row>
    <row r="411" spans="14:17" ht="24.95" customHeight="1">
      <c r="N411" s="362"/>
      <c r="O411" s="362"/>
      <c r="P411" s="362"/>
      <c r="Q411" s="362"/>
    </row>
    <row r="412" spans="14:17" ht="24.95" customHeight="1">
      <c r="N412" s="362"/>
      <c r="O412" s="362"/>
      <c r="P412" s="362"/>
      <c r="Q412" s="362"/>
    </row>
    <row r="413" spans="14:17" ht="24.95" customHeight="1">
      <c r="N413" s="362"/>
      <c r="O413" s="362"/>
      <c r="P413" s="362"/>
      <c r="Q413" s="362"/>
    </row>
    <row r="414" spans="14:17" ht="24.95" customHeight="1">
      <c r="N414" s="362"/>
      <c r="O414" s="362"/>
      <c r="P414" s="362"/>
      <c r="Q414" s="362"/>
    </row>
    <row r="415" spans="14:17" ht="24.95" customHeight="1">
      <c r="N415" s="362"/>
      <c r="O415" s="362"/>
      <c r="P415" s="362"/>
      <c r="Q415" s="362"/>
    </row>
    <row r="416" spans="14:17" ht="24.95" customHeight="1">
      <c r="N416" s="362"/>
      <c r="O416" s="362"/>
      <c r="P416" s="362"/>
      <c r="Q416" s="362"/>
    </row>
    <row r="417" spans="14:17" ht="24.95" customHeight="1">
      <c r="N417" s="362"/>
      <c r="O417" s="362"/>
      <c r="P417" s="362"/>
      <c r="Q417" s="362"/>
    </row>
    <row r="418" spans="14:17" ht="24.95" customHeight="1">
      <c r="N418" s="362"/>
      <c r="O418" s="362"/>
      <c r="P418" s="362"/>
      <c r="Q418" s="362"/>
    </row>
    <row r="419" spans="14:17" ht="24.95" customHeight="1">
      <c r="N419" s="362"/>
      <c r="O419" s="362"/>
      <c r="P419" s="362"/>
      <c r="Q419" s="362"/>
    </row>
    <row r="420" spans="14:17" ht="24.95" customHeight="1">
      <c r="N420" s="362"/>
      <c r="O420" s="362"/>
      <c r="P420" s="362"/>
      <c r="Q420" s="362"/>
    </row>
    <row r="421" spans="14:17" ht="24.95" customHeight="1">
      <c r="N421" s="362"/>
      <c r="O421" s="362"/>
      <c r="P421" s="362"/>
      <c r="Q421" s="362"/>
    </row>
    <row r="422" spans="14:17" ht="24.95" customHeight="1">
      <c r="N422" s="362"/>
      <c r="O422" s="362"/>
      <c r="P422" s="362"/>
      <c r="Q422" s="362"/>
    </row>
    <row r="423" spans="14:17" ht="24.95" customHeight="1">
      <c r="N423" s="362"/>
      <c r="O423" s="362"/>
      <c r="P423" s="362"/>
      <c r="Q423" s="362"/>
    </row>
    <row r="424" spans="14:17" ht="24.95" customHeight="1">
      <c r="N424" s="362"/>
      <c r="O424" s="362"/>
      <c r="P424" s="362"/>
      <c r="Q424" s="362"/>
    </row>
    <row r="425" spans="14:17" ht="24.95" customHeight="1">
      <c r="N425" s="362"/>
      <c r="O425" s="362"/>
      <c r="P425" s="362"/>
      <c r="Q425" s="362"/>
    </row>
    <row r="426" spans="14:17" ht="24.95" customHeight="1">
      <c r="N426" s="362"/>
      <c r="O426" s="362"/>
      <c r="P426" s="362"/>
      <c r="Q426" s="362"/>
    </row>
    <row r="427" spans="14:17" ht="24.95" customHeight="1">
      <c r="N427" s="362"/>
      <c r="O427" s="362"/>
      <c r="P427" s="362"/>
      <c r="Q427" s="362"/>
    </row>
    <row r="428" spans="14:17" ht="24.95" customHeight="1">
      <c r="N428" s="362"/>
      <c r="O428" s="362"/>
      <c r="P428" s="362"/>
      <c r="Q428" s="362"/>
    </row>
    <row r="429" spans="14:17" ht="24.95" customHeight="1">
      <c r="N429" s="362"/>
      <c r="O429" s="362"/>
      <c r="P429" s="362"/>
      <c r="Q429" s="362"/>
    </row>
    <row r="430" spans="14:17" ht="24.95" customHeight="1">
      <c r="N430" s="362"/>
      <c r="O430" s="362"/>
      <c r="P430" s="362"/>
      <c r="Q430" s="362"/>
    </row>
    <row r="431" spans="14:17" ht="24.95" customHeight="1">
      <c r="N431" s="362"/>
      <c r="O431" s="362"/>
      <c r="P431" s="362"/>
      <c r="Q431" s="362"/>
    </row>
    <row r="432" spans="14:17" ht="24.95" customHeight="1">
      <c r="N432" s="362"/>
      <c r="O432" s="362"/>
      <c r="P432" s="362"/>
      <c r="Q432" s="362"/>
    </row>
    <row r="433" spans="14:17" ht="24.95" customHeight="1">
      <c r="N433" s="362"/>
      <c r="O433" s="362"/>
      <c r="P433" s="362"/>
      <c r="Q433" s="362"/>
    </row>
    <row r="434" spans="14:17" ht="24.95" customHeight="1">
      <c r="N434" s="362"/>
      <c r="O434" s="362"/>
      <c r="P434" s="362"/>
      <c r="Q434" s="362"/>
    </row>
    <row r="435" spans="14:17" ht="24.95" customHeight="1">
      <c r="N435" s="362"/>
      <c r="O435" s="362"/>
      <c r="P435" s="362"/>
      <c r="Q435" s="362"/>
    </row>
    <row r="436" spans="14:17" ht="24.95" customHeight="1">
      <c r="N436" s="362"/>
      <c r="O436" s="362"/>
      <c r="P436" s="362"/>
      <c r="Q436" s="362"/>
    </row>
    <row r="437" spans="14:17" ht="24.95" customHeight="1">
      <c r="N437" s="362"/>
      <c r="O437" s="362"/>
      <c r="P437" s="362"/>
      <c r="Q437" s="362"/>
    </row>
    <row r="438" spans="14:17" ht="24.95" customHeight="1">
      <c r="N438" s="362"/>
      <c r="O438" s="362"/>
      <c r="P438" s="362"/>
      <c r="Q438" s="362"/>
    </row>
    <row r="439" spans="14:17" ht="24.95" customHeight="1">
      <c r="N439" s="362"/>
      <c r="O439" s="362"/>
      <c r="P439" s="362"/>
      <c r="Q439" s="362"/>
    </row>
    <row r="440" spans="14:17" ht="24.95" customHeight="1">
      <c r="N440" s="362"/>
      <c r="O440" s="362"/>
      <c r="P440" s="362"/>
      <c r="Q440" s="362"/>
    </row>
    <row r="441" spans="14:17" ht="24.95" customHeight="1">
      <c r="N441" s="362"/>
      <c r="O441" s="362"/>
      <c r="P441" s="362"/>
      <c r="Q441" s="362"/>
    </row>
    <row r="442" spans="14:17" ht="24.95" customHeight="1">
      <c r="N442" s="362"/>
      <c r="O442" s="362"/>
      <c r="P442" s="362"/>
      <c r="Q442" s="362"/>
    </row>
    <row r="443" spans="14:17" ht="24.95" customHeight="1">
      <c r="N443" s="362"/>
      <c r="O443" s="362"/>
      <c r="P443" s="362"/>
      <c r="Q443" s="362"/>
    </row>
    <row r="444" spans="14:17" ht="24.95" customHeight="1">
      <c r="N444" s="362"/>
      <c r="O444" s="362"/>
      <c r="P444" s="362"/>
      <c r="Q444" s="362"/>
    </row>
    <row r="445" spans="14:17" ht="24.95" customHeight="1">
      <c r="N445" s="362"/>
      <c r="O445" s="362"/>
      <c r="P445" s="362"/>
      <c r="Q445" s="362"/>
    </row>
    <row r="446" spans="14:17" ht="24.95" customHeight="1">
      <c r="N446" s="362"/>
      <c r="O446" s="362"/>
      <c r="P446" s="362"/>
      <c r="Q446" s="362"/>
    </row>
    <row r="447" spans="14:17" ht="24.95" customHeight="1">
      <c r="N447" s="362"/>
      <c r="O447" s="362"/>
      <c r="P447" s="362"/>
      <c r="Q447" s="362"/>
    </row>
    <row r="448" spans="14:17" ht="24.95" customHeight="1">
      <c r="N448" s="362"/>
      <c r="O448" s="362"/>
      <c r="P448" s="362"/>
      <c r="Q448" s="362"/>
    </row>
    <row r="449" spans="14:17" ht="24.95" customHeight="1">
      <c r="N449" s="362"/>
      <c r="O449" s="362"/>
      <c r="P449" s="362"/>
      <c r="Q449" s="362"/>
    </row>
    <row r="450" spans="14:17" ht="24.95" customHeight="1">
      <c r="N450" s="362"/>
      <c r="O450" s="362"/>
      <c r="P450" s="362"/>
      <c r="Q450" s="362"/>
    </row>
    <row r="451" spans="14:17" ht="24.95" customHeight="1">
      <c r="N451" s="362"/>
      <c r="O451" s="362"/>
      <c r="P451" s="362"/>
      <c r="Q451" s="362"/>
    </row>
    <row r="452" spans="14:17" ht="24.95" customHeight="1">
      <c r="N452" s="362"/>
      <c r="O452" s="362"/>
      <c r="P452" s="362"/>
      <c r="Q452" s="362"/>
    </row>
    <row r="453" spans="14:17" ht="24.95" customHeight="1">
      <c r="N453" s="362"/>
      <c r="O453" s="362"/>
      <c r="P453" s="362"/>
      <c r="Q453" s="362"/>
    </row>
    <row r="454" spans="14:17" ht="24.95" customHeight="1">
      <c r="N454" s="362"/>
      <c r="O454" s="362"/>
      <c r="P454" s="362"/>
      <c r="Q454" s="362"/>
    </row>
    <row r="455" spans="14:17" ht="24.95" customHeight="1">
      <c r="N455" s="362"/>
      <c r="O455" s="362"/>
      <c r="P455" s="362"/>
      <c r="Q455" s="362"/>
    </row>
    <row r="456" spans="14:17" ht="24.95" customHeight="1">
      <c r="N456" s="362"/>
      <c r="O456" s="362"/>
      <c r="P456" s="362"/>
      <c r="Q456" s="362"/>
    </row>
    <row r="457" spans="14:17" ht="24.95" customHeight="1">
      <c r="N457" s="362"/>
      <c r="O457" s="362"/>
      <c r="P457" s="362"/>
      <c r="Q457" s="362"/>
    </row>
    <row r="458" spans="14:17" ht="24.95" customHeight="1">
      <c r="N458" s="362"/>
      <c r="O458" s="362"/>
      <c r="P458" s="362"/>
      <c r="Q458" s="362"/>
    </row>
    <row r="459" spans="14:17" ht="24.95" customHeight="1">
      <c r="N459" s="362"/>
      <c r="O459" s="362"/>
      <c r="P459" s="362"/>
      <c r="Q459" s="362"/>
    </row>
    <row r="460" spans="14:17" ht="24.95" customHeight="1">
      <c r="N460" s="362"/>
      <c r="O460" s="362"/>
      <c r="P460" s="362"/>
      <c r="Q460" s="362"/>
    </row>
    <row r="461" spans="14:17" ht="24.95" customHeight="1">
      <c r="N461" s="362"/>
      <c r="O461" s="362"/>
      <c r="P461" s="362"/>
      <c r="Q461" s="362"/>
    </row>
    <row r="462" spans="14:17" ht="24.95" customHeight="1">
      <c r="N462" s="362"/>
      <c r="O462" s="362"/>
      <c r="P462" s="362"/>
      <c r="Q462" s="362"/>
    </row>
    <row r="463" spans="14:17" ht="24.95" customHeight="1">
      <c r="N463" s="362"/>
      <c r="O463" s="362"/>
      <c r="P463" s="362"/>
      <c r="Q463" s="362"/>
    </row>
    <row r="464" spans="14:17" ht="24.95" customHeight="1">
      <c r="N464" s="362"/>
      <c r="O464" s="362"/>
      <c r="P464" s="362"/>
      <c r="Q464" s="362"/>
    </row>
    <row r="465" spans="14:17" ht="24.95" customHeight="1">
      <c r="N465" s="362"/>
      <c r="O465" s="362"/>
      <c r="P465" s="362"/>
      <c r="Q465" s="362"/>
    </row>
    <row r="466" spans="14:17" ht="24.95" customHeight="1">
      <c r="N466" s="362"/>
      <c r="O466" s="362"/>
      <c r="P466" s="362"/>
      <c r="Q466" s="362"/>
    </row>
    <row r="467" spans="14:17" ht="24.95" customHeight="1">
      <c r="N467" s="362"/>
      <c r="O467" s="362"/>
      <c r="P467" s="362"/>
      <c r="Q467" s="362"/>
    </row>
    <row r="468" spans="14:17" ht="24.95" customHeight="1">
      <c r="N468" s="362"/>
      <c r="O468" s="362"/>
      <c r="P468" s="362"/>
      <c r="Q468" s="362"/>
    </row>
    <row r="469" spans="14:17" ht="24.95" customHeight="1">
      <c r="N469" s="362"/>
      <c r="O469" s="362"/>
      <c r="P469" s="362"/>
      <c r="Q469" s="362"/>
    </row>
    <row r="470" spans="14:17" ht="24.95" customHeight="1">
      <c r="N470" s="362"/>
      <c r="O470" s="362"/>
      <c r="P470" s="362"/>
      <c r="Q470" s="362"/>
    </row>
    <row r="471" spans="14:17" ht="24.95" customHeight="1">
      <c r="N471" s="362"/>
      <c r="O471" s="362"/>
      <c r="P471" s="362"/>
      <c r="Q471" s="362"/>
    </row>
    <row r="472" spans="14:17" ht="24.95" customHeight="1">
      <c r="N472" s="362"/>
      <c r="O472" s="362"/>
      <c r="P472" s="362"/>
      <c r="Q472" s="362"/>
    </row>
    <row r="473" spans="14:17" ht="24.95" customHeight="1">
      <c r="N473" s="362"/>
      <c r="O473" s="362"/>
      <c r="P473" s="362"/>
      <c r="Q473" s="362"/>
    </row>
    <row r="474" spans="14:17" ht="24.95" customHeight="1">
      <c r="N474" s="362"/>
      <c r="O474" s="362"/>
      <c r="P474" s="362"/>
      <c r="Q474" s="362"/>
    </row>
    <row r="475" spans="14:17" ht="24.95" customHeight="1">
      <c r="N475" s="362"/>
      <c r="O475" s="362"/>
      <c r="P475" s="362"/>
      <c r="Q475" s="362"/>
    </row>
    <row r="476" spans="14:17" ht="24.95" customHeight="1">
      <c r="N476" s="362"/>
      <c r="O476" s="362"/>
      <c r="P476" s="362"/>
      <c r="Q476" s="362"/>
    </row>
    <row r="477" spans="14:17" ht="24.95" customHeight="1">
      <c r="N477" s="362"/>
      <c r="O477" s="362"/>
      <c r="P477" s="362"/>
      <c r="Q477" s="362"/>
    </row>
    <row r="478" spans="14:17" ht="24.95" customHeight="1">
      <c r="N478" s="362"/>
      <c r="O478" s="362"/>
      <c r="P478" s="362"/>
      <c r="Q478" s="362"/>
    </row>
    <row r="479" spans="14:17" ht="24.95" customHeight="1">
      <c r="N479" s="362"/>
      <c r="O479" s="362"/>
      <c r="P479" s="362"/>
      <c r="Q479" s="362"/>
    </row>
    <row r="480" spans="14:17" ht="24.95" customHeight="1">
      <c r="N480" s="362"/>
      <c r="O480" s="362"/>
      <c r="P480" s="362"/>
      <c r="Q480" s="362"/>
    </row>
    <row r="481" spans="14:17" ht="24.95" customHeight="1">
      <c r="N481" s="362"/>
      <c r="O481" s="362"/>
      <c r="P481" s="362"/>
      <c r="Q481" s="362"/>
    </row>
    <row r="482" spans="14:17" ht="24.95" customHeight="1">
      <c r="N482" s="362"/>
      <c r="O482" s="362"/>
      <c r="P482" s="362"/>
      <c r="Q482" s="362"/>
    </row>
    <row r="483" spans="14:17" ht="24.95" customHeight="1">
      <c r="N483" s="362"/>
      <c r="O483" s="362"/>
      <c r="P483" s="362"/>
      <c r="Q483" s="362"/>
    </row>
    <row r="484" spans="14:17" ht="24.95" customHeight="1">
      <c r="N484" s="362"/>
      <c r="O484" s="362"/>
      <c r="P484" s="362"/>
      <c r="Q484" s="362"/>
    </row>
    <row r="485" spans="14:17" ht="24.95" customHeight="1">
      <c r="N485" s="362"/>
      <c r="O485" s="362"/>
      <c r="P485" s="362"/>
      <c r="Q485" s="362"/>
    </row>
    <row r="486" spans="14:17" ht="24.95" customHeight="1">
      <c r="N486" s="362"/>
      <c r="O486" s="362"/>
      <c r="P486" s="362"/>
      <c r="Q486" s="362"/>
    </row>
    <row r="487" spans="14:17" ht="24.95" customHeight="1">
      <c r="N487" s="362"/>
      <c r="O487" s="362"/>
      <c r="P487" s="362"/>
      <c r="Q487" s="362"/>
    </row>
    <row r="488" spans="14:17" ht="24.95" customHeight="1">
      <c r="N488" s="362"/>
      <c r="O488" s="362"/>
      <c r="P488" s="362"/>
      <c r="Q488" s="362"/>
    </row>
    <row r="489" spans="14:17" ht="24.95" customHeight="1">
      <c r="N489" s="362"/>
      <c r="O489" s="362"/>
      <c r="P489" s="362"/>
      <c r="Q489" s="362"/>
    </row>
    <row r="490" spans="14:17" ht="24.95" customHeight="1">
      <c r="N490" s="362"/>
      <c r="O490" s="362"/>
      <c r="P490" s="362"/>
      <c r="Q490" s="362"/>
    </row>
    <row r="491" spans="14:17" ht="24.95" customHeight="1">
      <c r="N491" s="362"/>
      <c r="O491" s="362"/>
      <c r="P491" s="362"/>
      <c r="Q491" s="362"/>
    </row>
    <row r="492" spans="14:17" ht="24.95" customHeight="1">
      <c r="N492" s="362"/>
      <c r="O492" s="362"/>
      <c r="P492" s="362"/>
      <c r="Q492" s="362"/>
    </row>
    <row r="493" spans="14:17" ht="24.95" customHeight="1">
      <c r="N493" s="362"/>
      <c r="O493" s="362"/>
      <c r="P493" s="362"/>
      <c r="Q493" s="362"/>
    </row>
    <row r="494" spans="14:17" ht="24.95" customHeight="1">
      <c r="N494" s="362"/>
      <c r="O494" s="362"/>
      <c r="P494" s="362"/>
      <c r="Q494" s="362"/>
    </row>
    <row r="495" spans="14:17" ht="24.95" customHeight="1">
      <c r="N495" s="362"/>
      <c r="O495" s="362"/>
      <c r="P495" s="362"/>
      <c r="Q495" s="362"/>
    </row>
    <row r="496" spans="14:17" ht="24.95" customHeight="1">
      <c r="N496" s="362"/>
      <c r="O496" s="362"/>
      <c r="P496" s="362"/>
      <c r="Q496" s="362"/>
    </row>
    <row r="497" spans="14:17" ht="24.95" customHeight="1">
      <c r="N497" s="362"/>
      <c r="O497" s="362"/>
      <c r="P497" s="362"/>
      <c r="Q497" s="362"/>
    </row>
    <row r="498" spans="14:17" ht="24.95" customHeight="1">
      <c r="N498" s="362"/>
      <c r="O498" s="362"/>
      <c r="P498" s="362"/>
      <c r="Q498" s="362"/>
    </row>
    <row r="499" spans="14:17" ht="24.95" customHeight="1">
      <c r="N499" s="362"/>
      <c r="O499" s="362"/>
      <c r="P499" s="362"/>
      <c r="Q499" s="362"/>
    </row>
    <row r="500" spans="14:17" ht="24.95" customHeight="1">
      <c r="N500" s="362"/>
      <c r="O500" s="362"/>
      <c r="P500" s="362"/>
      <c r="Q500" s="362"/>
    </row>
    <row r="501" spans="14:17" ht="24.95" customHeight="1">
      <c r="N501" s="362"/>
      <c r="O501" s="362"/>
      <c r="P501" s="362"/>
      <c r="Q501" s="362"/>
    </row>
    <row r="502" spans="14:17" ht="24.95" customHeight="1">
      <c r="N502" s="362"/>
      <c r="O502" s="362"/>
      <c r="P502" s="362"/>
      <c r="Q502" s="362"/>
    </row>
    <row r="503" spans="14:17" ht="24.95" customHeight="1">
      <c r="N503" s="362"/>
      <c r="O503" s="362"/>
      <c r="P503" s="362"/>
      <c r="Q503" s="362"/>
    </row>
    <row r="504" spans="14:17" ht="24.95" customHeight="1">
      <c r="N504" s="362"/>
      <c r="O504" s="362"/>
      <c r="P504" s="362"/>
      <c r="Q504" s="362"/>
    </row>
    <row r="505" spans="14:17" ht="24.95" customHeight="1">
      <c r="N505" s="362"/>
      <c r="O505" s="362"/>
      <c r="P505" s="362"/>
      <c r="Q505" s="362"/>
    </row>
    <row r="506" spans="14:17" ht="24.95" customHeight="1">
      <c r="N506" s="362"/>
      <c r="O506" s="362"/>
      <c r="P506" s="362"/>
      <c r="Q506" s="362"/>
    </row>
    <row r="507" spans="14:17" ht="24.95" customHeight="1">
      <c r="N507" s="362"/>
      <c r="O507" s="362"/>
      <c r="P507" s="362"/>
      <c r="Q507" s="362"/>
    </row>
    <row r="508" spans="14:17" ht="24.95" customHeight="1">
      <c r="N508" s="362"/>
      <c r="O508" s="362"/>
      <c r="P508" s="362"/>
      <c r="Q508" s="362"/>
    </row>
    <row r="509" spans="14:17" ht="24.95" customHeight="1">
      <c r="N509" s="362"/>
      <c r="O509" s="362"/>
      <c r="P509" s="362"/>
      <c r="Q509" s="362"/>
    </row>
    <row r="510" spans="14:17" ht="24.95" customHeight="1">
      <c r="N510" s="362"/>
      <c r="O510" s="362"/>
      <c r="P510" s="362"/>
      <c r="Q510" s="362"/>
    </row>
    <row r="511" spans="14:17" ht="24.95" customHeight="1">
      <c r="N511" s="362"/>
      <c r="O511" s="362"/>
      <c r="P511" s="362"/>
      <c r="Q511" s="362"/>
    </row>
    <row r="512" spans="14:17" ht="24.95" customHeight="1">
      <c r="N512" s="362"/>
      <c r="O512" s="362"/>
      <c r="P512" s="362"/>
      <c r="Q512" s="362"/>
    </row>
    <row r="513" spans="14:17" ht="24.95" customHeight="1">
      <c r="N513" s="362"/>
      <c r="O513" s="362"/>
      <c r="P513" s="362"/>
      <c r="Q513" s="362"/>
    </row>
    <row r="514" spans="14:17" ht="24.95" customHeight="1">
      <c r="N514" s="362"/>
      <c r="O514" s="362"/>
      <c r="P514" s="362"/>
      <c r="Q514" s="362"/>
    </row>
    <row r="515" spans="14:17" ht="24.95" customHeight="1">
      <c r="N515" s="362"/>
      <c r="O515" s="362"/>
      <c r="P515" s="362"/>
      <c r="Q515" s="362"/>
    </row>
    <row r="516" spans="14:17" ht="24.95" customHeight="1">
      <c r="N516" s="362"/>
      <c r="O516" s="362"/>
      <c r="P516" s="362"/>
      <c r="Q516" s="362"/>
    </row>
    <row r="517" spans="14:17" ht="24.95" customHeight="1">
      <c r="N517" s="362"/>
      <c r="O517" s="362"/>
      <c r="P517" s="362"/>
      <c r="Q517" s="362"/>
    </row>
    <row r="518" spans="14:17" ht="24.95" customHeight="1">
      <c r="N518" s="362"/>
      <c r="O518" s="362"/>
      <c r="P518" s="362"/>
      <c r="Q518" s="362"/>
    </row>
    <row r="519" spans="14:17" ht="24.95" customHeight="1">
      <c r="N519" s="362"/>
      <c r="O519" s="362"/>
      <c r="P519" s="362"/>
      <c r="Q519" s="362"/>
    </row>
    <row r="520" spans="14:17" ht="24.95" customHeight="1">
      <c r="N520" s="362"/>
      <c r="O520" s="362"/>
      <c r="P520" s="362"/>
      <c r="Q520" s="362"/>
    </row>
    <row r="521" spans="14:17" ht="24.95" customHeight="1">
      <c r="N521" s="362"/>
      <c r="O521" s="362"/>
      <c r="P521" s="362"/>
      <c r="Q521" s="362"/>
    </row>
    <row r="522" spans="14:17" ht="24.95" customHeight="1">
      <c r="N522" s="362"/>
      <c r="O522" s="362"/>
      <c r="P522" s="362"/>
      <c r="Q522" s="362"/>
    </row>
    <row r="523" spans="14:17" ht="24.95" customHeight="1">
      <c r="N523" s="362"/>
      <c r="O523" s="362"/>
      <c r="P523" s="362"/>
      <c r="Q523" s="362"/>
    </row>
    <row r="524" spans="14:17" ht="24.95" customHeight="1">
      <c r="N524" s="362"/>
      <c r="O524" s="362"/>
      <c r="P524" s="362"/>
      <c r="Q524" s="362"/>
    </row>
    <row r="525" spans="14:17" ht="24.95" customHeight="1">
      <c r="N525" s="362"/>
      <c r="O525" s="362"/>
      <c r="P525" s="362"/>
      <c r="Q525" s="362"/>
    </row>
    <row r="526" spans="14:17" ht="24.95" customHeight="1">
      <c r="N526" s="362"/>
      <c r="O526" s="362"/>
      <c r="P526" s="362"/>
      <c r="Q526" s="362"/>
    </row>
    <row r="527" spans="14:17" ht="24.95" customHeight="1">
      <c r="N527" s="362"/>
      <c r="O527" s="362"/>
      <c r="P527" s="362"/>
      <c r="Q527" s="362"/>
    </row>
    <row r="528" spans="14:17" ht="24.95" customHeight="1">
      <c r="N528" s="362"/>
      <c r="O528" s="362"/>
      <c r="P528" s="362"/>
      <c r="Q528" s="362"/>
    </row>
    <row r="529" spans="14:17" ht="24.95" customHeight="1">
      <c r="N529" s="362"/>
      <c r="O529" s="362"/>
      <c r="P529" s="362"/>
      <c r="Q529" s="362"/>
    </row>
    <row r="530" spans="14:17" ht="24.95" customHeight="1">
      <c r="N530" s="362"/>
      <c r="O530" s="362"/>
      <c r="P530" s="362"/>
      <c r="Q530" s="362"/>
    </row>
    <row r="531" spans="14:17" ht="24.95" customHeight="1">
      <c r="N531" s="362"/>
      <c r="O531" s="362"/>
      <c r="P531" s="362"/>
      <c r="Q531" s="362"/>
    </row>
    <row r="532" spans="14:17" ht="24.95" customHeight="1">
      <c r="N532" s="362"/>
      <c r="O532" s="362"/>
      <c r="P532" s="362"/>
      <c r="Q532" s="362"/>
    </row>
    <row r="533" spans="14:17" ht="24.95" customHeight="1">
      <c r="N533" s="362"/>
      <c r="O533" s="362"/>
      <c r="P533" s="362"/>
      <c r="Q533" s="362"/>
    </row>
    <row r="534" spans="14:17" ht="24.95" customHeight="1">
      <c r="N534" s="362"/>
      <c r="O534" s="362"/>
      <c r="P534" s="362"/>
      <c r="Q534" s="362"/>
    </row>
    <row r="535" spans="14:17" ht="24.95" customHeight="1">
      <c r="N535" s="362"/>
      <c r="O535" s="362"/>
      <c r="P535" s="362"/>
      <c r="Q535" s="362"/>
    </row>
    <row r="536" spans="14:17" ht="24.95" customHeight="1">
      <c r="N536" s="362"/>
      <c r="O536" s="362"/>
      <c r="P536" s="362"/>
      <c r="Q536" s="362"/>
    </row>
    <row r="537" spans="14:17" ht="24.95" customHeight="1">
      <c r="N537" s="362"/>
      <c r="O537" s="362"/>
      <c r="P537" s="362"/>
      <c r="Q537" s="362"/>
    </row>
    <row r="538" spans="14:17" ht="24.95" customHeight="1">
      <c r="N538" s="362"/>
      <c r="O538" s="362"/>
      <c r="P538" s="362"/>
      <c r="Q538" s="362"/>
    </row>
    <row r="539" spans="14:17" ht="24.95" customHeight="1">
      <c r="N539" s="362"/>
      <c r="O539" s="362"/>
      <c r="P539" s="362"/>
      <c r="Q539" s="362"/>
    </row>
    <row r="540" spans="14:17" ht="24.95" customHeight="1">
      <c r="N540" s="362"/>
      <c r="O540" s="362"/>
      <c r="P540" s="362"/>
      <c r="Q540" s="362"/>
    </row>
    <row r="541" spans="14:17" ht="24.95" customHeight="1">
      <c r="N541" s="362"/>
      <c r="O541" s="362"/>
      <c r="P541" s="362"/>
      <c r="Q541" s="362"/>
    </row>
    <row r="542" spans="14:17" ht="24.95" customHeight="1">
      <c r="N542" s="362"/>
      <c r="O542" s="362"/>
      <c r="P542" s="362"/>
      <c r="Q542" s="362"/>
    </row>
    <row r="543" spans="14:17" ht="24.95" customHeight="1">
      <c r="N543" s="362"/>
      <c r="O543" s="362"/>
      <c r="P543" s="362"/>
      <c r="Q543" s="362"/>
    </row>
    <row r="544" spans="14:17" ht="24.95" customHeight="1">
      <c r="N544" s="362"/>
      <c r="O544" s="362"/>
      <c r="P544" s="362"/>
      <c r="Q544" s="362"/>
    </row>
    <row r="545" spans="14:17" ht="24.95" customHeight="1">
      <c r="N545" s="362"/>
      <c r="O545" s="362"/>
      <c r="P545" s="362"/>
      <c r="Q545" s="362"/>
    </row>
    <row r="546" spans="14:17" ht="24.95" customHeight="1">
      <c r="N546" s="362"/>
      <c r="O546" s="362"/>
      <c r="P546" s="362"/>
      <c r="Q546" s="362"/>
    </row>
    <row r="547" spans="14:17" ht="24.95" customHeight="1">
      <c r="N547" s="362"/>
      <c r="O547" s="362"/>
      <c r="P547" s="362"/>
      <c r="Q547" s="362"/>
    </row>
    <row r="548" spans="14:17" ht="24.95" customHeight="1">
      <c r="N548" s="362"/>
      <c r="O548" s="362"/>
      <c r="P548" s="362"/>
      <c r="Q548" s="362"/>
    </row>
    <row r="549" spans="14:17" ht="24.95" customHeight="1">
      <c r="N549" s="362"/>
      <c r="O549" s="362"/>
      <c r="P549" s="362"/>
      <c r="Q549" s="362"/>
    </row>
    <row r="550" spans="14:17" ht="24.95" customHeight="1">
      <c r="N550" s="362"/>
      <c r="O550" s="362"/>
      <c r="P550" s="362"/>
      <c r="Q550" s="362"/>
    </row>
    <row r="551" spans="14:17" ht="24.95" customHeight="1">
      <c r="N551" s="362"/>
      <c r="O551" s="362"/>
      <c r="P551" s="362"/>
      <c r="Q551" s="362"/>
    </row>
    <row r="552" spans="14:17" ht="24.95" customHeight="1">
      <c r="N552" s="362"/>
      <c r="O552" s="362"/>
      <c r="P552" s="362"/>
      <c r="Q552" s="362"/>
    </row>
    <row r="553" spans="14:17" ht="24.95" customHeight="1">
      <c r="N553" s="362"/>
      <c r="O553" s="362"/>
      <c r="P553" s="362"/>
      <c r="Q553" s="362"/>
    </row>
    <row r="554" spans="14:17" ht="24.95" customHeight="1">
      <c r="N554" s="362"/>
      <c r="O554" s="362"/>
      <c r="P554" s="362"/>
      <c r="Q554" s="362"/>
    </row>
    <row r="555" spans="14:17" ht="24.95" customHeight="1">
      <c r="N555" s="362"/>
      <c r="O555" s="362"/>
      <c r="P555" s="362"/>
      <c r="Q555" s="362"/>
    </row>
    <row r="556" spans="14:17" ht="24.95" customHeight="1">
      <c r="N556" s="362"/>
      <c r="O556" s="362"/>
      <c r="P556" s="362"/>
      <c r="Q556" s="362"/>
    </row>
    <row r="557" spans="14:17" ht="24.95" customHeight="1">
      <c r="N557" s="362"/>
      <c r="O557" s="362"/>
      <c r="P557" s="362"/>
      <c r="Q557" s="362"/>
    </row>
    <row r="558" spans="14:17" ht="24.95" customHeight="1">
      <c r="N558" s="362"/>
      <c r="O558" s="362"/>
      <c r="P558" s="362"/>
      <c r="Q558" s="362"/>
    </row>
    <row r="559" spans="14:17" ht="24.95" customHeight="1">
      <c r="N559" s="362"/>
      <c r="O559" s="362"/>
      <c r="P559" s="362"/>
      <c r="Q559" s="362"/>
    </row>
    <row r="560" spans="14:17" ht="24.95" customHeight="1">
      <c r="N560" s="362"/>
      <c r="O560" s="362"/>
      <c r="P560" s="362"/>
      <c r="Q560" s="362"/>
    </row>
    <row r="561" spans="14:17" ht="24.95" customHeight="1">
      <c r="N561" s="362"/>
      <c r="O561" s="362"/>
      <c r="P561" s="362"/>
      <c r="Q561" s="362"/>
    </row>
    <row r="562" spans="14:17" ht="24.95" customHeight="1">
      <c r="N562" s="362"/>
      <c r="O562" s="362"/>
      <c r="P562" s="362"/>
      <c r="Q562" s="362"/>
    </row>
    <row r="563" spans="14:17" ht="24.95" customHeight="1">
      <c r="N563" s="362"/>
      <c r="O563" s="362"/>
      <c r="P563" s="362"/>
      <c r="Q563" s="362"/>
    </row>
    <row r="564" spans="14:17" ht="24.95" customHeight="1">
      <c r="N564" s="362"/>
      <c r="O564" s="362"/>
      <c r="P564" s="362"/>
      <c r="Q564" s="362"/>
    </row>
    <row r="565" spans="14:17" ht="24.95" customHeight="1">
      <c r="N565" s="362"/>
      <c r="O565" s="362"/>
      <c r="P565" s="362"/>
      <c r="Q565" s="362"/>
    </row>
    <row r="566" spans="14:17" ht="24.95" customHeight="1">
      <c r="N566" s="362"/>
      <c r="O566" s="362"/>
      <c r="P566" s="362"/>
      <c r="Q566" s="362"/>
    </row>
    <row r="567" spans="14:17" ht="24.95" customHeight="1">
      <c r="N567" s="362"/>
      <c r="O567" s="362"/>
      <c r="P567" s="362"/>
      <c r="Q567" s="362"/>
    </row>
    <row r="568" spans="14:17" ht="24.95" customHeight="1">
      <c r="N568" s="362"/>
      <c r="O568" s="362"/>
      <c r="P568" s="362"/>
      <c r="Q568" s="362"/>
    </row>
    <row r="569" spans="14:17" ht="24.95" customHeight="1">
      <c r="N569" s="362"/>
      <c r="O569" s="362"/>
      <c r="P569" s="362"/>
      <c r="Q569" s="362"/>
    </row>
    <row r="570" spans="14:17" ht="24.95" customHeight="1">
      <c r="N570" s="362"/>
      <c r="O570" s="362"/>
      <c r="P570" s="362"/>
      <c r="Q570" s="362"/>
    </row>
    <row r="571" spans="14:17" ht="24.95" customHeight="1">
      <c r="N571" s="362"/>
      <c r="O571" s="362"/>
      <c r="P571" s="362"/>
      <c r="Q571" s="362"/>
    </row>
    <row r="572" spans="14:17" ht="24.95" customHeight="1">
      <c r="N572" s="362"/>
      <c r="O572" s="362"/>
      <c r="P572" s="362"/>
      <c r="Q572" s="362"/>
    </row>
    <row r="573" spans="14:17" ht="24.95" customHeight="1">
      <c r="N573" s="362"/>
      <c r="O573" s="362"/>
      <c r="P573" s="362"/>
      <c r="Q573" s="362"/>
    </row>
    <row r="574" spans="14:17" ht="24.95" customHeight="1">
      <c r="N574" s="362"/>
      <c r="O574" s="362"/>
      <c r="P574" s="362"/>
      <c r="Q574" s="362"/>
    </row>
    <row r="575" spans="14:17" ht="24.95" customHeight="1">
      <c r="N575" s="362"/>
      <c r="O575" s="362"/>
      <c r="P575" s="362"/>
      <c r="Q575" s="362"/>
    </row>
    <row r="576" spans="14:17" ht="24.95" customHeight="1">
      <c r="N576" s="362"/>
      <c r="O576" s="362"/>
      <c r="P576" s="362"/>
      <c r="Q576" s="362"/>
    </row>
    <row r="577" spans="14:17" ht="24.95" customHeight="1">
      <c r="N577" s="362"/>
      <c r="O577" s="362"/>
      <c r="P577" s="362"/>
      <c r="Q577" s="362"/>
    </row>
    <row r="578" spans="14:17" ht="24.95" customHeight="1">
      <c r="N578" s="362"/>
      <c r="O578" s="362"/>
      <c r="P578" s="362"/>
      <c r="Q578" s="362"/>
    </row>
    <row r="579" spans="14:17" ht="24.95" customHeight="1">
      <c r="N579" s="362"/>
      <c r="O579" s="362"/>
      <c r="P579" s="362"/>
      <c r="Q579" s="362"/>
    </row>
    <row r="580" spans="14:17" ht="24.95" customHeight="1">
      <c r="N580" s="362"/>
      <c r="O580" s="362"/>
      <c r="P580" s="362"/>
      <c r="Q580" s="362"/>
    </row>
    <row r="581" spans="14:17" ht="24.95" customHeight="1">
      <c r="N581" s="362"/>
      <c r="O581" s="362"/>
      <c r="P581" s="362"/>
      <c r="Q581" s="362"/>
    </row>
    <row r="582" spans="14:17" ht="24.95" customHeight="1">
      <c r="N582" s="362"/>
      <c r="O582" s="362"/>
      <c r="P582" s="362"/>
      <c r="Q582" s="362"/>
    </row>
    <row r="583" spans="14:17" ht="24.95" customHeight="1">
      <c r="N583" s="362"/>
      <c r="O583" s="362"/>
      <c r="P583" s="362"/>
      <c r="Q583" s="362"/>
    </row>
    <row r="584" spans="14:17" ht="24.95" customHeight="1">
      <c r="N584" s="362"/>
      <c r="O584" s="362"/>
      <c r="P584" s="362"/>
      <c r="Q584" s="362"/>
    </row>
    <row r="585" spans="14:17" ht="24.95" customHeight="1">
      <c r="N585" s="362"/>
      <c r="O585" s="362"/>
      <c r="P585" s="362"/>
      <c r="Q585" s="362"/>
    </row>
    <row r="586" spans="14:17" ht="24.95" customHeight="1">
      <c r="N586" s="362"/>
      <c r="O586" s="362"/>
      <c r="P586" s="362"/>
      <c r="Q586" s="362"/>
    </row>
    <row r="587" spans="14:17" ht="24.95" customHeight="1">
      <c r="N587" s="362"/>
      <c r="O587" s="362"/>
      <c r="P587" s="362"/>
      <c r="Q587" s="362"/>
    </row>
    <row r="588" spans="14:17" ht="24.95" customHeight="1">
      <c r="N588" s="362"/>
      <c r="O588" s="362"/>
      <c r="P588" s="362"/>
      <c r="Q588" s="362"/>
    </row>
    <row r="589" spans="14:17" ht="24.95" customHeight="1">
      <c r="N589" s="362"/>
      <c r="O589" s="362"/>
      <c r="P589" s="362"/>
      <c r="Q589" s="362"/>
    </row>
    <row r="590" spans="14:17" ht="24.95" customHeight="1">
      <c r="N590" s="362"/>
      <c r="O590" s="362"/>
      <c r="P590" s="362"/>
      <c r="Q590" s="362"/>
    </row>
    <row r="591" spans="14:17" ht="24.95" customHeight="1">
      <c r="N591" s="362"/>
      <c r="O591" s="362"/>
      <c r="P591" s="362"/>
      <c r="Q591" s="362"/>
    </row>
    <row r="592" spans="14:17" ht="24.95" customHeight="1">
      <c r="N592" s="362"/>
      <c r="O592" s="362"/>
      <c r="P592" s="362"/>
      <c r="Q592" s="362"/>
    </row>
    <row r="593" spans="14:17" ht="24.95" customHeight="1">
      <c r="N593" s="362"/>
      <c r="O593" s="362"/>
      <c r="P593" s="362"/>
      <c r="Q593" s="362"/>
    </row>
    <row r="594" spans="14:17" ht="24.95" customHeight="1">
      <c r="N594" s="362"/>
      <c r="O594" s="362"/>
      <c r="P594" s="362"/>
      <c r="Q594" s="362"/>
    </row>
    <row r="595" spans="14:17" ht="24.95" customHeight="1">
      <c r="N595" s="362"/>
      <c r="O595" s="362"/>
      <c r="P595" s="362"/>
      <c r="Q595" s="362"/>
    </row>
    <row r="596" spans="14:17" ht="24.95" customHeight="1">
      <c r="N596" s="362"/>
      <c r="O596" s="362"/>
      <c r="P596" s="362"/>
      <c r="Q596" s="362"/>
    </row>
    <row r="597" spans="14:17" ht="24.95" customHeight="1">
      <c r="N597" s="362"/>
      <c r="O597" s="362"/>
      <c r="P597" s="362"/>
      <c r="Q597" s="362"/>
    </row>
    <row r="598" spans="14:17" ht="24.95" customHeight="1">
      <c r="N598" s="362"/>
      <c r="O598" s="362"/>
      <c r="P598" s="362"/>
      <c r="Q598" s="362"/>
    </row>
    <row r="599" spans="14:17" ht="24.95" customHeight="1">
      <c r="N599" s="362"/>
      <c r="O599" s="362"/>
      <c r="P599" s="362"/>
      <c r="Q599" s="362"/>
    </row>
    <row r="600" spans="14:17" ht="24.95" customHeight="1">
      <c r="N600" s="362"/>
      <c r="O600" s="362"/>
      <c r="P600" s="362"/>
      <c r="Q600" s="362"/>
    </row>
    <row r="601" spans="14:17" ht="24.95" customHeight="1">
      <c r="N601" s="362"/>
      <c r="O601" s="362"/>
      <c r="P601" s="362"/>
      <c r="Q601" s="362"/>
    </row>
    <row r="602" spans="14:17" ht="24.95" customHeight="1">
      <c r="N602" s="362"/>
      <c r="O602" s="362"/>
      <c r="P602" s="362"/>
      <c r="Q602" s="362"/>
    </row>
    <row r="603" spans="14:17" ht="24.95" customHeight="1">
      <c r="N603" s="362"/>
      <c r="O603" s="362"/>
      <c r="P603" s="362"/>
      <c r="Q603" s="362"/>
    </row>
    <row r="604" spans="14:17" ht="24.95" customHeight="1">
      <c r="N604" s="362"/>
      <c r="O604" s="362"/>
      <c r="P604" s="362"/>
      <c r="Q604" s="362"/>
    </row>
    <row r="605" spans="14:17" ht="24.95" customHeight="1">
      <c r="N605" s="362"/>
      <c r="O605" s="362"/>
      <c r="P605" s="362"/>
      <c r="Q605" s="362"/>
    </row>
    <row r="606" spans="14:17" ht="24.95" customHeight="1">
      <c r="N606" s="362"/>
      <c r="O606" s="362"/>
      <c r="P606" s="362"/>
      <c r="Q606" s="362"/>
    </row>
    <row r="607" spans="14:17" ht="24.95" customHeight="1">
      <c r="N607" s="362"/>
      <c r="O607" s="362"/>
      <c r="P607" s="362"/>
      <c r="Q607" s="362"/>
    </row>
    <row r="608" spans="14:17" ht="24.95" customHeight="1">
      <c r="N608" s="362"/>
      <c r="O608" s="362"/>
      <c r="P608" s="362"/>
      <c r="Q608" s="362"/>
    </row>
    <row r="609" spans="14:17" ht="24.95" customHeight="1">
      <c r="N609" s="362"/>
      <c r="O609" s="362"/>
      <c r="P609" s="362"/>
      <c r="Q609" s="362"/>
    </row>
    <row r="610" spans="14:17" ht="24.95" customHeight="1">
      <c r="N610" s="362"/>
      <c r="O610" s="362"/>
      <c r="P610" s="362"/>
      <c r="Q610" s="362"/>
    </row>
    <row r="611" spans="14:17" ht="24.95" customHeight="1">
      <c r="N611" s="362"/>
      <c r="O611" s="362"/>
      <c r="P611" s="362"/>
      <c r="Q611" s="362"/>
    </row>
    <row r="612" spans="14:17" ht="24.95" customHeight="1">
      <c r="N612" s="362"/>
      <c r="O612" s="362"/>
      <c r="P612" s="362"/>
      <c r="Q612" s="362"/>
    </row>
    <row r="613" spans="14:17" ht="24.95" customHeight="1">
      <c r="N613" s="362"/>
      <c r="O613" s="362"/>
      <c r="P613" s="362"/>
      <c r="Q613" s="362"/>
    </row>
    <row r="614" spans="14:17" ht="24.95" customHeight="1">
      <c r="N614" s="362"/>
      <c r="O614" s="362"/>
      <c r="P614" s="362"/>
      <c r="Q614" s="362"/>
    </row>
    <row r="615" spans="14:17" ht="24.95" customHeight="1">
      <c r="N615" s="362"/>
      <c r="O615" s="362"/>
      <c r="P615" s="362"/>
      <c r="Q615" s="362"/>
    </row>
    <row r="616" spans="14:17" ht="24.95" customHeight="1">
      <c r="N616" s="362"/>
      <c r="O616" s="362"/>
      <c r="P616" s="362"/>
      <c r="Q616" s="362"/>
    </row>
    <row r="617" spans="14:17" ht="24.95" customHeight="1">
      <c r="N617" s="362"/>
      <c r="O617" s="362"/>
      <c r="P617" s="362"/>
      <c r="Q617" s="362"/>
    </row>
    <row r="618" spans="14:17" ht="24.95" customHeight="1">
      <c r="N618" s="362"/>
      <c r="O618" s="362"/>
      <c r="P618" s="362"/>
      <c r="Q618" s="362"/>
    </row>
    <row r="619" spans="14:17" ht="24.95" customHeight="1">
      <c r="N619" s="362"/>
      <c r="O619" s="362"/>
      <c r="P619" s="362"/>
      <c r="Q619" s="362"/>
    </row>
    <row r="620" spans="14:17" ht="24.95" customHeight="1">
      <c r="N620" s="362"/>
      <c r="O620" s="362"/>
      <c r="P620" s="362"/>
      <c r="Q620" s="362"/>
    </row>
    <row r="621" spans="14:17" ht="24.95" customHeight="1">
      <c r="N621" s="362"/>
      <c r="O621" s="362"/>
      <c r="P621" s="362"/>
      <c r="Q621" s="362"/>
    </row>
    <row r="622" spans="14:17" ht="24.95" customHeight="1">
      <c r="N622" s="362"/>
      <c r="O622" s="362"/>
      <c r="P622" s="362"/>
      <c r="Q622" s="362"/>
    </row>
    <row r="623" spans="14:17" ht="24.95" customHeight="1">
      <c r="N623" s="362"/>
      <c r="O623" s="362"/>
      <c r="P623" s="362"/>
      <c r="Q623" s="362"/>
    </row>
    <row r="624" spans="14:17" ht="24.95" customHeight="1">
      <c r="N624" s="362"/>
      <c r="O624" s="362"/>
      <c r="P624" s="362"/>
      <c r="Q624" s="362"/>
    </row>
    <row r="625" spans="14:17" ht="24.95" customHeight="1">
      <c r="N625" s="362"/>
      <c r="O625" s="362"/>
      <c r="P625" s="362"/>
      <c r="Q625" s="362"/>
    </row>
    <row r="626" spans="14:17" ht="24.95" customHeight="1">
      <c r="N626" s="362"/>
      <c r="O626" s="362"/>
      <c r="P626" s="362"/>
      <c r="Q626" s="362"/>
    </row>
    <row r="627" spans="14:17" ht="24.95" customHeight="1">
      <c r="N627" s="362"/>
      <c r="O627" s="362"/>
      <c r="P627" s="362"/>
      <c r="Q627" s="362"/>
    </row>
    <row r="628" spans="14:17" ht="24.95" customHeight="1">
      <c r="N628" s="362"/>
      <c r="O628" s="362"/>
      <c r="P628" s="362"/>
      <c r="Q628" s="362"/>
    </row>
    <row r="629" spans="14:17" ht="24.95" customHeight="1">
      <c r="N629" s="362"/>
      <c r="O629" s="362"/>
      <c r="P629" s="362"/>
      <c r="Q629" s="362"/>
    </row>
    <row r="630" spans="14:17" ht="24.95" customHeight="1">
      <c r="N630" s="362"/>
      <c r="O630" s="362"/>
      <c r="P630" s="362"/>
      <c r="Q630" s="362"/>
    </row>
    <row r="631" spans="14:17" ht="24.95" customHeight="1">
      <c r="N631" s="362"/>
      <c r="O631" s="362"/>
      <c r="P631" s="362"/>
      <c r="Q631" s="362"/>
    </row>
    <row r="632" spans="14:17" ht="24.95" customHeight="1">
      <c r="N632" s="362"/>
      <c r="O632" s="362"/>
      <c r="P632" s="362"/>
      <c r="Q632" s="362"/>
    </row>
    <row r="633" spans="14:17" ht="24.95" customHeight="1">
      <c r="N633" s="362"/>
      <c r="O633" s="362"/>
      <c r="P633" s="362"/>
      <c r="Q633" s="362"/>
    </row>
    <row r="634" spans="14:17" ht="24.95" customHeight="1">
      <c r="N634" s="362"/>
      <c r="O634" s="362"/>
      <c r="P634" s="362"/>
      <c r="Q634" s="362"/>
    </row>
    <row r="635" spans="14:17" ht="24.95" customHeight="1">
      <c r="N635" s="362"/>
      <c r="O635" s="362"/>
      <c r="P635" s="362"/>
      <c r="Q635" s="362"/>
    </row>
    <row r="636" spans="14:17" ht="24.95" customHeight="1">
      <c r="N636" s="362"/>
      <c r="O636" s="362"/>
      <c r="P636" s="362"/>
      <c r="Q636" s="362"/>
    </row>
    <row r="637" spans="14:17" ht="24.95" customHeight="1">
      <c r="N637" s="362"/>
      <c r="O637" s="362"/>
      <c r="P637" s="362"/>
      <c r="Q637" s="362"/>
    </row>
    <row r="638" spans="14:17" ht="24.95" customHeight="1">
      <c r="N638" s="362"/>
      <c r="O638" s="362"/>
      <c r="P638" s="362"/>
      <c r="Q638" s="362"/>
    </row>
    <row r="639" spans="14:17" ht="24.95" customHeight="1">
      <c r="N639" s="362"/>
      <c r="O639" s="362"/>
      <c r="P639" s="362"/>
      <c r="Q639" s="362"/>
    </row>
    <row r="640" spans="14:17" ht="24.95" customHeight="1">
      <c r="N640" s="362"/>
      <c r="O640" s="362"/>
      <c r="P640" s="362"/>
      <c r="Q640" s="362"/>
    </row>
    <row r="641" spans="14:17" ht="24.95" customHeight="1">
      <c r="N641" s="362"/>
      <c r="O641" s="362"/>
      <c r="P641" s="362"/>
      <c r="Q641" s="362"/>
    </row>
    <row r="642" spans="14:17" ht="24.95" customHeight="1">
      <c r="N642" s="362"/>
      <c r="O642" s="362"/>
      <c r="P642" s="362"/>
      <c r="Q642" s="362"/>
    </row>
    <row r="643" spans="14:17" ht="24.95" customHeight="1">
      <c r="N643" s="362"/>
      <c r="O643" s="362"/>
      <c r="P643" s="362"/>
      <c r="Q643" s="362"/>
    </row>
    <row r="644" spans="14:17" ht="24.95" customHeight="1">
      <c r="N644" s="362"/>
      <c r="O644" s="362"/>
      <c r="P644" s="362"/>
      <c r="Q644" s="362"/>
    </row>
    <row r="645" spans="14:17" ht="24.95" customHeight="1">
      <c r="N645" s="362"/>
      <c r="O645" s="362"/>
      <c r="P645" s="362"/>
      <c r="Q645" s="362"/>
    </row>
    <row r="646" spans="14:17" ht="24.95" customHeight="1">
      <c r="N646" s="362"/>
      <c r="O646" s="362"/>
      <c r="P646" s="362"/>
      <c r="Q646" s="362"/>
    </row>
    <row r="647" spans="14:17" ht="24.95" customHeight="1">
      <c r="N647" s="362"/>
      <c r="O647" s="362"/>
      <c r="P647" s="362"/>
      <c r="Q647" s="362"/>
    </row>
    <row r="648" spans="14:17" ht="24.95" customHeight="1">
      <c r="N648" s="362"/>
      <c r="O648" s="362"/>
      <c r="P648" s="362"/>
      <c r="Q648" s="362"/>
    </row>
    <row r="649" spans="14:17" ht="24.95" customHeight="1">
      <c r="N649" s="362"/>
      <c r="O649" s="362"/>
      <c r="P649" s="362"/>
      <c r="Q649" s="362"/>
    </row>
    <row r="650" spans="14:17" ht="24.95" customHeight="1">
      <c r="N650" s="362"/>
      <c r="O650" s="362"/>
      <c r="P650" s="362"/>
      <c r="Q650" s="362"/>
    </row>
    <row r="651" spans="14:17" ht="24.95" customHeight="1">
      <c r="N651" s="362"/>
      <c r="O651" s="362"/>
      <c r="P651" s="362"/>
      <c r="Q651" s="362"/>
    </row>
    <row r="652" spans="14:17" ht="24.95" customHeight="1">
      <c r="N652" s="362"/>
      <c r="O652" s="362"/>
      <c r="P652" s="362"/>
      <c r="Q652" s="362"/>
    </row>
    <row r="653" spans="14:17" ht="24.95" customHeight="1">
      <c r="N653" s="362"/>
      <c r="O653" s="362"/>
      <c r="P653" s="362"/>
      <c r="Q653" s="362"/>
    </row>
    <row r="654" spans="14:17" ht="24.95" customHeight="1">
      <c r="N654" s="362"/>
      <c r="O654" s="362"/>
      <c r="P654" s="362"/>
      <c r="Q654" s="362"/>
    </row>
    <row r="655" spans="14:17" ht="24.95" customHeight="1">
      <c r="N655" s="362"/>
      <c r="O655" s="362"/>
      <c r="P655" s="362"/>
      <c r="Q655" s="362"/>
    </row>
    <row r="656" spans="14:17" ht="24.95" customHeight="1">
      <c r="N656" s="362"/>
      <c r="O656" s="362"/>
      <c r="P656" s="362"/>
      <c r="Q656" s="362"/>
    </row>
    <row r="657" spans="14:17" ht="24.95" customHeight="1">
      <c r="N657" s="362"/>
      <c r="O657" s="362"/>
      <c r="P657" s="362"/>
      <c r="Q657" s="362"/>
    </row>
    <row r="658" spans="14:17" ht="24.95" customHeight="1">
      <c r="N658" s="362"/>
      <c r="O658" s="362"/>
      <c r="P658" s="362"/>
      <c r="Q658" s="362"/>
    </row>
    <row r="659" spans="14:17" ht="24.95" customHeight="1">
      <c r="N659" s="362"/>
      <c r="O659" s="362"/>
      <c r="P659" s="362"/>
      <c r="Q659" s="362"/>
    </row>
    <row r="660" spans="14:17" ht="24.95" customHeight="1">
      <c r="N660" s="362"/>
      <c r="O660" s="362"/>
      <c r="P660" s="362"/>
      <c r="Q660" s="362"/>
    </row>
    <row r="661" spans="14:17" ht="24.95" customHeight="1">
      <c r="N661" s="362"/>
      <c r="O661" s="362"/>
      <c r="P661" s="362"/>
      <c r="Q661" s="362"/>
    </row>
    <row r="662" spans="14:17" ht="24.95" customHeight="1">
      <c r="N662" s="362"/>
      <c r="O662" s="362"/>
      <c r="P662" s="362"/>
      <c r="Q662" s="362"/>
    </row>
    <row r="663" spans="14:17" ht="24.95" customHeight="1">
      <c r="N663" s="362"/>
      <c r="O663" s="362"/>
      <c r="P663" s="362"/>
      <c r="Q663" s="362"/>
    </row>
    <row r="664" spans="14:17" ht="24.95" customHeight="1">
      <c r="N664" s="362"/>
      <c r="O664" s="362"/>
      <c r="P664" s="362"/>
      <c r="Q664" s="362"/>
    </row>
    <row r="665" spans="14:17" ht="24.95" customHeight="1">
      <c r="N665" s="362"/>
      <c r="O665" s="362"/>
      <c r="P665" s="362"/>
      <c r="Q665" s="362"/>
    </row>
    <row r="666" spans="14:17" ht="24.95" customHeight="1">
      <c r="N666" s="362"/>
      <c r="O666" s="362"/>
      <c r="P666" s="362"/>
      <c r="Q666" s="362"/>
    </row>
    <row r="667" spans="14:17" ht="24.95" customHeight="1">
      <c r="N667" s="362"/>
      <c r="O667" s="362"/>
      <c r="P667" s="362"/>
      <c r="Q667" s="362"/>
    </row>
    <row r="668" spans="14:17" ht="24.95" customHeight="1">
      <c r="N668" s="362"/>
      <c r="O668" s="362"/>
      <c r="P668" s="362"/>
      <c r="Q668" s="362"/>
    </row>
    <row r="669" spans="14:17" ht="24.95" customHeight="1">
      <c r="N669" s="362"/>
      <c r="O669" s="362"/>
      <c r="P669" s="362"/>
      <c r="Q669" s="362"/>
    </row>
    <row r="670" spans="14:17" ht="24.95" customHeight="1">
      <c r="N670" s="362"/>
      <c r="O670" s="362"/>
      <c r="P670" s="362"/>
      <c r="Q670" s="362"/>
    </row>
    <row r="671" spans="14:17" ht="24.95" customHeight="1">
      <c r="N671" s="362"/>
      <c r="O671" s="362"/>
      <c r="P671" s="362"/>
      <c r="Q671" s="362"/>
    </row>
    <row r="672" spans="14:17" ht="24.95" customHeight="1">
      <c r="N672" s="362"/>
      <c r="O672" s="362"/>
      <c r="P672" s="362"/>
      <c r="Q672" s="362"/>
    </row>
    <row r="673" spans="14:17" ht="24.95" customHeight="1">
      <c r="N673" s="362"/>
      <c r="O673" s="362"/>
      <c r="P673" s="362"/>
      <c r="Q673" s="362"/>
    </row>
    <row r="674" spans="14:17" ht="24.95" customHeight="1">
      <c r="N674" s="362"/>
      <c r="O674" s="362"/>
      <c r="P674" s="362"/>
      <c r="Q674" s="362"/>
    </row>
    <row r="675" spans="14:17" ht="24.95" customHeight="1">
      <c r="N675" s="362"/>
      <c r="O675" s="362"/>
      <c r="P675" s="362"/>
      <c r="Q675" s="362"/>
    </row>
    <row r="676" spans="14:17" ht="24.95" customHeight="1">
      <c r="N676" s="362"/>
      <c r="O676" s="362"/>
      <c r="P676" s="362"/>
      <c r="Q676" s="362"/>
    </row>
    <row r="677" spans="14:17" ht="24.95" customHeight="1">
      <c r="N677" s="362"/>
      <c r="O677" s="362"/>
      <c r="P677" s="362"/>
      <c r="Q677" s="362"/>
    </row>
    <row r="678" spans="14:17" ht="24.95" customHeight="1">
      <c r="N678" s="362"/>
      <c r="O678" s="362"/>
      <c r="P678" s="362"/>
      <c r="Q678" s="362"/>
    </row>
    <row r="679" spans="14:17" ht="24.95" customHeight="1">
      <c r="N679" s="362"/>
      <c r="O679" s="362"/>
      <c r="P679" s="362"/>
      <c r="Q679" s="362"/>
    </row>
    <row r="680" spans="14:17" ht="24.95" customHeight="1">
      <c r="N680" s="362"/>
      <c r="O680" s="362"/>
      <c r="P680" s="362"/>
      <c r="Q680" s="362"/>
    </row>
    <row r="681" spans="14:17" ht="24.95" customHeight="1">
      <c r="N681" s="362"/>
      <c r="O681" s="362"/>
      <c r="P681" s="362"/>
      <c r="Q681" s="362"/>
    </row>
    <row r="682" spans="14:17" ht="24.95" customHeight="1">
      <c r="N682" s="362"/>
      <c r="O682" s="362"/>
      <c r="P682" s="362"/>
      <c r="Q682" s="362"/>
    </row>
    <row r="683" spans="14:17" ht="24.95" customHeight="1">
      <c r="N683" s="362"/>
      <c r="O683" s="362"/>
      <c r="P683" s="362"/>
      <c r="Q683" s="362"/>
    </row>
    <row r="684" spans="14:17" ht="24.95" customHeight="1">
      <c r="N684" s="362"/>
      <c r="O684" s="362"/>
      <c r="P684" s="362"/>
      <c r="Q684" s="362"/>
    </row>
    <row r="685" spans="14:17" ht="24.95" customHeight="1">
      <c r="N685" s="362"/>
      <c r="O685" s="362"/>
      <c r="P685" s="362"/>
      <c r="Q685" s="362"/>
    </row>
    <row r="686" spans="14:17" ht="24.95" customHeight="1">
      <c r="N686" s="362"/>
      <c r="O686" s="362"/>
      <c r="P686" s="362"/>
      <c r="Q686" s="362"/>
    </row>
    <row r="687" spans="14:17" ht="24.95" customHeight="1">
      <c r="N687" s="362"/>
      <c r="O687" s="362"/>
      <c r="P687" s="362"/>
      <c r="Q687" s="362"/>
    </row>
    <row r="688" spans="14:17" ht="24.95" customHeight="1">
      <c r="N688" s="362"/>
      <c r="O688" s="362"/>
      <c r="P688" s="362"/>
      <c r="Q688" s="362"/>
    </row>
    <row r="689" spans="14:17" ht="24.95" customHeight="1">
      <c r="N689" s="362"/>
      <c r="O689" s="362"/>
      <c r="P689" s="362"/>
      <c r="Q689" s="362"/>
    </row>
    <row r="690" spans="14:17" ht="24.95" customHeight="1">
      <c r="N690" s="362"/>
      <c r="O690" s="362"/>
      <c r="P690" s="362"/>
      <c r="Q690" s="362"/>
    </row>
    <row r="691" spans="14:17" ht="24.95" customHeight="1">
      <c r="N691" s="362"/>
      <c r="O691" s="362"/>
      <c r="P691" s="362"/>
      <c r="Q691" s="362"/>
    </row>
    <row r="692" spans="14:17" ht="24.95" customHeight="1">
      <c r="N692" s="362"/>
      <c r="O692" s="362"/>
      <c r="P692" s="362"/>
      <c r="Q692" s="362"/>
    </row>
    <row r="693" spans="14:17" ht="24.95" customHeight="1">
      <c r="N693" s="362"/>
      <c r="O693" s="362"/>
      <c r="P693" s="362"/>
      <c r="Q693" s="362"/>
    </row>
    <row r="694" spans="14:17" ht="24.95" customHeight="1">
      <c r="N694" s="362"/>
      <c r="O694" s="362"/>
      <c r="P694" s="362"/>
      <c r="Q694" s="362"/>
    </row>
    <row r="695" spans="14:17" ht="24.95" customHeight="1">
      <c r="N695" s="362"/>
      <c r="O695" s="362"/>
      <c r="P695" s="362"/>
      <c r="Q695" s="362"/>
    </row>
    <row r="696" spans="14:17" ht="24.95" customHeight="1">
      <c r="N696" s="362"/>
      <c r="O696" s="362"/>
      <c r="P696" s="362"/>
      <c r="Q696" s="362"/>
    </row>
    <row r="697" spans="14:17" ht="24.95" customHeight="1">
      <c r="N697" s="362"/>
      <c r="O697" s="362"/>
      <c r="P697" s="362"/>
      <c r="Q697" s="362"/>
    </row>
    <row r="698" spans="14:17" ht="24.95" customHeight="1">
      <c r="N698" s="362"/>
      <c r="O698" s="362"/>
      <c r="P698" s="362"/>
      <c r="Q698" s="362"/>
    </row>
    <row r="699" spans="14:17" ht="24.95" customHeight="1">
      <c r="N699" s="362"/>
      <c r="O699" s="362"/>
      <c r="P699" s="362"/>
      <c r="Q699" s="362"/>
    </row>
    <row r="700" spans="14:17" ht="24.95" customHeight="1">
      <c r="N700" s="362"/>
      <c r="O700" s="362"/>
      <c r="P700" s="362"/>
      <c r="Q700" s="362"/>
    </row>
    <row r="701" spans="14:17" ht="24.95" customHeight="1">
      <c r="N701" s="362"/>
      <c r="O701" s="362"/>
      <c r="P701" s="362"/>
      <c r="Q701" s="362"/>
    </row>
    <row r="702" spans="14:17" ht="24.95" customHeight="1">
      <c r="N702" s="362"/>
      <c r="O702" s="362"/>
      <c r="P702" s="362"/>
      <c r="Q702" s="362"/>
    </row>
    <row r="703" spans="14:17" ht="24.95" customHeight="1">
      <c r="N703" s="362"/>
      <c r="O703" s="362"/>
      <c r="P703" s="362"/>
      <c r="Q703" s="362"/>
    </row>
    <row r="704" spans="14:17" ht="24.95" customHeight="1">
      <c r="N704" s="362"/>
      <c r="O704" s="362"/>
      <c r="P704" s="362"/>
      <c r="Q704" s="362"/>
    </row>
    <row r="705" spans="14:17" ht="24.95" customHeight="1">
      <c r="N705" s="362"/>
      <c r="O705" s="362"/>
      <c r="P705" s="362"/>
      <c r="Q705" s="362"/>
    </row>
    <row r="706" spans="14:17" ht="24.95" customHeight="1">
      <c r="N706" s="362"/>
      <c r="O706" s="362"/>
      <c r="P706" s="362"/>
      <c r="Q706" s="362"/>
    </row>
    <row r="707" spans="14:17" ht="24.95" customHeight="1">
      <c r="N707" s="362"/>
      <c r="O707" s="362"/>
      <c r="P707" s="362"/>
      <c r="Q707" s="362"/>
    </row>
    <row r="708" spans="14:17" ht="24.95" customHeight="1">
      <c r="N708" s="362"/>
      <c r="O708" s="362"/>
      <c r="P708" s="362"/>
      <c r="Q708" s="362"/>
    </row>
    <row r="709" spans="14:17" ht="24.95" customHeight="1">
      <c r="N709" s="362"/>
      <c r="O709" s="362"/>
      <c r="P709" s="362"/>
      <c r="Q709" s="362"/>
    </row>
    <row r="710" spans="14:17" ht="24.95" customHeight="1">
      <c r="N710" s="362"/>
      <c r="O710" s="362"/>
      <c r="P710" s="362"/>
      <c r="Q710" s="362"/>
    </row>
    <row r="711" spans="14:17" ht="24.95" customHeight="1">
      <c r="N711" s="362"/>
      <c r="O711" s="362"/>
      <c r="P711" s="362"/>
      <c r="Q711" s="362"/>
    </row>
    <row r="712" spans="14:17" ht="24.95" customHeight="1">
      <c r="N712" s="362"/>
      <c r="O712" s="362"/>
      <c r="P712" s="362"/>
      <c r="Q712" s="362"/>
    </row>
    <row r="713" spans="14:17" ht="24.95" customHeight="1">
      <c r="N713" s="362"/>
      <c r="O713" s="362"/>
      <c r="P713" s="362"/>
      <c r="Q713" s="362"/>
    </row>
    <row r="714" spans="14:17" ht="24.95" customHeight="1">
      <c r="N714" s="362"/>
      <c r="O714" s="362"/>
      <c r="P714" s="362"/>
      <c r="Q714" s="362"/>
    </row>
    <row r="715" spans="14:17" ht="24.95" customHeight="1">
      <c r="N715" s="362"/>
      <c r="O715" s="362"/>
      <c r="P715" s="362"/>
      <c r="Q715" s="362"/>
    </row>
    <row r="716" spans="14:17" ht="24.95" customHeight="1">
      <c r="N716" s="362"/>
      <c r="O716" s="362"/>
      <c r="P716" s="362"/>
      <c r="Q716" s="362"/>
    </row>
    <row r="717" spans="14:17" ht="24.95" customHeight="1">
      <c r="N717" s="362"/>
      <c r="O717" s="362"/>
      <c r="P717" s="362"/>
      <c r="Q717" s="362"/>
    </row>
    <row r="718" spans="14:17" ht="24.95" customHeight="1">
      <c r="N718" s="362"/>
      <c r="O718" s="362"/>
      <c r="P718" s="362"/>
      <c r="Q718" s="362"/>
    </row>
    <row r="719" spans="14:17" ht="24.95" customHeight="1">
      <c r="N719" s="362"/>
      <c r="O719" s="362"/>
      <c r="P719" s="362"/>
      <c r="Q719" s="362"/>
    </row>
    <row r="720" spans="14:17" ht="24.95" customHeight="1">
      <c r="N720" s="362"/>
      <c r="O720" s="362"/>
      <c r="P720" s="362"/>
      <c r="Q720" s="362"/>
    </row>
    <row r="721" spans="14:17" ht="24.95" customHeight="1">
      <c r="N721" s="362"/>
      <c r="O721" s="362"/>
      <c r="P721" s="362"/>
      <c r="Q721" s="362"/>
    </row>
    <row r="722" spans="14:17" ht="24.95" customHeight="1">
      <c r="N722" s="362"/>
      <c r="O722" s="362"/>
      <c r="P722" s="362"/>
      <c r="Q722" s="362"/>
    </row>
    <row r="723" spans="14:17" ht="24.95" customHeight="1">
      <c r="N723" s="362"/>
      <c r="O723" s="362"/>
      <c r="P723" s="362"/>
      <c r="Q723" s="362"/>
    </row>
    <row r="724" spans="14:17" ht="24.95" customHeight="1">
      <c r="N724" s="362"/>
      <c r="O724" s="362"/>
      <c r="P724" s="362"/>
      <c r="Q724" s="362"/>
    </row>
    <row r="725" spans="14:17" ht="24.95" customHeight="1">
      <c r="N725" s="362"/>
      <c r="O725" s="362"/>
      <c r="P725" s="362"/>
      <c r="Q725" s="362"/>
    </row>
    <row r="726" spans="14:17" ht="24.95" customHeight="1">
      <c r="N726" s="362"/>
      <c r="O726" s="362"/>
      <c r="P726" s="362"/>
      <c r="Q726" s="362"/>
    </row>
    <row r="727" spans="14:17" ht="24.95" customHeight="1">
      <c r="N727" s="362"/>
      <c r="O727" s="362"/>
      <c r="P727" s="362"/>
      <c r="Q727" s="362"/>
    </row>
    <row r="728" spans="14:17" ht="24.95" customHeight="1">
      <c r="N728" s="362"/>
      <c r="O728" s="362"/>
      <c r="P728" s="362"/>
      <c r="Q728" s="362"/>
    </row>
    <row r="729" spans="14:17" ht="24.95" customHeight="1">
      <c r="N729" s="362"/>
      <c r="O729" s="362"/>
      <c r="P729" s="362"/>
      <c r="Q729" s="362"/>
    </row>
    <row r="730" spans="14:17" ht="24.95" customHeight="1">
      <c r="N730" s="362"/>
      <c r="O730" s="362"/>
      <c r="P730" s="362"/>
      <c r="Q730" s="362"/>
    </row>
    <row r="731" spans="14:17" ht="24.95" customHeight="1">
      <c r="N731" s="362"/>
      <c r="O731" s="362"/>
      <c r="P731" s="362"/>
      <c r="Q731" s="362"/>
    </row>
    <row r="732" spans="14:17" ht="24.95" customHeight="1">
      <c r="N732" s="362"/>
      <c r="O732" s="362"/>
      <c r="P732" s="362"/>
      <c r="Q732" s="362"/>
    </row>
    <row r="733" spans="14:17" ht="24.95" customHeight="1">
      <c r="N733" s="362"/>
      <c r="O733" s="362"/>
      <c r="P733" s="362"/>
      <c r="Q733" s="362"/>
    </row>
    <row r="734" spans="14:17" ht="24.95" customHeight="1">
      <c r="N734" s="362"/>
      <c r="O734" s="362"/>
      <c r="P734" s="362"/>
      <c r="Q734" s="362"/>
    </row>
    <row r="735" spans="14:17" ht="24.95" customHeight="1">
      <c r="N735" s="362"/>
      <c r="O735" s="362"/>
      <c r="P735" s="362"/>
      <c r="Q735" s="362"/>
    </row>
    <row r="736" spans="14:17" ht="24.95" customHeight="1">
      <c r="N736" s="362"/>
      <c r="O736" s="362"/>
      <c r="P736" s="362"/>
      <c r="Q736" s="362"/>
    </row>
    <row r="737" spans="14:17" ht="24.95" customHeight="1">
      <c r="N737" s="362"/>
      <c r="O737" s="362"/>
      <c r="P737" s="362"/>
      <c r="Q737" s="362"/>
    </row>
    <row r="738" spans="14:17" ht="24.95" customHeight="1">
      <c r="N738" s="362"/>
      <c r="O738" s="362"/>
      <c r="P738" s="362"/>
      <c r="Q738" s="362"/>
    </row>
    <row r="739" spans="14:17" ht="24.95" customHeight="1">
      <c r="N739" s="362"/>
      <c r="O739" s="362"/>
      <c r="P739" s="362"/>
      <c r="Q739" s="362"/>
    </row>
    <row r="740" spans="14:17" ht="24.95" customHeight="1">
      <c r="N740" s="362"/>
      <c r="O740" s="362"/>
      <c r="P740" s="362"/>
      <c r="Q740" s="362"/>
    </row>
    <row r="741" spans="14:17" ht="24.95" customHeight="1">
      <c r="N741" s="362"/>
      <c r="O741" s="362"/>
      <c r="P741" s="362"/>
      <c r="Q741" s="362"/>
    </row>
    <row r="742" spans="14:17" ht="24.95" customHeight="1">
      <c r="N742" s="362"/>
      <c r="O742" s="362"/>
      <c r="P742" s="362"/>
      <c r="Q742" s="362"/>
    </row>
    <row r="743" spans="14:17" ht="24.95" customHeight="1">
      <c r="N743" s="362"/>
      <c r="O743" s="362"/>
      <c r="P743" s="362"/>
      <c r="Q743" s="362"/>
    </row>
    <row r="744" spans="14:17" ht="24.95" customHeight="1">
      <c r="N744" s="362"/>
      <c r="O744" s="362"/>
      <c r="P744" s="362"/>
      <c r="Q744" s="362"/>
    </row>
    <row r="745" spans="14:17" ht="24.95" customHeight="1">
      <c r="N745" s="362"/>
      <c r="O745" s="362"/>
      <c r="P745" s="362"/>
      <c r="Q745" s="362"/>
    </row>
    <row r="746" spans="14:17" ht="24.95" customHeight="1">
      <c r="N746" s="362"/>
      <c r="O746" s="362"/>
      <c r="P746" s="362"/>
      <c r="Q746" s="362"/>
    </row>
    <row r="747" spans="14:17" ht="24.95" customHeight="1">
      <c r="N747" s="362"/>
      <c r="O747" s="362"/>
      <c r="P747" s="362"/>
      <c r="Q747" s="362"/>
    </row>
    <row r="748" spans="14:17" ht="24.95" customHeight="1">
      <c r="N748" s="362"/>
      <c r="O748" s="362"/>
      <c r="P748" s="362"/>
      <c r="Q748" s="362"/>
    </row>
    <row r="749" spans="14:17" ht="24.95" customHeight="1">
      <c r="N749" s="362"/>
      <c r="O749" s="362"/>
      <c r="P749" s="362"/>
      <c r="Q749" s="362"/>
    </row>
    <row r="750" spans="14:17" ht="24.95" customHeight="1">
      <c r="N750" s="362"/>
      <c r="O750" s="362"/>
      <c r="P750" s="362"/>
      <c r="Q750" s="362"/>
    </row>
    <row r="751" spans="14:17" ht="24.95" customHeight="1">
      <c r="N751" s="362"/>
      <c r="O751" s="362"/>
      <c r="P751" s="362"/>
      <c r="Q751" s="362"/>
    </row>
    <row r="752" spans="14:17" ht="24.95" customHeight="1">
      <c r="N752" s="362"/>
      <c r="O752" s="362"/>
      <c r="P752" s="362"/>
      <c r="Q752" s="362"/>
    </row>
    <row r="753" spans="14:17" ht="24.95" customHeight="1">
      <c r="N753" s="362"/>
      <c r="O753" s="362"/>
      <c r="P753" s="362"/>
      <c r="Q753" s="362"/>
    </row>
    <row r="754" spans="14:17" ht="24.95" customHeight="1">
      <c r="N754" s="362"/>
      <c r="O754" s="362"/>
      <c r="P754" s="362"/>
      <c r="Q754" s="362"/>
    </row>
    <row r="755" spans="14:17" ht="24.95" customHeight="1">
      <c r="N755" s="362"/>
      <c r="O755" s="362"/>
      <c r="P755" s="362"/>
      <c r="Q755" s="362"/>
    </row>
    <row r="756" spans="14:17" ht="24.95" customHeight="1">
      <c r="N756" s="362"/>
      <c r="O756" s="362"/>
      <c r="P756" s="362"/>
      <c r="Q756" s="362"/>
    </row>
    <row r="757" spans="14:17" ht="24.95" customHeight="1">
      <c r="N757" s="362"/>
      <c r="O757" s="362"/>
      <c r="P757" s="362"/>
      <c r="Q757" s="362"/>
    </row>
    <row r="758" spans="14:17" ht="24.95" customHeight="1">
      <c r="N758" s="362"/>
      <c r="O758" s="362"/>
      <c r="P758" s="362"/>
      <c r="Q758" s="362"/>
    </row>
    <row r="759" spans="14:17" ht="24.95" customHeight="1">
      <c r="N759" s="362"/>
      <c r="O759" s="362"/>
      <c r="P759" s="362"/>
      <c r="Q759" s="362"/>
    </row>
    <row r="760" spans="14:17" ht="24.95" customHeight="1">
      <c r="N760" s="362"/>
      <c r="O760" s="362"/>
      <c r="P760" s="362"/>
      <c r="Q760" s="362"/>
    </row>
    <row r="761" spans="14:17" ht="24.95" customHeight="1">
      <c r="N761" s="362"/>
      <c r="O761" s="362"/>
      <c r="P761" s="362"/>
      <c r="Q761" s="362"/>
    </row>
    <row r="762" spans="14:17" ht="24.95" customHeight="1">
      <c r="N762" s="362"/>
      <c r="O762" s="362"/>
      <c r="P762" s="362"/>
      <c r="Q762" s="362"/>
    </row>
    <row r="763" spans="14:17" ht="24.95" customHeight="1">
      <c r="N763" s="362"/>
      <c r="O763" s="362"/>
      <c r="P763" s="362"/>
      <c r="Q763" s="362"/>
    </row>
    <row r="764" spans="14:17" ht="24.95" customHeight="1">
      <c r="N764" s="362"/>
      <c r="O764" s="362"/>
      <c r="P764" s="362"/>
      <c r="Q764" s="362"/>
    </row>
    <row r="765" spans="14:17" ht="24.95" customHeight="1">
      <c r="N765" s="362"/>
      <c r="O765" s="362"/>
      <c r="P765" s="362"/>
      <c r="Q765" s="362"/>
    </row>
    <row r="766" spans="14:17" ht="24.95" customHeight="1">
      <c r="N766" s="362"/>
      <c r="O766" s="362"/>
      <c r="P766" s="362"/>
      <c r="Q766" s="362"/>
    </row>
    <row r="767" spans="14:17" ht="24.95" customHeight="1">
      <c r="N767" s="362"/>
      <c r="O767" s="362"/>
      <c r="P767" s="362"/>
      <c r="Q767" s="362"/>
    </row>
    <row r="768" spans="14:17" ht="24.95" customHeight="1">
      <c r="N768" s="362"/>
      <c r="O768" s="362"/>
      <c r="P768" s="362"/>
      <c r="Q768" s="362"/>
    </row>
    <row r="769" spans="14:17" ht="24.95" customHeight="1">
      <c r="N769" s="362"/>
      <c r="O769" s="362"/>
      <c r="P769" s="362"/>
      <c r="Q769" s="362"/>
    </row>
    <row r="770" spans="14:17" ht="24.95" customHeight="1">
      <c r="N770" s="362"/>
      <c r="O770" s="362"/>
      <c r="P770" s="362"/>
      <c r="Q770" s="362"/>
    </row>
    <row r="771" spans="14:17" ht="24.95" customHeight="1">
      <c r="N771" s="362"/>
      <c r="O771" s="362"/>
      <c r="P771" s="362"/>
      <c r="Q771" s="362"/>
    </row>
    <row r="772" spans="14:17" ht="24.95" customHeight="1">
      <c r="N772" s="362"/>
      <c r="O772" s="362"/>
      <c r="P772" s="362"/>
      <c r="Q772" s="362"/>
    </row>
    <row r="773" spans="14:17" ht="24.95" customHeight="1">
      <c r="N773" s="362"/>
      <c r="O773" s="362"/>
      <c r="P773" s="362"/>
      <c r="Q773" s="362"/>
    </row>
    <row r="774" spans="14:17" ht="24.95" customHeight="1">
      <c r="N774" s="362"/>
      <c r="O774" s="362"/>
      <c r="P774" s="362"/>
      <c r="Q774" s="362"/>
    </row>
    <row r="775" spans="14:17" ht="24.95" customHeight="1">
      <c r="N775" s="362"/>
      <c r="O775" s="362"/>
      <c r="P775" s="362"/>
      <c r="Q775" s="362"/>
    </row>
    <row r="776" spans="14:17" ht="24.95" customHeight="1">
      <c r="N776" s="362"/>
      <c r="O776" s="362"/>
      <c r="P776" s="362"/>
      <c r="Q776" s="362"/>
    </row>
    <row r="777" spans="14:17" ht="24.95" customHeight="1">
      <c r="N777" s="362"/>
      <c r="O777" s="362"/>
      <c r="P777" s="362"/>
      <c r="Q777" s="362"/>
    </row>
    <row r="778" spans="14:17" ht="24.95" customHeight="1">
      <c r="N778" s="362"/>
      <c r="O778" s="362"/>
      <c r="P778" s="362"/>
      <c r="Q778" s="362"/>
    </row>
    <row r="779" spans="14:17" ht="24.95" customHeight="1">
      <c r="N779" s="362"/>
      <c r="O779" s="362"/>
      <c r="P779" s="362"/>
      <c r="Q779" s="362"/>
    </row>
    <row r="780" spans="14:17" ht="24.95" customHeight="1">
      <c r="N780" s="362"/>
      <c r="O780" s="362"/>
      <c r="P780" s="362"/>
      <c r="Q780" s="362"/>
    </row>
    <row r="781" spans="14:17" ht="24.95" customHeight="1">
      <c r="N781" s="362"/>
      <c r="O781" s="362"/>
      <c r="P781" s="362"/>
      <c r="Q781" s="362"/>
    </row>
    <row r="782" spans="14:17" ht="24.95" customHeight="1">
      <c r="N782" s="362"/>
      <c r="O782" s="362"/>
      <c r="P782" s="362"/>
      <c r="Q782" s="362"/>
    </row>
    <row r="783" spans="14:17" ht="24.95" customHeight="1">
      <c r="N783" s="362"/>
      <c r="O783" s="362"/>
      <c r="P783" s="362"/>
      <c r="Q783" s="362"/>
    </row>
    <row r="784" spans="14:17" ht="24.95" customHeight="1">
      <c r="N784" s="362"/>
      <c r="O784" s="362"/>
      <c r="P784" s="362"/>
      <c r="Q784" s="362"/>
    </row>
    <row r="785" spans="14:17" ht="24.95" customHeight="1">
      <c r="N785" s="362"/>
      <c r="O785" s="362"/>
      <c r="P785" s="362"/>
      <c r="Q785" s="362"/>
    </row>
    <row r="786" spans="14:17" ht="24.95" customHeight="1">
      <c r="N786" s="362"/>
      <c r="O786" s="362"/>
      <c r="P786" s="362"/>
      <c r="Q786" s="362"/>
    </row>
    <row r="787" spans="14:17" ht="24.95" customHeight="1">
      <c r="N787" s="362"/>
      <c r="O787" s="362"/>
      <c r="P787" s="362"/>
      <c r="Q787" s="362"/>
    </row>
    <row r="788" spans="14:17" ht="24.95" customHeight="1">
      <c r="N788" s="362"/>
      <c r="O788" s="362"/>
      <c r="P788" s="362"/>
      <c r="Q788" s="362"/>
    </row>
    <row r="789" spans="14:17" ht="24.95" customHeight="1">
      <c r="N789" s="362"/>
      <c r="O789" s="362"/>
      <c r="P789" s="362"/>
      <c r="Q789" s="362"/>
    </row>
    <row r="790" spans="14:17" ht="24.95" customHeight="1">
      <c r="N790" s="362"/>
      <c r="O790" s="362"/>
      <c r="P790" s="362"/>
      <c r="Q790" s="362"/>
    </row>
    <row r="791" spans="14:17" ht="24.95" customHeight="1">
      <c r="N791" s="362"/>
      <c r="O791" s="362"/>
      <c r="P791" s="362"/>
      <c r="Q791" s="362"/>
    </row>
    <row r="792" spans="14:17" ht="24.95" customHeight="1">
      <c r="N792" s="362"/>
      <c r="O792" s="362"/>
      <c r="P792" s="362"/>
      <c r="Q792" s="362"/>
    </row>
    <row r="793" spans="14:17" ht="24.95" customHeight="1">
      <c r="N793" s="362"/>
      <c r="O793" s="362"/>
      <c r="P793" s="362"/>
      <c r="Q793" s="362"/>
    </row>
    <row r="794" spans="14:17" ht="24.95" customHeight="1">
      <c r="N794" s="362"/>
      <c r="O794" s="362"/>
      <c r="P794" s="362"/>
      <c r="Q794" s="362"/>
    </row>
    <row r="795" spans="14:17" ht="24.95" customHeight="1">
      <c r="N795" s="362"/>
      <c r="O795" s="362"/>
      <c r="P795" s="362"/>
      <c r="Q795" s="362"/>
    </row>
    <row r="796" spans="14:17" ht="24.95" customHeight="1">
      <c r="N796" s="362"/>
      <c r="O796" s="362"/>
      <c r="P796" s="362"/>
      <c r="Q796" s="362"/>
    </row>
    <row r="797" spans="14:17" ht="24.95" customHeight="1">
      <c r="N797" s="362"/>
      <c r="O797" s="362"/>
      <c r="P797" s="362"/>
      <c r="Q797" s="362"/>
    </row>
    <row r="798" spans="14:17" ht="24.95" customHeight="1">
      <c r="N798" s="362"/>
      <c r="O798" s="362"/>
      <c r="P798" s="362"/>
      <c r="Q798" s="362"/>
    </row>
    <row r="799" spans="14:17" ht="24.95" customHeight="1">
      <c r="N799" s="362"/>
      <c r="O799" s="362"/>
      <c r="P799" s="362"/>
      <c r="Q799" s="362"/>
    </row>
    <row r="800" spans="14:17" ht="24.95" customHeight="1">
      <c r="N800" s="362"/>
      <c r="O800" s="362"/>
      <c r="P800" s="362"/>
      <c r="Q800" s="362"/>
    </row>
    <row r="801" spans="14:17" ht="24.95" customHeight="1">
      <c r="N801" s="362"/>
      <c r="O801" s="362"/>
      <c r="P801" s="362"/>
      <c r="Q801" s="362"/>
    </row>
    <row r="802" spans="14:17" ht="24.95" customHeight="1">
      <c r="N802" s="362"/>
      <c r="O802" s="362"/>
      <c r="P802" s="362"/>
      <c r="Q802" s="362"/>
    </row>
    <row r="803" spans="14:17" ht="24.95" customHeight="1">
      <c r="N803" s="362"/>
      <c r="O803" s="362"/>
      <c r="P803" s="362"/>
      <c r="Q803" s="362"/>
    </row>
    <row r="804" spans="14:17" ht="24.95" customHeight="1">
      <c r="N804" s="362"/>
      <c r="O804" s="362"/>
      <c r="P804" s="362"/>
      <c r="Q804" s="362"/>
    </row>
    <row r="805" spans="14:17" ht="24.95" customHeight="1">
      <c r="N805" s="362"/>
      <c r="O805" s="362"/>
      <c r="P805" s="362"/>
      <c r="Q805" s="362"/>
    </row>
    <row r="806" spans="14:17" ht="24.95" customHeight="1">
      <c r="N806" s="362"/>
      <c r="O806" s="362"/>
      <c r="P806" s="362"/>
      <c r="Q806" s="362"/>
    </row>
    <row r="807" spans="14:17" ht="24.95" customHeight="1">
      <c r="N807" s="362"/>
      <c r="O807" s="362"/>
      <c r="P807" s="362"/>
      <c r="Q807" s="362"/>
    </row>
    <row r="808" spans="14:17" ht="24.95" customHeight="1">
      <c r="N808" s="362"/>
      <c r="O808" s="362"/>
      <c r="P808" s="362"/>
      <c r="Q808" s="362"/>
    </row>
    <row r="809" spans="14:17" ht="24.95" customHeight="1">
      <c r="N809" s="362"/>
      <c r="O809" s="362"/>
      <c r="P809" s="362"/>
      <c r="Q809" s="362"/>
    </row>
    <row r="810" spans="14:17" ht="24.95" customHeight="1">
      <c r="N810" s="362"/>
      <c r="O810" s="362"/>
      <c r="P810" s="362"/>
      <c r="Q810" s="362"/>
    </row>
    <row r="811" spans="14:17" ht="24.95" customHeight="1">
      <c r="N811" s="362"/>
      <c r="O811" s="362"/>
      <c r="P811" s="362"/>
      <c r="Q811" s="362"/>
    </row>
    <row r="812" spans="14:17" ht="24.95" customHeight="1">
      <c r="N812" s="362"/>
      <c r="O812" s="362"/>
      <c r="P812" s="362"/>
      <c r="Q812" s="362"/>
    </row>
    <row r="813" spans="14:17" ht="24.95" customHeight="1">
      <c r="N813" s="362"/>
      <c r="O813" s="362"/>
      <c r="P813" s="362"/>
      <c r="Q813" s="362"/>
    </row>
    <row r="814" spans="14:17" ht="24.95" customHeight="1">
      <c r="N814" s="362"/>
      <c r="O814" s="362"/>
      <c r="P814" s="362"/>
      <c r="Q814" s="362"/>
    </row>
    <row r="815" spans="14:17" ht="24.95" customHeight="1">
      <c r="N815" s="362"/>
      <c r="O815" s="362"/>
      <c r="P815" s="362"/>
      <c r="Q815" s="362"/>
    </row>
    <row r="816" spans="14:17" ht="24.95" customHeight="1">
      <c r="N816" s="362"/>
      <c r="O816" s="362"/>
      <c r="P816" s="362"/>
      <c r="Q816" s="362"/>
    </row>
    <row r="817" spans="14:17" ht="24.95" customHeight="1">
      <c r="N817" s="362"/>
      <c r="O817" s="362"/>
      <c r="P817" s="362"/>
      <c r="Q817" s="362"/>
    </row>
    <row r="818" spans="14:17" ht="24.95" customHeight="1">
      <c r="N818" s="362"/>
      <c r="O818" s="362"/>
      <c r="P818" s="362"/>
      <c r="Q818" s="362"/>
    </row>
    <row r="819" spans="14:17" ht="24.95" customHeight="1">
      <c r="N819" s="362"/>
      <c r="O819" s="362"/>
      <c r="P819" s="362"/>
      <c r="Q819" s="362"/>
    </row>
    <row r="820" spans="14:17" ht="24.95" customHeight="1">
      <c r="N820" s="362"/>
      <c r="O820" s="362"/>
      <c r="P820" s="362"/>
      <c r="Q820" s="362"/>
    </row>
    <row r="821" spans="14:17" ht="24.95" customHeight="1">
      <c r="N821" s="362"/>
      <c r="O821" s="362"/>
      <c r="P821" s="362"/>
      <c r="Q821" s="362"/>
    </row>
    <row r="822" spans="14:17" ht="24.95" customHeight="1">
      <c r="N822" s="362"/>
      <c r="O822" s="362"/>
      <c r="P822" s="362"/>
      <c r="Q822" s="362"/>
    </row>
    <row r="823" spans="14:17" ht="24.95" customHeight="1">
      <c r="N823" s="362"/>
      <c r="O823" s="362"/>
      <c r="P823" s="362"/>
      <c r="Q823" s="362"/>
    </row>
    <row r="824" spans="14:17" ht="24.95" customHeight="1">
      <c r="N824" s="362"/>
      <c r="O824" s="362"/>
      <c r="P824" s="362"/>
      <c r="Q824" s="362"/>
    </row>
    <row r="825" spans="14:17" ht="24.95" customHeight="1">
      <c r="N825" s="362"/>
      <c r="O825" s="362"/>
      <c r="P825" s="362"/>
      <c r="Q825" s="362"/>
    </row>
    <row r="826" spans="14:17" ht="24.95" customHeight="1">
      <c r="N826" s="362"/>
      <c r="O826" s="362"/>
      <c r="P826" s="362"/>
      <c r="Q826" s="362"/>
    </row>
    <row r="827" spans="14:17" ht="24.95" customHeight="1">
      <c r="N827" s="362"/>
      <c r="O827" s="362"/>
      <c r="P827" s="362"/>
      <c r="Q827" s="362"/>
    </row>
    <row r="828" spans="14:17" ht="24.95" customHeight="1">
      <c r="N828" s="362"/>
      <c r="O828" s="362"/>
      <c r="P828" s="362"/>
      <c r="Q828" s="362"/>
    </row>
    <row r="829" spans="14:17" ht="24.95" customHeight="1">
      <c r="N829" s="362"/>
      <c r="O829" s="362"/>
      <c r="P829" s="362"/>
      <c r="Q829" s="362"/>
    </row>
    <row r="830" spans="14:17" ht="24.95" customHeight="1">
      <c r="N830" s="362"/>
      <c r="O830" s="362"/>
      <c r="P830" s="362"/>
      <c r="Q830" s="362"/>
    </row>
    <row r="831" spans="14:17" ht="24.95" customHeight="1">
      <c r="N831" s="362"/>
      <c r="O831" s="362"/>
      <c r="P831" s="362"/>
      <c r="Q831" s="362"/>
    </row>
    <row r="832" spans="14:17" ht="24.95" customHeight="1">
      <c r="N832" s="362"/>
      <c r="O832" s="362"/>
      <c r="P832" s="362"/>
      <c r="Q832" s="362"/>
    </row>
    <row r="833" spans="14:17" ht="24.95" customHeight="1">
      <c r="N833" s="362"/>
      <c r="O833" s="362"/>
      <c r="P833" s="362"/>
      <c r="Q833" s="362"/>
    </row>
    <row r="834" spans="14:17" ht="24.95" customHeight="1">
      <c r="N834" s="362"/>
      <c r="O834" s="362"/>
      <c r="P834" s="362"/>
      <c r="Q834" s="362"/>
    </row>
    <row r="835" spans="14:17" ht="24.95" customHeight="1">
      <c r="N835" s="362"/>
      <c r="O835" s="362"/>
      <c r="P835" s="362"/>
      <c r="Q835" s="362"/>
    </row>
    <row r="836" spans="14:17" ht="24.95" customHeight="1">
      <c r="N836" s="362"/>
      <c r="O836" s="362"/>
      <c r="P836" s="362"/>
      <c r="Q836" s="362"/>
    </row>
    <row r="837" spans="14:17" ht="24.95" customHeight="1">
      <c r="N837" s="362"/>
      <c r="O837" s="362"/>
      <c r="P837" s="362"/>
      <c r="Q837" s="362"/>
    </row>
    <row r="838" spans="14:17" ht="24.95" customHeight="1">
      <c r="N838" s="362"/>
      <c r="O838" s="362"/>
      <c r="P838" s="362"/>
      <c r="Q838" s="362"/>
    </row>
    <row r="839" spans="14:17" ht="24.95" customHeight="1">
      <c r="N839" s="362"/>
      <c r="O839" s="362"/>
      <c r="P839" s="362"/>
      <c r="Q839" s="362"/>
    </row>
    <row r="840" spans="14:17" ht="24.95" customHeight="1">
      <c r="N840" s="362"/>
      <c r="O840" s="362"/>
      <c r="P840" s="362"/>
      <c r="Q840" s="362"/>
    </row>
    <row r="841" spans="14:17" ht="24.95" customHeight="1">
      <c r="N841" s="362"/>
      <c r="O841" s="362"/>
      <c r="P841" s="362"/>
      <c r="Q841" s="362"/>
    </row>
    <row r="842" spans="14:17" ht="24.95" customHeight="1">
      <c r="N842" s="362"/>
      <c r="O842" s="362"/>
      <c r="P842" s="362"/>
      <c r="Q842" s="362"/>
    </row>
    <row r="843" spans="14:17" ht="24.95" customHeight="1">
      <c r="N843" s="362"/>
      <c r="O843" s="362"/>
      <c r="P843" s="362"/>
      <c r="Q843" s="362"/>
    </row>
    <row r="844" spans="14:17" ht="24.95" customHeight="1">
      <c r="N844" s="362"/>
      <c r="O844" s="362"/>
      <c r="P844" s="362"/>
      <c r="Q844" s="362"/>
    </row>
    <row r="845" spans="14:17" ht="24.95" customHeight="1">
      <c r="N845" s="362"/>
      <c r="O845" s="362"/>
      <c r="P845" s="362"/>
      <c r="Q845" s="362"/>
    </row>
    <row r="846" spans="14:17" ht="24.95" customHeight="1">
      <c r="N846" s="362"/>
      <c r="O846" s="362"/>
      <c r="P846" s="362"/>
      <c r="Q846" s="362"/>
    </row>
    <row r="847" spans="14:17" ht="24.95" customHeight="1">
      <c r="N847" s="362"/>
      <c r="O847" s="362"/>
      <c r="P847" s="362"/>
      <c r="Q847" s="362"/>
    </row>
    <row r="848" spans="14:17" ht="24.95" customHeight="1">
      <c r="N848" s="362"/>
      <c r="O848" s="362"/>
      <c r="P848" s="362"/>
      <c r="Q848" s="362"/>
    </row>
    <row r="849" spans="14:17" ht="24.95" customHeight="1">
      <c r="N849" s="362"/>
      <c r="O849" s="362"/>
      <c r="P849" s="362"/>
      <c r="Q849" s="362"/>
    </row>
    <row r="850" spans="14:17" ht="24.95" customHeight="1">
      <c r="N850" s="362"/>
      <c r="O850" s="362"/>
      <c r="P850" s="362"/>
      <c r="Q850" s="362"/>
    </row>
    <row r="851" spans="14:17" ht="24.95" customHeight="1">
      <c r="N851" s="362"/>
      <c r="O851" s="362"/>
      <c r="P851" s="362"/>
      <c r="Q851" s="362"/>
    </row>
    <row r="852" spans="14:17" ht="24.95" customHeight="1">
      <c r="N852" s="362"/>
      <c r="O852" s="362"/>
      <c r="P852" s="362"/>
      <c r="Q852" s="362"/>
    </row>
    <row r="853" spans="14:17" ht="24.95" customHeight="1">
      <c r="N853" s="362"/>
      <c r="O853" s="362"/>
      <c r="P853" s="362"/>
      <c r="Q853" s="362"/>
    </row>
    <row r="854" spans="14:17" ht="24.95" customHeight="1">
      <c r="N854" s="362"/>
      <c r="O854" s="362"/>
      <c r="P854" s="362"/>
      <c r="Q854" s="362"/>
    </row>
    <row r="855" spans="14:17" ht="24.95" customHeight="1">
      <c r="N855" s="362"/>
      <c r="O855" s="362"/>
      <c r="P855" s="362"/>
      <c r="Q855" s="362"/>
    </row>
    <row r="856" spans="14:17" ht="24.95" customHeight="1">
      <c r="N856" s="362"/>
      <c r="O856" s="362"/>
      <c r="P856" s="362"/>
      <c r="Q856" s="362"/>
    </row>
    <row r="857" spans="14:17" ht="24.95" customHeight="1">
      <c r="N857" s="362"/>
      <c r="O857" s="362"/>
      <c r="P857" s="362"/>
      <c r="Q857" s="362"/>
    </row>
    <row r="858" spans="14:17" ht="24.95" customHeight="1">
      <c r="N858" s="362"/>
      <c r="O858" s="362"/>
      <c r="P858" s="362"/>
      <c r="Q858" s="362"/>
    </row>
    <row r="859" spans="14:17" ht="24.95" customHeight="1">
      <c r="N859" s="362"/>
      <c r="O859" s="362"/>
      <c r="P859" s="362"/>
      <c r="Q859" s="362"/>
    </row>
    <row r="860" spans="14:17" ht="24.95" customHeight="1">
      <c r="N860" s="362"/>
      <c r="O860" s="362"/>
      <c r="P860" s="362"/>
      <c r="Q860" s="362"/>
    </row>
    <row r="861" spans="14:17" ht="24.95" customHeight="1">
      <c r="N861" s="362"/>
      <c r="O861" s="362"/>
      <c r="P861" s="362"/>
      <c r="Q861" s="362"/>
    </row>
    <row r="862" spans="14:17" ht="24.95" customHeight="1">
      <c r="N862" s="362"/>
      <c r="O862" s="362"/>
      <c r="P862" s="362"/>
      <c r="Q862" s="362"/>
    </row>
    <row r="863" spans="14:17" ht="24.95" customHeight="1">
      <c r="N863" s="362"/>
      <c r="O863" s="362"/>
      <c r="P863" s="362"/>
      <c r="Q863" s="362"/>
    </row>
    <row r="864" spans="14:17" ht="24.95" customHeight="1">
      <c r="N864" s="362"/>
      <c r="O864" s="362"/>
      <c r="P864" s="362"/>
      <c r="Q864" s="362"/>
    </row>
    <row r="865" spans="14:17" ht="24.95" customHeight="1">
      <c r="N865" s="362"/>
      <c r="O865" s="362"/>
      <c r="P865" s="362"/>
      <c r="Q865" s="362"/>
    </row>
    <row r="866" spans="14:17" ht="24.95" customHeight="1">
      <c r="N866" s="362"/>
      <c r="O866" s="362"/>
      <c r="P866" s="362"/>
      <c r="Q866" s="362"/>
    </row>
    <row r="867" spans="14:17" ht="24.95" customHeight="1">
      <c r="N867" s="362"/>
      <c r="O867" s="362"/>
      <c r="P867" s="362"/>
      <c r="Q867" s="362"/>
    </row>
    <row r="868" spans="14:17" ht="24.95" customHeight="1">
      <c r="N868" s="362"/>
      <c r="O868" s="362"/>
      <c r="P868" s="362"/>
      <c r="Q868" s="362"/>
    </row>
    <row r="869" spans="14:17" ht="24.95" customHeight="1">
      <c r="N869" s="362"/>
      <c r="O869" s="362"/>
      <c r="P869" s="362"/>
      <c r="Q869" s="362"/>
    </row>
    <row r="870" spans="14:17" ht="24.95" customHeight="1">
      <c r="N870" s="362"/>
      <c r="O870" s="362"/>
      <c r="P870" s="362"/>
      <c r="Q870" s="362"/>
    </row>
    <row r="871" spans="14:17" ht="24.95" customHeight="1">
      <c r="N871" s="362"/>
      <c r="O871" s="362"/>
      <c r="P871" s="362"/>
      <c r="Q871" s="362"/>
    </row>
    <row r="872" spans="14:17" ht="24.95" customHeight="1">
      <c r="N872" s="362"/>
      <c r="O872" s="362"/>
      <c r="P872" s="362"/>
      <c r="Q872" s="362"/>
    </row>
    <row r="873" spans="14:17" ht="24.95" customHeight="1">
      <c r="N873" s="362"/>
      <c r="O873" s="362"/>
      <c r="P873" s="362"/>
      <c r="Q873" s="362"/>
    </row>
    <row r="874" spans="14:17" ht="24.95" customHeight="1">
      <c r="N874" s="362"/>
      <c r="O874" s="362"/>
      <c r="P874" s="362"/>
      <c r="Q874" s="362"/>
    </row>
    <row r="875" spans="14:17" ht="24.95" customHeight="1">
      <c r="N875" s="362"/>
      <c r="O875" s="362"/>
      <c r="P875" s="362"/>
      <c r="Q875" s="362"/>
    </row>
    <row r="876" spans="14:17" ht="24.95" customHeight="1">
      <c r="N876" s="362"/>
      <c r="O876" s="362"/>
      <c r="P876" s="362"/>
      <c r="Q876" s="362"/>
    </row>
    <row r="877" spans="14:17" ht="24.95" customHeight="1">
      <c r="N877" s="362"/>
      <c r="O877" s="362"/>
      <c r="P877" s="362"/>
      <c r="Q877" s="362"/>
    </row>
    <row r="878" spans="14:17" ht="24.95" customHeight="1">
      <c r="N878" s="362"/>
      <c r="O878" s="362"/>
      <c r="P878" s="362"/>
      <c r="Q878" s="362"/>
    </row>
    <row r="879" spans="14:17" ht="24.95" customHeight="1">
      <c r="N879" s="362"/>
      <c r="O879" s="362"/>
      <c r="P879" s="362"/>
      <c r="Q879" s="362"/>
    </row>
    <row r="880" spans="14:17" ht="24.95" customHeight="1">
      <c r="N880" s="362"/>
      <c r="O880" s="362"/>
      <c r="P880" s="362"/>
      <c r="Q880" s="362"/>
    </row>
    <row r="881" spans="14:17" ht="24.95" customHeight="1">
      <c r="N881" s="362"/>
      <c r="O881" s="362"/>
      <c r="P881" s="362"/>
      <c r="Q881" s="362"/>
    </row>
    <row r="882" spans="14:17" ht="24.95" customHeight="1">
      <c r="N882" s="362"/>
      <c r="O882" s="362"/>
      <c r="P882" s="362"/>
      <c r="Q882" s="362"/>
    </row>
    <row r="883" spans="14:17" ht="24.95" customHeight="1">
      <c r="N883" s="362"/>
      <c r="O883" s="362"/>
      <c r="P883" s="362"/>
      <c r="Q883" s="362"/>
    </row>
    <row r="884" spans="14:17" ht="24.95" customHeight="1">
      <c r="N884" s="362"/>
      <c r="O884" s="362"/>
      <c r="P884" s="362"/>
      <c r="Q884" s="362"/>
    </row>
    <row r="885" spans="14:17" ht="24.95" customHeight="1">
      <c r="N885" s="362"/>
      <c r="O885" s="362"/>
      <c r="P885" s="362"/>
      <c r="Q885" s="362"/>
    </row>
    <row r="886" spans="14:17" ht="24.95" customHeight="1">
      <c r="N886" s="362"/>
      <c r="O886" s="362"/>
      <c r="P886" s="362"/>
      <c r="Q886" s="362"/>
    </row>
    <row r="887" spans="14:17" ht="24.95" customHeight="1">
      <c r="N887" s="362"/>
      <c r="O887" s="362"/>
      <c r="P887" s="362"/>
      <c r="Q887" s="362"/>
    </row>
    <row r="888" spans="14:17" ht="24.95" customHeight="1">
      <c r="N888" s="362"/>
      <c r="O888" s="362"/>
      <c r="P888" s="362"/>
      <c r="Q888" s="362"/>
    </row>
    <row r="889" spans="14:17" ht="24.95" customHeight="1">
      <c r="N889" s="362"/>
      <c r="O889" s="362"/>
      <c r="P889" s="362"/>
      <c r="Q889" s="362"/>
    </row>
    <row r="890" spans="14:17" ht="24.95" customHeight="1">
      <c r="N890" s="362"/>
      <c r="O890" s="362"/>
      <c r="P890" s="362"/>
      <c r="Q890" s="362"/>
    </row>
    <row r="891" spans="14:17" ht="24.95" customHeight="1">
      <c r="N891" s="362"/>
      <c r="O891" s="362"/>
      <c r="P891" s="362"/>
      <c r="Q891" s="362"/>
    </row>
    <row r="892" spans="14:17" ht="24.95" customHeight="1">
      <c r="N892" s="362"/>
      <c r="O892" s="362"/>
      <c r="P892" s="362"/>
      <c r="Q892" s="362"/>
    </row>
    <row r="893" spans="14:17" ht="24.95" customHeight="1">
      <c r="N893" s="362"/>
      <c r="O893" s="362"/>
      <c r="P893" s="362"/>
      <c r="Q893" s="362"/>
    </row>
    <row r="894" spans="14:17" ht="24.95" customHeight="1">
      <c r="N894" s="362"/>
      <c r="O894" s="362"/>
      <c r="P894" s="362"/>
      <c r="Q894" s="362"/>
    </row>
    <row r="895" spans="14:17" ht="24.95" customHeight="1">
      <c r="N895" s="362"/>
      <c r="O895" s="362"/>
      <c r="P895" s="362"/>
      <c r="Q895" s="362"/>
    </row>
    <row r="896" spans="14:17" ht="24.95" customHeight="1">
      <c r="N896" s="362"/>
      <c r="O896" s="362"/>
      <c r="P896" s="362"/>
      <c r="Q896" s="362"/>
    </row>
    <row r="897" spans="14:17" ht="24.95" customHeight="1">
      <c r="N897" s="362"/>
      <c r="O897" s="362"/>
      <c r="P897" s="362"/>
      <c r="Q897" s="362"/>
    </row>
    <row r="898" spans="14:17" ht="24.95" customHeight="1">
      <c r="N898" s="362"/>
      <c r="O898" s="362"/>
      <c r="P898" s="362"/>
      <c r="Q898" s="362"/>
    </row>
    <row r="899" spans="14:17" ht="24.95" customHeight="1">
      <c r="N899" s="362"/>
      <c r="O899" s="362"/>
      <c r="P899" s="362"/>
      <c r="Q899" s="362"/>
    </row>
    <row r="900" spans="14:17" ht="24.95" customHeight="1">
      <c r="N900" s="362"/>
      <c r="O900" s="362"/>
      <c r="P900" s="362"/>
      <c r="Q900" s="362"/>
    </row>
    <row r="901" spans="14:17" ht="24.95" customHeight="1">
      <c r="N901" s="362"/>
      <c r="O901" s="362"/>
      <c r="P901" s="362"/>
      <c r="Q901" s="362"/>
    </row>
    <row r="902" spans="14:17" ht="24.95" customHeight="1">
      <c r="N902" s="362"/>
      <c r="O902" s="362"/>
      <c r="P902" s="362"/>
      <c r="Q902" s="362"/>
    </row>
    <row r="903" spans="14:17" ht="24.95" customHeight="1">
      <c r="N903" s="362"/>
      <c r="O903" s="362"/>
      <c r="P903" s="362"/>
      <c r="Q903" s="362"/>
    </row>
    <row r="904" spans="14:17" ht="24.95" customHeight="1">
      <c r="N904" s="362"/>
      <c r="O904" s="362"/>
      <c r="P904" s="362"/>
      <c r="Q904" s="362"/>
    </row>
    <row r="905" spans="14:17" ht="24.95" customHeight="1">
      <c r="N905" s="362"/>
      <c r="O905" s="362"/>
      <c r="P905" s="362"/>
      <c r="Q905" s="362"/>
    </row>
    <row r="906" spans="14:17" ht="24.95" customHeight="1">
      <c r="N906" s="362"/>
      <c r="O906" s="362"/>
      <c r="P906" s="362"/>
      <c r="Q906" s="362"/>
    </row>
    <row r="907" spans="14:17" ht="24.95" customHeight="1">
      <c r="N907" s="362"/>
      <c r="O907" s="362"/>
      <c r="P907" s="362"/>
      <c r="Q907" s="362"/>
    </row>
    <row r="908" spans="14:17" ht="24.95" customHeight="1">
      <c r="N908" s="362"/>
      <c r="O908" s="362"/>
      <c r="P908" s="362"/>
      <c r="Q908" s="362"/>
    </row>
    <row r="909" spans="14:17" ht="24.95" customHeight="1">
      <c r="N909" s="362"/>
      <c r="O909" s="362"/>
      <c r="P909" s="362"/>
      <c r="Q909" s="362"/>
    </row>
    <row r="910" spans="14:17" ht="24.95" customHeight="1">
      <c r="N910" s="362"/>
      <c r="O910" s="362"/>
      <c r="P910" s="362"/>
      <c r="Q910" s="362"/>
    </row>
    <row r="911" spans="14:17" ht="24.95" customHeight="1">
      <c r="N911" s="362"/>
      <c r="O911" s="362"/>
      <c r="P911" s="362"/>
      <c r="Q911" s="362"/>
    </row>
    <row r="912" spans="14:17" ht="24.95" customHeight="1">
      <c r="N912" s="362"/>
      <c r="O912" s="362"/>
      <c r="P912" s="362"/>
      <c r="Q912" s="362"/>
    </row>
    <row r="913" spans="14:17" ht="24.95" customHeight="1">
      <c r="N913" s="362"/>
      <c r="O913" s="362"/>
      <c r="P913" s="362"/>
      <c r="Q913" s="362"/>
    </row>
    <row r="914" spans="14:17" ht="24.95" customHeight="1">
      <c r="N914" s="362"/>
      <c r="O914" s="362"/>
      <c r="P914" s="362"/>
      <c r="Q914" s="362"/>
    </row>
    <row r="915" spans="14:17" ht="24.95" customHeight="1">
      <c r="N915" s="362"/>
      <c r="O915" s="362"/>
      <c r="P915" s="362"/>
      <c r="Q915" s="362"/>
    </row>
    <row r="916" spans="14:17" ht="24.95" customHeight="1">
      <c r="N916" s="362"/>
      <c r="O916" s="362"/>
      <c r="P916" s="362"/>
      <c r="Q916" s="362"/>
    </row>
    <row r="917" spans="14:17" ht="24.95" customHeight="1">
      <c r="N917" s="362"/>
      <c r="O917" s="362"/>
      <c r="P917" s="362"/>
      <c r="Q917" s="362"/>
    </row>
    <row r="918" spans="14:17" ht="24.95" customHeight="1">
      <c r="N918" s="362"/>
      <c r="O918" s="362"/>
      <c r="P918" s="362"/>
      <c r="Q918" s="362"/>
    </row>
    <row r="919" spans="14:17" ht="24.95" customHeight="1">
      <c r="N919" s="362"/>
      <c r="O919" s="362"/>
      <c r="P919" s="362"/>
      <c r="Q919" s="362"/>
    </row>
    <row r="920" spans="14:17" ht="24.95" customHeight="1">
      <c r="N920" s="362"/>
      <c r="O920" s="362"/>
      <c r="P920" s="362"/>
      <c r="Q920" s="362"/>
    </row>
    <row r="921" spans="14:17" ht="24.95" customHeight="1">
      <c r="N921" s="362"/>
      <c r="O921" s="362"/>
      <c r="P921" s="362"/>
      <c r="Q921" s="362"/>
    </row>
    <row r="922" spans="14:17" ht="24.95" customHeight="1">
      <c r="N922" s="362"/>
      <c r="O922" s="362"/>
      <c r="P922" s="362"/>
      <c r="Q922" s="362"/>
    </row>
    <row r="923" spans="14:17" ht="24.95" customHeight="1">
      <c r="N923" s="362"/>
      <c r="O923" s="362"/>
      <c r="P923" s="362"/>
      <c r="Q923" s="362"/>
    </row>
    <row r="924" spans="14:17" ht="24.95" customHeight="1">
      <c r="N924" s="362"/>
      <c r="O924" s="362"/>
      <c r="P924" s="362"/>
      <c r="Q924" s="362"/>
    </row>
    <row r="925" spans="14:17" ht="24.95" customHeight="1">
      <c r="N925" s="362"/>
      <c r="O925" s="362"/>
      <c r="P925" s="362"/>
      <c r="Q925" s="362"/>
    </row>
    <row r="926" spans="14:17" ht="24.95" customHeight="1">
      <c r="N926" s="362"/>
      <c r="O926" s="362"/>
      <c r="P926" s="362"/>
      <c r="Q926" s="362"/>
    </row>
    <row r="927" spans="14:17" ht="24.95" customHeight="1">
      <c r="N927" s="362"/>
      <c r="O927" s="362"/>
      <c r="P927" s="362"/>
      <c r="Q927" s="362"/>
    </row>
    <row r="928" spans="14:17" ht="24.95" customHeight="1">
      <c r="N928" s="362"/>
      <c r="O928" s="362"/>
      <c r="P928" s="362"/>
      <c r="Q928" s="362"/>
    </row>
    <row r="929" spans="14:17" ht="24.95" customHeight="1">
      <c r="N929" s="362"/>
      <c r="O929" s="362"/>
      <c r="P929" s="362"/>
      <c r="Q929" s="362"/>
    </row>
    <row r="930" spans="14:17" ht="24.95" customHeight="1">
      <c r="N930" s="362"/>
      <c r="O930" s="362"/>
      <c r="P930" s="362"/>
      <c r="Q930" s="362"/>
    </row>
    <row r="931" spans="14:17" ht="24.95" customHeight="1">
      <c r="N931" s="362"/>
      <c r="O931" s="362"/>
      <c r="P931" s="362"/>
      <c r="Q931" s="362"/>
    </row>
    <row r="932" spans="14:17" ht="24.95" customHeight="1">
      <c r="N932" s="362"/>
      <c r="O932" s="362"/>
      <c r="P932" s="362"/>
      <c r="Q932" s="362"/>
    </row>
    <row r="933" spans="14:17" ht="24.95" customHeight="1">
      <c r="N933" s="362"/>
      <c r="O933" s="362"/>
      <c r="P933" s="362"/>
      <c r="Q933" s="362"/>
    </row>
    <row r="934" spans="14:17" ht="24.95" customHeight="1">
      <c r="N934" s="362"/>
      <c r="O934" s="362"/>
      <c r="P934" s="362"/>
      <c r="Q934" s="362"/>
    </row>
    <row r="935" spans="14:17" ht="24.95" customHeight="1">
      <c r="N935" s="362"/>
      <c r="O935" s="362"/>
      <c r="P935" s="362"/>
      <c r="Q935" s="362"/>
    </row>
    <row r="936" spans="14:17" ht="24.95" customHeight="1">
      <c r="N936" s="362"/>
      <c r="O936" s="362"/>
      <c r="P936" s="362"/>
      <c r="Q936" s="362"/>
    </row>
    <row r="937" spans="14:17" ht="24.95" customHeight="1">
      <c r="N937" s="362"/>
      <c r="O937" s="362"/>
      <c r="P937" s="362"/>
      <c r="Q937" s="362"/>
    </row>
    <row r="938" spans="14:17" ht="24.95" customHeight="1">
      <c r="N938" s="362"/>
      <c r="O938" s="362"/>
      <c r="P938" s="362"/>
      <c r="Q938" s="362"/>
    </row>
    <row r="939" spans="14:17" ht="24.95" customHeight="1">
      <c r="N939" s="362"/>
      <c r="O939" s="362"/>
      <c r="P939" s="362"/>
      <c r="Q939" s="362"/>
    </row>
    <row r="940" spans="14:17" ht="24.95" customHeight="1">
      <c r="N940" s="362"/>
      <c r="O940" s="362"/>
      <c r="P940" s="362"/>
      <c r="Q940" s="362"/>
    </row>
    <row r="941" spans="14:17" ht="24.95" customHeight="1">
      <c r="N941" s="362"/>
      <c r="O941" s="362"/>
      <c r="P941" s="362"/>
      <c r="Q941" s="362"/>
    </row>
    <row r="942" spans="14:17" ht="24.95" customHeight="1">
      <c r="N942" s="362"/>
      <c r="O942" s="362"/>
      <c r="P942" s="362"/>
      <c r="Q942" s="362"/>
    </row>
    <row r="943" spans="14:17" ht="24.95" customHeight="1">
      <c r="N943" s="362"/>
      <c r="O943" s="362"/>
      <c r="P943" s="362"/>
      <c r="Q943" s="362"/>
    </row>
    <row r="944" spans="14:17" ht="24.95" customHeight="1">
      <c r="N944" s="362"/>
      <c r="O944" s="362"/>
      <c r="P944" s="362"/>
      <c r="Q944" s="362"/>
    </row>
    <row r="945" spans="14:17" ht="24.95" customHeight="1">
      <c r="N945" s="362"/>
      <c r="O945" s="362"/>
      <c r="P945" s="362"/>
      <c r="Q945" s="362"/>
    </row>
    <row r="946" spans="14:17" ht="24.95" customHeight="1">
      <c r="N946" s="362"/>
      <c r="O946" s="362"/>
      <c r="P946" s="362"/>
      <c r="Q946" s="362"/>
    </row>
    <row r="947" spans="14:17" ht="24.95" customHeight="1">
      <c r="N947" s="362"/>
      <c r="O947" s="362"/>
      <c r="P947" s="362"/>
      <c r="Q947" s="362"/>
    </row>
    <row r="948" spans="14:17" ht="24.95" customHeight="1">
      <c r="N948" s="362"/>
      <c r="O948" s="362"/>
      <c r="P948" s="362"/>
      <c r="Q948" s="362"/>
    </row>
    <row r="949" spans="14:17" ht="24.95" customHeight="1">
      <c r="N949" s="362"/>
      <c r="O949" s="362"/>
      <c r="P949" s="362"/>
      <c r="Q949" s="362"/>
    </row>
    <row r="950" spans="14:17" ht="24.95" customHeight="1">
      <c r="N950" s="362"/>
      <c r="O950" s="362"/>
      <c r="P950" s="362"/>
      <c r="Q950" s="362"/>
    </row>
    <row r="951" spans="14:17" ht="24.95" customHeight="1">
      <c r="N951" s="362"/>
      <c r="O951" s="362"/>
      <c r="P951" s="362"/>
      <c r="Q951" s="362"/>
    </row>
    <row r="952" spans="14:17" ht="24.95" customHeight="1">
      <c r="N952" s="362"/>
      <c r="O952" s="362"/>
      <c r="P952" s="362"/>
      <c r="Q952" s="362"/>
    </row>
    <row r="953" spans="14:17" ht="24.95" customHeight="1">
      <c r="N953" s="362"/>
      <c r="O953" s="362"/>
      <c r="P953" s="362"/>
      <c r="Q953" s="362"/>
    </row>
    <row r="954" spans="14:17" ht="24.95" customHeight="1">
      <c r="N954" s="362"/>
      <c r="O954" s="362"/>
      <c r="P954" s="362"/>
      <c r="Q954" s="362"/>
    </row>
    <row r="955" spans="14:17" ht="24.95" customHeight="1">
      <c r="N955" s="362"/>
      <c r="O955" s="362"/>
      <c r="P955" s="362"/>
      <c r="Q955" s="362"/>
    </row>
    <row r="956" spans="14:17" ht="24.95" customHeight="1">
      <c r="N956" s="362"/>
      <c r="O956" s="362"/>
      <c r="P956" s="362"/>
      <c r="Q956" s="362"/>
    </row>
    <row r="957" spans="14:17" ht="24.95" customHeight="1">
      <c r="N957" s="362"/>
      <c r="O957" s="362"/>
      <c r="P957" s="362"/>
      <c r="Q957" s="362"/>
    </row>
    <row r="958" spans="14:17" ht="24.95" customHeight="1">
      <c r="N958" s="362"/>
      <c r="O958" s="362"/>
      <c r="P958" s="362"/>
      <c r="Q958" s="362"/>
    </row>
    <row r="959" spans="14:17" ht="24.95" customHeight="1">
      <c r="N959" s="362"/>
      <c r="O959" s="362"/>
      <c r="P959" s="362"/>
      <c r="Q959" s="362"/>
    </row>
    <row r="960" spans="14:17" ht="24.95" customHeight="1">
      <c r="N960" s="362"/>
      <c r="O960" s="362"/>
      <c r="P960" s="362"/>
      <c r="Q960" s="362"/>
    </row>
    <row r="961" spans="14:17" ht="24.95" customHeight="1">
      <c r="N961" s="362"/>
      <c r="O961" s="362"/>
      <c r="P961" s="362"/>
      <c r="Q961" s="362"/>
    </row>
    <row r="962" spans="14:17" ht="24.95" customHeight="1">
      <c r="N962" s="362"/>
      <c r="O962" s="362"/>
      <c r="P962" s="362"/>
      <c r="Q962" s="362"/>
    </row>
    <row r="963" spans="14:17" ht="24.95" customHeight="1">
      <c r="N963" s="362"/>
      <c r="O963" s="362"/>
      <c r="P963" s="362"/>
      <c r="Q963" s="362"/>
    </row>
    <row r="964" spans="14:17" ht="24.95" customHeight="1">
      <c r="N964" s="362"/>
      <c r="O964" s="362"/>
      <c r="P964" s="362"/>
      <c r="Q964" s="362"/>
    </row>
    <row r="965" spans="14:17" ht="24.95" customHeight="1">
      <c r="N965" s="362"/>
      <c r="O965" s="362"/>
      <c r="P965" s="362"/>
      <c r="Q965" s="362"/>
    </row>
    <row r="966" spans="14:17" ht="24.95" customHeight="1">
      <c r="N966" s="362"/>
      <c r="O966" s="362"/>
      <c r="P966" s="362"/>
      <c r="Q966" s="362"/>
    </row>
    <row r="967" spans="14:17" ht="24.95" customHeight="1">
      <c r="N967" s="362"/>
      <c r="O967" s="362"/>
      <c r="P967" s="362"/>
      <c r="Q967" s="362"/>
    </row>
    <row r="968" spans="14:17" ht="24.95" customHeight="1">
      <c r="N968" s="362"/>
      <c r="O968" s="362"/>
      <c r="P968" s="362"/>
      <c r="Q968" s="362"/>
    </row>
    <row r="969" spans="14:17" ht="24.95" customHeight="1">
      <c r="N969" s="362"/>
      <c r="O969" s="362"/>
      <c r="P969" s="362"/>
      <c r="Q969" s="362"/>
    </row>
    <row r="970" spans="14:17" ht="24.95" customHeight="1">
      <c r="N970" s="362"/>
      <c r="O970" s="362"/>
      <c r="P970" s="362"/>
      <c r="Q970" s="362"/>
    </row>
    <row r="971" spans="14:17" ht="24.95" customHeight="1">
      <c r="N971" s="362"/>
      <c r="O971" s="362"/>
      <c r="P971" s="362"/>
      <c r="Q971" s="362"/>
    </row>
    <row r="972" spans="14:17" ht="24.95" customHeight="1">
      <c r="N972" s="362"/>
      <c r="O972" s="362"/>
      <c r="P972" s="362"/>
      <c r="Q972" s="362"/>
    </row>
    <row r="973" spans="14:17" ht="24.95" customHeight="1">
      <c r="N973" s="362"/>
      <c r="O973" s="362"/>
      <c r="P973" s="362"/>
      <c r="Q973" s="362"/>
    </row>
    <row r="974" spans="14:17" ht="24.95" customHeight="1">
      <c r="N974" s="362"/>
      <c r="O974" s="362"/>
      <c r="P974" s="362"/>
      <c r="Q974" s="362"/>
    </row>
    <row r="975" spans="14:17" ht="24.95" customHeight="1">
      <c r="N975" s="362"/>
      <c r="O975" s="362"/>
      <c r="P975" s="362"/>
      <c r="Q975" s="362"/>
    </row>
    <row r="976" spans="14:17" ht="24.95" customHeight="1">
      <c r="N976" s="362"/>
      <c r="O976" s="362"/>
      <c r="P976" s="362"/>
      <c r="Q976" s="362"/>
    </row>
    <row r="977" spans="14:17" ht="24.95" customHeight="1">
      <c r="N977" s="362"/>
      <c r="O977" s="362"/>
      <c r="P977" s="362"/>
      <c r="Q977" s="362"/>
    </row>
    <row r="978" spans="14:17" ht="24.95" customHeight="1">
      <c r="N978" s="362"/>
      <c r="O978" s="362"/>
      <c r="P978" s="362"/>
      <c r="Q978" s="362"/>
    </row>
    <row r="979" spans="14:17" ht="24.95" customHeight="1">
      <c r="N979" s="362"/>
      <c r="O979" s="362"/>
      <c r="P979" s="362"/>
      <c r="Q979" s="362"/>
    </row>
    <row r="980" spans="14:17" ht="24.95" customHeight="1">
      <c r="N980" s="362"/>
      <c r="O980" s="362"/>
      <c r="P980" s="362"/>
      <c r="Q980" s="362"/>
    </row>
    <row r="981" spans="14:17" ht="24.95" customHeight="1">
      <c r="N981" s="362"/>
      <c r="O981" s="362"/>
      <c r="P981" s="362"/>
      <c r="Q981" s="362"/>
    </row>
    <row r="982" spans="14:17" ht="24.95" customHeight="1">
      <c r="N982" s="362"/>
      <c r="O982" s="362"/>
      <c r="P982" s="362"/>
      <c r="Q982" s="362"/>
    </row>
    <row r="983" spans="14:17" ht="24.95" customHeight="1">
      <c r="N983" s="362"/>
      <c r="O983" s="362"/>
      <c r="P983" s="362"/>
      <c r="Q983" s="362"/>
    </row>
    <row r="984" spans="14:17" ht="24.95" customHeight="1">
      <c r="N984" s="362"/>
      <c r="O984" s="362"/>
      <c r="P984" s="362"/>
      <c r="Q984" s="362"/>
    </row>
    <row r="985" spans="14:17" ht="24.95" customHeight="1">
      <c r="N985" s="362"/>
      <c r="O985" s="362"/>
      <c r="P985" s="362"/>
      <c r="Q985" s="362"/>
    </row>
    <row r="986" spans="14:17" ht="24.95" customHeight="1">
      <c r="N986" s="362"/>
      <c r="O986" s="362"/>
      <c r="P986" s="362"/>
      <c r="Q986" s="362"/>
    </row>
    <row r="987" spans="14:17" ht="24.95" customHeight="1">
      <c r="N987" s="362"/>
      <c r="O987" s="362"/>
      <c r="P987" s="362"/>
      <c r="Q987" s="362"/>
    </row>
    <row r="988" spans="14:17" ht="24.95" customHeight="1">
      <c r="N988" s="362"/>
      <c r="O988" s="362"/>
      <c r="P988" s="362"/>
      <c r="Q988" s="362"/>
    </row>
    <row r="989" spans="14:17" ht="24.95" customHeight="1">
      <c r="N989" s="362"/>
      <c r="O989" s="362"/>
      <c r="P989" s="362"/>
      <c r="Q989" s="362"/>
    </row>
    <row r="990" spans="14:17" ht="24.95" customHeight="1">
      <c r="N990" s="362"/>
      <c r="O990" s="362"/>
      <c r="P990" s="362"/>
      <c r="Q990" s="362"/>
    </row>
    <row r="991" spans="14:17" ht="24.95" customHeight="1">
      <c r="N991" s="362"/>
      <c r="O991" s="362"/>
      <c r="P991" s="362"/>
      <c r="Q991" s="362"/>
    </row>
    <row r="992" spans="14:17" ht="24.95" customHeight="1">
      <c r="N992" s="362"/>
      <c r="O992" s="362"/>
      <c r="P992" s="362"/>
      <c r="Q992" s="362"/>
    </row>
    <row r="993" spans="14:17" ht="24.95" customHeight="1">
      <c r="N993" s="362"/>
      <c r="O993" s="362"/>
      <c r="P993" s="362"/>
      <c r="Q993" s="362"/>
    </row>
    <row r="994" spans="14:17" ht="24.95" customHeight="1">
      <c r="N994" s="362"/>
      <c r="O994" s="362"/>
      <c r="P994" s="362"/>
      <c r="Q994" s="362"/>
    </row>
    <row r="995" spans="14:17" ht="24.95" customHeight="1">
      <c r="N995" s="362"/>
      <c r="O995" s="362"/>
      <c r="P995" s="362"/>
      <c r="Q995" s="362"/>
    </row>
    <row r="996" spans="14:17" ht="24.95" customHeight="1">
      <c r="N996" s="362"/>
      <c r="O996" s="362"/>
      <c r="P996" s="362"/>
      <c r="Q996" s="362"/>
    </row>
    <row r="997" spans="14:17" ht="24.95" customHeight="1">
      <c r="N997" s="362"/>
      <c r="O997" s="362"/>
      <c r="P997" s="362"/>
      <c r="Q997" s="362"/>
    </row>
    <row r="998" spans="14:17" ht="24.95" customHeight="1">
      <c r="N998" s="362"/>
      <c r="O998" s="362"/>
      <c r="P998" s="362"/>
      <c r="Q998" s="362"/>
    </row>
    <row r="999" spans="14:17" ht="24.95" customHeight="1">
      <c r="N999" s="362"/>
      <c r="O999" s="362"/>
      <c r="P999" s="362"/>
      <c r="Q999" s="362"/>
    </row>
    <row r="1000" spans="14:17" ht="24.95" customHeight="1">
      <c r="N1000" s="362"/>
      <c r="O1000" s="362"/>
      <c r="P1000" s="362"/>
      <c r="Q1000" s="362"/>
    </row>
    <row r="1001" spans="14:17" ht="24.95" customHeight="1">
      <c r="N1001" s="362"/>
      <c r="O1001" s="362"/>
      <c r="P1001" s="362"/>
      <c r="Q1001" s="362"/>
    </row>
    <row r="1002" spans="14:17" ht="24.95" customHeight="1">
      <c r="N1002" s="362"/>
      <c r="O1002" s="362"/>
      <c r="P1002" s="362"/>
      <c r="Q1002" s="362"/>
    </row>
    <row r="1003" spans="14:17" ht="24.95" customHeight="1">
      <c r="N1003" s="362"/>
      <c r="O1003" s="362"/>
      <c r="P1003" s="362"/>
      <c r="Q1003" s="362"/>
    </row>
    <row r="1004" spans="14:17" ht="24.95" customHeight="1">
      <c r="N1004" s="362"/>
      <c r="O1004" s="362"/>
      <c r="P1004" s="362"/>
      <c r="Q1004" s="362"/>
    </row>
    <row r="1005" spans="14:17" ht="24.95" customHeight="1">
      <c r="N1005" s="362"/>
      <c r="O1005" s="362"/>
      <c r="P1005" s="362"/>
      <c r="Q1005" s="362"/>
    </row>
    <row r="1006" spans="14:17" ht="24.95" customHeight="1">
      <c r="N1006" s="362"/>
      <c r="O1006" s="362"/>
      <c r="P1006" s="362"/>
      <c r="Q1006" s="362"/>
    </row>
    <row r="1007" spans="14:17" ht="24.95" customHeight="1">
      <c r="N1007" s="362"/>
      <c r="O1007" s="362"/>
      <c r="P1007" s="362"/>
      <c r="Q1007" s="362"/>
    </row>
    <row r="1008" spans="14:17" ht="24.95" customHeight="1">
      <c r="N1008" s="362"/>
      <c r="O1008" s="362"/>
      <c r="P1008" s="362"/>
      <c r="Q1008" s="362"/>
    </row>
    <row r="1009" spans="14:17" ht="24.95" customHeight="1">
      <c r="N1009" s="362"/>
      <c r="O1009" s="362"/>
      <c r="P1009" s="362"/>
      <c r="Q1009" s="362"/>
    </row>
    <row r="1010" spans="14:17" ht="24.95" customHeight="1">
      <c r="N1010" s="362"/>
      <c r="O1010" s="362"/>
      <c r="P1010" s="362"/>
      <c r="Q1010" s="362"/>
    </row>
    <row r="1011" spans="14:17" ht="24.95" customHeight="1">
      <c r="N1011" s="362"/>
      <c r="O1011" s="362"/>
      <c r="P1011" s="362"/>
      <c r="Q1011" s="362"/>
    </row>
    <row r="1012" spans="14:17" ht="24.95" customHeight="1">
      <c r="N1012" s="362"/>
      <c r="O1012" s="362"/>
      <c r="P1012" s="362"/>
      <c r="Q1012" s="362"/>
    </row>
    <row r="1013" spans="14:17" ht="24.95" customHeight="1">
      <c r="N1013" s="362"/>
      <c r="O1013" s="362"/>
      <c r="P1013" s="362"/>
      <c r="Q1013" s="362"/>
    </row>
    <row r="1014" spans="14:17" ht="24.95" customHeight="1">
      <c r="N1014" s="362"/>
      <c r="O1014" s="362"/>
      <c r="P1014" s="362"/>
      <c r="Q1014" s="362"/>
    </row>
    <row r="1015" spans="14:17" ht="24.95" customHeight="1">
      <c r="N1015" s="362"/>
      <c r="O1015" s="362"/>
      <c r="P1015" s="362"/>
      <c r="Q1015" s="362"/>
    </row>
    <row r="1016" spans="14:17" ht="24.95" customHeight="1">
      <c r="N1016" s="362"/>
      <c r="O1016" s="362"/>
      <c r="P1016" s="362"/>
      <c r="Q1016" s="362"/>
    </row>
    <row r="1017" spans="14:17" ht="24.95" customHeight="1">
      <c r="N1017" s="362"/>
      <c r="O1017" s="362"/>
      <c r="P1017" s="362"/>
      <c r="Q1017" s="362"/>
    </row>
    <row r="1018" spans="14:17" ht="24.95" customHeight="1">
      <c r="N1018" s="362"/>
      <c r="O1018" s="362"/>
      <c r="P1018" s="362"/>
      <c r="Q1018" s="362"/>
    </row>
    <row r="1019" spans="14:17" ht="24.95" customHeight="1">
      <c r="N1019" s="362"/>
      <c r="O1019" s="362"/>
      <c r="P1019" s="362"/>
      <c r="Q1019" s="362"/>
    </row>
    <row r="1020" spans="14:17" ht="24.95" customHeight="1">
      <c r="N1020" s="362"/>
      <c r="O1020" s="362"/>
      <c r="P1020" s="362"/>
      <c r="Q1020" s="362"/>
    </row>
    <row r="1021" spans="14:17" ht="24.95" customHeight="1">
      <c r="N1021" s="362"/>
      <c r="O1021" s="362"/>
      <c r="P1021" s="362"/>
      <c r="Q1021" s="362"/>
    </row>
    <row r="1022" spans="14:17" ht="24.95" customHeight="1">
      <c r="N1022" s="362"/>
      <c r="O1022" s="362"/>
      <c r="P1022" s="362"/>
      <c r="Q1022" s="362"/>
    </row>
    <row r="1023" spans="14:17" ht="24.95" customHeight="1">
      <c r="N1023" s="362"/>
      <c r="O1023" s="362"/>
      <c r="P1023" s="362"/>
      <c r="Q1023" s="362"/>
    </row>
    <row r="1024" spans="14:17" ht="24.95" customHeight="1">
      <c r="N1024" s="362"/>
      <c r="O1024" s="362"/>
      <c r="P1024" s="362"/>
      <c r="Q1024" s="362"/>
    </row>
    <row r="1025" spans="14:17" ht="24.95" customHeight="1">
      <c r="N1025" s="362"/>
      <c r="O1025" s="362"/>
      <c r="P1025" s="362"/>
      <c r="Q1025" s="362"/>
    </row>
    <row r="1026" spans="14:17" ht="24.95" customHeight="1">
      <c r="N1026" s="362"/>
      <c r="O1026" s="362"/>
      <c r="P1026" s="362"/>
      <c r="Q1026" s="362"/>
    </row>
    <row r="1027" spans="14:17" ht="24.95" customHeight="1">
      <c r="N1027" s="362"/>
      <c r="O1027" s="362"/>
      <c r="P1027" s="362"/>
      <c r="Q1027" s="362"/>
    </row>
    <row r="1028" spans="14:17" ht="24.95" customHeight="1">
      <c r="N1028" s="362"/>
      <c r="O1028" s="362"/>
      <c r="P1028" s="362"/>
      <c r="Q1028" s="362"/>
    </row>
    <row r="1029" spans="14:17" ht="24.95" customHeight="1">
      <c r="N1029" s="362"/>
      <c r="O1029" s="362"/>
      <c r="P1029" s="362"/>
      <c r="Q1029" s="362"/>
    </row>
    <row r="1030" spans="14:17" ht="24.95" customHeight="1">
      <c r="N1030" s="362"/>
      <c r="O1030" s="362"/>
      <c r="P1030" s="362"/>
      <c r="Q1030" s="362"/>
    </row>
    <row r="1031" spans="14:17" ht="24.95" customHeight="1">
      <c r="N1031" s="362"/>
      <c r="O1031" s="362"/>
      <c r="P1031" s="362"/>
      <c r="Q1031" s="362"/>
    </row>
    <row r="1032" spans="14:17" ht="24.95" customHeight="1">
      <c r="N1032" s="362"/>
      <c r="O1032" s="362"/>
      <c r="P1032" s="362"/>
      <c r="Q1032" s="362"/>
    </row>
    <row r="1033" spans="14:17" ht="24.95" customHeight="1">
      <c r="N1033" s="362"/>
      <c r="O1033" s="362"/>
      <c r="P1033" s="362"/>
      <c r="Q1033" s="362"/>
    </row>
    <row r="1034" spans="14:17" ht="24.95" customHeight="1">
      <c r="N1034" s="362"/>
      <c r="O1034" s="362"/>
      <c r="P1034" s="362"/>
      <c r="Q1034" s="362"/>
    </row>
    <row r="1035" spans="14:17" ht="24.95" customHeight="1">
      <c r="N1035" s="362"/>
      <c r="O1035" s="362"/>
      <c r="P1035" s="362"/>
      <c r="Q1035" s="362"/>
    </row>
    <row r="1036" spans="14:17" ht="24.95" customHeight="1">
      <c r="N1036" s="362"/>
      <c r="O1036" s="362"/>
      <c r="P1036" s="362"/>
      <c r="Q1036" s="362"/>
    </row>
    <row r="1037" spans="14:17" ht="24.95" customHeight="1">
      <c r="N1037" s="362"/>
      <c r="O1037" s="362"/>
      <c r="P1037" s="362"/>
      <c r="Q1037" s="362"/>
    </row>
    <row r="1038" spans="14:17" ht="24.95" customHeight="1">
      <c r="N1038" s="362"/>
      <c r="O1038" s="362"/>
      <c r="P1038" s="362"/>
      <c r="Q1038" s="362"/>
    </row>
    <row r="1039" spans="14:17" ht="24.95" customHeight="1">
      <c r="N1039" s="362"/>
      <c r="O1039" s="362"/>
      <c r="P1039" s="362"/>
      <c r="Q1039" s="362"/>
    </row>
    <row r="1040" spans="14:17" ht="24.95" customHeight="1">
      <c r="N1040" s="362"/>
      <c r="O1040" s="362"/>
      <c r="P1040" s="362"/>
      <c r="Q1040" s="362"/>
    </row>
    <row r="1041" spans="14:17" ht="24.95" customHeight="1">
      <c r="N1041" s="362"/>
      <c r="O1041" s="362"/>
      <c r="P1041" s="362"/>
      <c r="Q1041" s="362"/>
    </row>
    <row r="1042" spans="14:17" ht="24.95" customHeight="1">
      <c r="N1042" s="362"/>
      <c r="O1042" s="362"/>
      <c r="P1042" s="362"/>
      <c r="Q1042" s="362"/>
    </row>
    <row r="1043" spans="14:17" ht="24.95" customHeight="1">
      <c r="N1043" s="362"/>
      <c r="O1043" s="362"/>
      <c r="P1043" s="362"/>
      <c r="Q1043" s="362"/>
    </row>
    <row r="1044" spans="14:17" ht="24.95" customHeight="1">
      <c r="N1044" s="362"/>
      <c r="O1044" s="362"/>
      <c r="P1044" s="362"/>
      <c r="Q1044" s="362"/>
    </row>
    <row r="1045" spans="14:17" ht="24.95" customHeight="1">
      <c r="N1045" s="362"/>
      <c r="O1045" s="362"/>
      <c r="P1045" s="362"/>
      <c r="Q1045" s="362"/>
    </row>
    <row r="1046" spans="14:17" ht="24.95" customHeight="1">
      <c r="N1046" s="362"/>
      <c r="O1046" s="362"/>
      <c r="P1046" s="362"/>
      <c r="Q1046" s="362"/>
    </row>
    <row r="1047" spans="14:17" ht="24.95" customHeight="1">
      <c r="N1047" s="362"/>
      <c r="O1047" s="362"/>
      <c r="P1047" s="362"/>
      <c r="Q1047" s="362"/>
    </row>
    <row r="1048" spans="14:17" ht="24.95" customHeight="1">
      <c r="N1048" s="362"/>
      <c r="O1048" s="362"/>
      <c r="P1048" s="362"/>
      <c r="Q1048" s="362"/>
    </row>
    <row r="1049" spans="14:17" ht="24.95" customHeight="1">
      <c r="N1049" s="362"/>
      <c r="O1049" s="362"/>
      <c r="P1049" s="362"/>
      <c r="Q1049" s="362"/>
    </row>
    <row r="1050" spans="14:17" ht="24.95" customHeight="1">
      <c r="N1050" s="362"/>
      <c r="O1050" s="362"/>
      <c r="P1050" s="362"/>
      <c r="Q1050" s="362"/>
    </row>
    <row r="1051" spans="14:17" ht="24.95" customHeight="1">
      <c r="N1051" s="362"/>
      <c r="O1051" s="362"/>
      <c r="P1051" s="362"/>
      <c r="Q1051" s="362"/>
    </row>
    <row r="1052" spans="14:17" ht="24.95" customHeight="1">
      <c r="N1052" s="362"/>
      <c r="O1052" s="362"/>
      <c r="P1052" s="362"/>
      <c r="Q1052" s="362"/>
    </row>
    <row r="1053" spans="14:17" ht="24.95" customHeight="1">
      <c r="N1053" s="362"/>
      <c r="O1053" s="362"/>
      <c r="P1053" s="362"/>
      <c r="Q1053" s="362"/>
    </row>
    <row r="1054" spans="14:17" ht="24.95" customHeight="1">
      <c r="N1054" s="362"/>
      <c r="O1054" s="362"/>
      <c r="P1054" s="362"/>
      <c r="Q1054" s="362"/>
    </row>
    <row r="1055" spans="14:17" ht="24.95" customHeight="1">
      <c r="N1055" s="362"/>
      <c r="O1055" s="362"/>
      <c r="P1055" s="362"/>
      <c r="Q1055" s="362"/>
    </row>
    <row r="1056" spans="14:17" ht="24.95" customHeight="1">
      <c r="N1056" s="362"/>
      <c r="O1056" s="362"/>
      <c r="P1056" s="362"/>
      <c r="Q1056" s="362"/>
    </row>
    <row r="1057" spans="14:17" ht="24.95" customHeight="1">
      <c r="N1057" s="362"/>
      <c r="O1057" s="362"/>
      <c r="P1057" s="362"/>
      <c r="Q1057" s="362"/>
    </row>
    <row r="1058" spans="14:17" ht="24.95" customHeight="1">
      <c r="N1058" s="362"/>
      <c r="O1058" s="362"/>
      <c r="P1058" s="362"/>
      <c r="Q1058" s="362"/>
    </row>
    <row r="1059" spans="14:17" ht="24.95" customHeight="1">
      <c r="N1059" s="362"/>
      <c r="O1059" s="362"/>
      <c r="P1059" s="362"/>
      <c r="Q1059" s="362"/>
    </row>
    <row r="1060" spans="14:17" ht="24.95" customHeight="1">
      <c r="N1060" s="362"/>
      <c r="O1060" s="362"/>
      <c r="P1060" s="362"/>
      <c r="Q1060" s="362"/>
    </row>
    <row r="1061" spans="14:17" ht="24.95" customHeight="1">
      <c r="N1061" s="362"/>
      <c r="O1061" s="362"/>
      <c r="P1061" s="362"/>
      <c r="Q1061" s="362"/>
    </row>
    <row r="1062" spans="14:17" ht="24.95" customHeight="1">
      <c r="N1062" s="362"/>
      <c r="O1062" s="362"/>
      <c r="P1062" s="362"/>
      <c r="Q1062" s="362"/>
    </row>
    <row r="1063" spans="14:17" ht="24.95" customHeight="1">
      <c r="N1063" s="362"/>
      <c r="O1063" s="362"/>
      <c r="P1063" s="362"/>
      <c r="Q1063" s="362"/>
    </row>
    <row r="1064" spans="14:17" ht="24.95" customHeight="1">
      <c r="N1064" s="362"/>
      <c r="O1064" s="362"/>
      <c r="P1064" s="362"/>
      <c r="Q1064" s="362"/>
    </row>
    <row r="1065" spans="14:17" ht="24.95" customHeight="1">
      <c r="N1065" s="362"/>
      <c r="O1065" s="362"/>
      <c r="P1065" s="362"/>
      <c r="Q1065" s="362"/>
    </row>
    <row r="1066" spans="14:17" ht="24.95" customHeight="1">
      <c r="N1066" s="362"/>
      <c r="O1066" s="362"/>
      <c r="P1066" s="362"/>
      <c r="Q1066" s="362"/>
    </row>
    <row r="1067" spans="14:17" ht="24.95" customHeight="1">
      <c r="N1067" s="362"/>
      <c r="O1067" s="362"/>
      <c r="P1067" s="362"/>
      <c r="Q1067" s="362"/>
    </row>
    <row r="1068" spans="14:17" ht="24.95" customHeight="1">
      <c r="N1068" s="362"/>
      <c r="O1068" s="362"/>
      <c r="P1068" s="362"/>
      <c r="Q1068" s="362"/>
    </row>
    <row r="1069" spans="14:17" ht="24.95" customHeight="1">
      <c r="N1069" s="362"/>
      <c r="O1069" s="362"/>
      <c r="P1069" s="362"/>
      <c r="Q1069" s="362"/>
    </row>
    <row r="1070" spans="14:17" ht="24.95" customHeight="1">
      <c r="N1070" s="362"/>
      <c r="O1070" s="362"/>
      <c r="P1070" s="362"/>
      <c r="Q1070" s="362"/>
    </row>
    <row r="1071" spans="14:17" ht="24.95" customHeight="1">
      <c r="N1071" s="362"/>
      <c r="O1071" s="362"/>
      <c r="P1071" s="362"/>
      <c r="Q1071" s="362"/>
    </row>
    <row r="1072" spans="14:17" ht="24.95" customHeight="1">
      <c r="N1072" s="362"/>
      <c r="O1072" s="362"/>
      <c r="P1072" s="362"/>
      <c r="Q1072" s="362"/>
    </row>
    <row r="1073" spans="14:17" ht="24.95" customHeight="1">
      <c r="N1073" s="362"/>
      <c r="O1073" s="362"/>
      <c r="P1073" s="362"/>
      <c r="Q1073" s="362"/>
    </row>
    <row r="1074" spans="14:17" ht="24.95" customHeight="1">
      <c r="N1074" s="362"/>
      <c r="O1074" s="362"/>
      <c r="P1074" s="362"/>
      <c r="Q1074" s="362"/>
    </row>
    <row r="1075" spans="14:17" ht="24.95" customHeight="1">
      <c r="N1075" s="362"/>
      <c r="O1075" s="362"/>
      <c r="P1075" s="362"/>
      <c r="Q1075" s="362"/>
    </row>
    <row r="1076" spans="14:17" ht="24.95" customHeight="1">
      <c r="N1076" s="362"/>
      <c r="O1076" s="362"/>
      <c r="P1076" s="362"/>
      <c r="Q1076" s="362"/>
    </row>
    <row r="1077" spans="14:17" ht="24.95" customHeight="1">
      <c r="N1077" s="362"/>
      <c r="O1077" s="362"/>
      <c r="P1077" s="362"/>
      <c r="Q1077" s="362"/>
    </row>
    <row r="1078" spans="14:17" ht="24.95" customHeight="1">
      <c r="N1078" s="362"/>
      <c r="O1078" s="362"/>
      <c r="P1078" s="362"/>
      <c r="Q1078" s="362"/>
    </row>
    <row r="1079" spans="14:17" ht="24.95" customHeight="1">
      <c r="N1079" s="362"/>
      <c r="O1079" s="362"/>
      <c r="P1079" s="362"/>
      <c r="Q1079" s="362"/>
    </row>
    <row r="1080" spans="14:17" ht="24.95" customHeight="1">
      <c r="N1080" s="362"/>
      <c r="O1080" s="362"/>
      <c r="P1080" s="362"/>
      <c r="Q1080" s="362"/>
    </row>
    <row r="1081" spans="14:17" ht="24.95" customHeight="1">
      <c r="N1081" s="362"/>
      <c r="O1081" s="362"/>
      <c r="P1081" s="362"/>
      <c r="Q1081" s="362"/>
    </row>
    <row r="1082" spans="14:17" ht="24.95" customHeight="1">
      <c r="N1082" s="362"/>
      <c r="O1082" s="362"/>
      <c r="P1082" s="362"/>
      <c r="Q1082" s="362"/>
    </row>
    <row r="1083" spans="14:17" ht="24.95" customHeight="1">
      <c r="N1083" s="362"/>
      <c r="O1083" s="362"/>
      <c r="P1083" s="362"/>
      <c r="Q1083" s="362"/>
    </row>
    <row r="1084" spans="14:17" ht="24.95" customHeight="1">
      <c r="N1084" s="362"/>
      <c r="O1084" s="362"/>
      <c r="P1084" s="362"/>
      <c r="Q1084" s="362"/>
    </row>
    <row r="1085" spans="14:17" ht="24.95" customHeight="1">
      <c r="N1085" s="362"/>
      <c r="O1085" s="362"/>
      <c r="P1085" s="362"/>
      <c r="Q1085" s="362"/>
    </row>
    <row r="1086" spans="14:17" ht="24.95" customHeight="1">
      <c r="N1086" s="362"/>
      <c r="O1086" s="362"/>
      <c r="P1086" s="362"/>
      <c r="Q1086" s="362"/>
    </row>
    <row r="1087" spans="14:17" ht="24.95" customHeight="1">
      <c r="N1087" s="362"/>
      <c r="O1087" s="362"/>
      <c r="P1087" s="362"/>
      <c r="Q1087" s="362"/>
    </row>
    <row r="1088" spans="14:17" ht="24.95" customHeight="1">
      <c r="N1088" s="362"/>
      <c r="O1088" s="362"/>
      <c r="P1088" s="362"/>
      <c r="Q1088" s="362"/>
    </row>
    <row r="1089" spans="14:17" ht="24.95" customHeight="1">
      <c r="N1089" s="362"/>
      <c r="O1089" s="362"/>
      <c r="P1089" s="362"/>
      <c r="Q1089" s="362"/>
    </row>
    <row r="1090" spans="14:17" ht="24.95" customHeight="1">
      <c r="N1090" s="362"/>
      <c r="O1090" s="362"/>
      <c r="P1090" s="362"/>
      <c r="Q1090" s="362"/>
    </row>
    <row r="1091" spans="14:17" ht="24.95" customHeight="1">
      <c r="N1091" s="362"/>
      <c r="O1091" s="362"/>
      <c r="P1091" s="362"/>
      <c r="Q1091" s="362"/>
    </row>
    <row r="1092" spans="14:17" ht="24.95" customHeight="1">
      <c r="N1092" s="362"/>
      <c r="O1092" s="362"/>
      <c r="P1092" s="362"/>
      <c r="Q1092" s="362"/>
    </row>
    <row r="1093" spans="14:17" ht="24.95" customHeight="1">
      <c r="N1093" s="362"/>
      <c r="O1093" s="362"/>
      <c r="P1093" s="362"/>
      <c r="Q1093" s="362"/>
    </row>
    <row r="1094" spans="14:17" ht="24.95" customHeight="1">
      <c r="N1094" s="362"/>
      <c r="O1094" s="362"/>
      <c r="P1094" s="362"/>
      <c r="Q1094" s="362"/>
    </row>
    <row r="1095" spans="14:17" ht="24.95" customHeight="1">
      <c r="N1095" s="362"/>
      <c r="O1095" s="362"/>
      <c r="P1095" s="362"/>
      <c r="Q1095" s="362"/>
    </row>
    <row r="1096" spans="14:17" ht="24.95" customHeight="1">
      <c r="N1096" s="362"/>
      <c r="O1096" s="362"/>
      <c r="P1096" s="362"/>
      <c r="Q1096" s="362"/>
    </row>
    <row r="1097" spans="14:17" ht="24.95" customHeight="1">
      <c r="N1097" s="362"/>
      <c r="O1097" s="362"/>
      <c r="P1097" s="362"/>
      <c r="Q1097" s="362"/>
    </row>
    <row r="1098" spans="14:17" ht="24.95" customHeight="1">
      <c r="N1098" s="362"/>
      <c r="O1098" s="362"/>
      <c r="P1098" s="362"/>
      <c r="Q1098" s="362"/>
    </row>
    <row r="1099" spans="14:17" ht="24.95" customHeight="1">
      <c r="N1099" s="362"/>
      <c r="O1099" s="362"/>
      <c r="P1099" s="362"/>
      <c r="Q1099" s="362"/>
    </row>
    <row r="1100" spans="14:17" ht="24.95" customHeight="1">
      <c r="N1100" s="362"/>
      <c r="O1100" s="362"/>
      <c r="P1100" s="362"/>
      <c r="Q1100" s="362"/>
    </row>
    <row r="1101" spans="14:17" ht="24.95" customHeight="1">
      <c r="N1101" s="362"/>
      <c r="O1101" s="362"/>
      <c r="P1101" s="362"/>
      <c r="Q1101" s="362"/>
    </row>
    <row r="1102" spans="14:17" ht="24.95" customHeight="1">
      <c r="N1102" s="362"/>
      <c r="O1102" s="362"/>
      <c r="P1102" s="362"/>
      <c r="Q1102" s="362"/>
    </row>
    <row r="1103" spans="14:17" ht="24.95" customHeight="1">
      <c r="N1103" s="362"/>
      <c r="O1103" s="362"/>
      <c r="P1103" s="362"/>
      <c r="Q1103" s="362"/>
    </row>
    <row r="1104" spans="14:17" ht="24.95" customHeight="1">
      <c r="N1104" s="362"/>
      <c r="O1104" s="362"/>
      <c r="P1104" s="362"/>
      <c r="Q1104" s="362"/>
    </row>
    <row r="1105" spans="14:17" ht="24.95" customHeight="1">
      <c r="N1105" s="362"/>
      <c r="O1105" s="362"/>
      <c r="P1105" s="362"/>
      <c r="Q1105" s="362"/>
    </row>
    <row r="1106" spans="14:17" ht="24.95" customHeight="1">
      <c r="N1106" s="362"/>
      <c r="O1106" s="362"/>
      <c r="P1106" s="362"/>
      <c r="Q1106" s="362"/>
    </row>
    <row r="1107" spans="14:17" ht="24.95" customHeight="1">
      <c r="N1107" s="362"/>
      <c r="O1107" s="362"/>
      <c r="P1107" s="362"/>
      <c r="Q1107" s="362"/>
    </row>
    <row r="1108" spans="14:17" ht="24.95" customHeight="1">
      <c r="N1108" s="362"/>
      <c r="O1108" s="362"/>
      <c r="P1108" s="362"/>
      <c r="Q1108" s="362"/>
    </row>
    <row r="1109" spans="14:17" ht="24.95" customHeight="1">
      <c r="N1109" s="362"/>
      <c r="O1109" s="362"/>
      <c r="P1109" s="362"/>
      <c r="Q1109" s="362"/>
    </row>
    <row r="1110" spans="14:17" ht="24.95" customHeight="1">
      <c r="N1110" s="362"/>
      <c r="O1110" s="362"/>
      <c r="P1110" s="362"/>
      <c r="Q1110" s="362"/>
    </row>
    <row r="1111" spans="14:17" ht="24.95" customHeight="1">
      <c r="N1111" s="362"/>
      <c r="O1111" s="362"/>
      <c r="P1111" s="362"/>
      <c r="Q1111" s="362"/>
    </row>
    <row r="1112" spans="14:17" ht="24.95" customHeight="1">
      <c r="N1112" s="362"/>
      <c r="O1112" s="362"/>
      <c r="P1112" s="362"/>
      <c r="Q1112" s="362"/>
    </row>
    <row r="1113" spans="14:17" ht="24.95" customHeight="1">
      <c r="N1113" s="362"/>
      <c r="O1113" s="362"/>
      <c r="P1113" s="362"/>
      <c r="Q1113" s="362"/>
    </row>
    <row r="1114" spans="14:17" ht="24.95" customHeight="1">
      <c r="N1114" s="362"/>
      <c r="O1114" s="362"/>
      <c r="P1114" s="362"/>
      <c r="Q1114" s="362"/>
    </row>
    <row r="1115" spans="14:17" ht="24.95" customHeight="1">
      <c r="N1115" s="362"/>
      <c r="O1115" s="362"/>
      <c r="P1115" s="362"/>
      <c r="Q1115" s="362"/>
    </row>
    <row r="1116" spans="14:17" ht="24.95" customHeight="1">
      <c r="N1116" s="362"/>
      <c r="O1116" s="362"/>
      <c r="P1116" s="362"/>
      <c r="Q1116" s="362"/>
    </row>
    <row r="1117" spans="14:17" ht="24.95" customHeight="1">
      <c r="N1117" s="362"/>
      <c r="O1117" s="362"/>
      <c r="P1117" s="362"/>
      <c r="Q1117" s="362"/>
    </row>
    <row r="1118" spans="14:17" ht="24.95" customHeight="1">
      <c r="N1118" s="362"/>
      <c r="O1118" s="362"/>
      <c r="P1118" s="362"/>
      <c r="Q1118" s="362"/>
    </row>
    <row r="1119" spans="14:17" ht="24.95" customHeight="1">
      <c r="N1119" s="362"/>
      <c r="O1119" s="362"/>
      <c r="P1119" s="362"/>
      <c r="Q1119" s="362"/>
    </row>
    <row r="1120" spans="14:17" ht="24.95" customHeight="1">
      <c r="N1120" s="362"/>
      <c r="O1120" s="362"/>
      <c r="P1120" s="362"/>
      <c r="Q1120" s="362"/>
    </row>
    <row r="1121" spans="14:17" ht="24.95" customHeight="1">
      <c r="N1121" s="362"/>
      <c r="O1121" s="362"/>
      <c r="P1121" s="362"/>
      <c r="Q1121" s="362"/>
    </row>
    <row r="1122" spans="14:17" ht="24.95" customHeight="1">
      <c r="N1122" s="362"/>
      <c r="O1122" s="362"/>
      <c r="P1122" s="362"/>
      <c r="Q1122" s="362"/>
    </row>
    <row r="1123" spans="14:17" ht="24.95" customHeight="1">
      <c r="N1123" s="362"/>
      <c r="O1123" s="362"/>
      <c r="P1123" s="362"/>
      <c r="Q1123" s="362"/>
    </row>
    <row r="1124" spans="14:17" ht="24.95" customHeight="1">
      <c r="N1124" s="362"/>
      <c r="O1124" s="362"/>
      <c r="P1124" s="362"/>
      <c r="Q1124" s="362"/>
    </row>
    <row r="1125" spans="14:17" ht="24.95" customHeight="1">
      <c r="N1125" s="362"/>
      <c r="O1125" s="362"/>
      <c r="P1125" s="362"/>
      <c r="Q1125" s="362"/>
    </row>
    <row r="1126" spans="14:17" ht="24.95" customHeight="1">
      <c r="N1126" s="362"/>
      <c r="O1126" s="362"/>
      <c r="P1126" s="362"/>
      <c r="Q1126" s="362"/>
    </row>
    <row r="1127" spans="14:17" ht="24.95" customHeight="1">
      <c r="N1127" s="362"/>
      <c r="O1127" s="362"/>
      <c r="P1127" s="362"/>
      <c r="Q1127" s="362"/>
    </row>
    <row r="1128" spans="14:17" ht="24.95" customHeight="1">
      <c r="N1128" s="362"/>
      <c r="O1128" s="362"/>
      <c r="P1128" s="362"/>
      <c r="Q1128" s="362"/>
    </row>
    <row r="1129" spans="14:17" ht="24.95" customHeight="1">
      <c r="N1129" s="362"/>
      <c r="O1129" s="362"/>
      <c r="P1129" s="362"/>
      <c r="Q1129" s="362"/>
    </row>
    <row r="1130" spans="14:17" ht="24.95" customHeight="1">
      <c r="N1130" s="362"/>
      <c r="O1130" s="362"/>
      <c r="P1130" s="362"/>
      <c r="Q1130" s="362"/>
    </row>
    <row r="1131" spans="14:17" ht="24.95" customHeight="1">
      <c r="N1131" s="362"/>
      <c r="O1131" s="362"/>
      <c r="P1131" s="362"/>
      <c r="Q1131" s="362"/>
    </row>
    <row r="1132" spans="14:17" ht="24.95" customHeight="1">
      <c r="N1132" s="362"/>
      <c r="O1132" s="362"/>
      <c r="P1132" s="362"/>
      <c r="Q1132" s="362"/>
    </row>
    <row r="1133" spans="14:17" ht="24.95" customHeight="1">
      <c r="N1133" s="362"/>
      <c r="O1133" s="362"/>
      <c r="P1133" s="362"/>
      <c r="Q1133" s="362"/>
    </row>
    <row r="1134" spans="14:17" ht="24.95" customHeight="1">
      <c r="N1134" s="362"/>
      <c r="O1134" s="362"/>
      <c r="P1134" s="362"/>
      <c r="Q1134" s="362"/>
    </row>
    <row r="1135" spans="14:17" ht="24.95" customHeight="1">
      <c r="N1135" s="362"/>
      <c r="O1135" s="362"/>
      <c r="P1135" s="362"/>
      <c r="Q1135" s="362"/>
    </row>
    <row r="1136" spans="14:17" ht="24.95" customHeight="1">
      <c r="N1136" s="362"/>
      <c r="O1136" s="362"/>
      <c r="P1136" s="362"/>
      <c r="Q1136" s="362"/>
    </row>
    <row r="1137" spans="14:17" ht="24.95" customHeight="1">
      <c r="N1137" s="362"/>
      <c r="O1137" s="362"/>
      <c r="P1137" s="362"/>
      <c r="Q1137" s="362"/>
    </row>
    <row r="1138" spans="14:17" ht="24.95" customHeight="1">
      <c r="N1138" s="362"/>
      <c r="O1138" s="362"/>
      <c r="P1138" s="362"/>
      <c r="Q1138" s="362"/>
    </row>
    <row r="1139" spans="14:17" ht="24.95" customHeight="1">
      <c r="N1139" s="362"/>
      <c r="O1139" s="362"/>
      <c r="P1139" s="362"/>
      <c r="Q1139" s="362"/>
    </row>
    <row r="1140" spans="14:17" ht="24.95" customHeight="1">
      <c r="N1140" s="362"/>
      <c r="O1140" s="362"/>
      <c r="P1140" s="362"/>
      <c r="Q1140" s="362"/>
    </row>
    <row r="1141" spans="14:17" ht="24.95" customHeight="1">
      <c r="N1141" s="362"/>
      <c r="O1141" s="362"/>
      <c r="P1141" s="362"/>
      <c r="Q1141" s="362"/>
    </row>
    <row r="1142" spans="14:17" ht="24.95" customHeight="1">
      <c r="N1142" s="362"/>
      <c r="O1142" s="362"/>
      <c r="P1142" s="362"/>
      <c r="Q1142" s="362"/>
    </row>
    <row r="1143" spans="14:17" ht="24.95" customHeight="1">
      <c r="N1143" s="362"/>
      <c r="O1143" s="362"/>
      <c r="P1143" s="362"/>
      <c r="Q1143" s="362"/>
    </row>
    <row r="1144" spans="14:17" ht="24.95" customHeight="1">
      <c r="N1144" s="362"/>
      <c r="O1144" s="362"/>
      <c r="P1144" s="362"/>
      <c r="Q1144" s="362"/>
    </row>
    <row r="1145" spans="14:17" ht="24.95" customHeight="1">
      <c r="N1145" s="362"/>
      <c r="O1145" s="362"/>
      <c r="P1145" s="362"/>
      <c r="Q1145" s="362"/>
    </row>
    <row r="1146" spans="14:17" ht="24.95" customHeight="1">
      <c r="N1146" s="362"/>
      <c r="O1146" s="362"/>
      <c r="P1146" s="362"/>
      <c r="Q1146" s="362"/>
    </row>
    <row r="1147" spans="14:17" ht="24.95" customHeight="1">
      <c r="N1147" s="362"/>
      <c r="O1147" s="362"/>
      <c r="P1147" s="362"/>
      <c r="Q1147" s="362"/>
    </row>
    <row r="1148" spans="14:17" ht="24.95" customHeight="1">
      <c r="N1148" s="362"/>
      <c r="O1148" s="362"/>
      <c r="P1148" s="362"/>
      <c r="Q1148" s="362"/>
    </row>
    <row r="1149" spans="14:17" ht="24.95" customHeight="1">
      <c r="N1149" s="362"/>
      <c r="O1149" s="362"/>
      <c r="P1149" s="362"/>
      <c r="Q1149" s="362"/>
    </row>
    <row r="1150" spans="14:17" ht="24.95" customHeight="1">
      <c r="N1150" s="362"/>
      <c r="O1150" s="362"/>
      <c r="P1150" s="362"/>
      <c r="Q1150" s="362"/>
    </row>
    <row r="1151" spans="14:17" ht="24.95" customHeight="1">
      <c r="N1151" s="362"/>
      <c r="O1151" s="362"/>
      <c r="P1151" s="362"/>
      <c r="Q1151" s="362"/>
    </row>
    <row r="1152" spans="14:17" ht="24.95" customHeight="1">
      <c r="N1152" s="362"/>
      <c r="O1152" s="362"/>
      <c r="P1152" s="362"/>
      <c r="Q1152" s="362"/>
    </row>
    <row r="1153" spans="14:17" ht="24.95" customHeight="1">
      <c r="N1153" s="362"/>
      <c r="O1153" s="362"/>
      <c r="P1153" s="362"/>
      <c r="Q1153" s="362"/>
    </row>
    <row r="1154" spans="14:17" ht="24.95" customHeight="1">
      <c r="N1154" s="362"/>
      <c r="O1154" s="362"/>
      <c r="P1154" s="362"/>
      <c r="Q1154" s="362"/>
    </row>
    <row r="1155" spans="14:17" ht="24.95" customHeight="1">
      <c r="N1155" s="362"/>
      <c r="O1155" s="362"/>
      <c r="P1155" s="362"/>
      <c r="Q1155" s="362"/>
    </row>
    <row r="1156" spans="14:17" ht="24.95" customHeight="1">
      <c r="N1156" s="362"/>
      <c r="O1156" s="362"/>
      <c r="P1156" s="362"/>
      <c r="Q1156" s="362"/>
    </row>
    <row r="1157" spans="14:17" ht="24.95" customHeight="1">
      <c r="N1157" s="362"/>
      <c r="O1157" s="362"/>
      <c r="P1157" s="362"/>
      <c r="Q1157" s="362"/>
    </row>
    <row r="1158" spans="14:17" ht="24.95" customHeight="1">
      <c r="N1158" s="362"/>
      <c r="O1158" s="362"/>
      <c r="P1158" s="362"/>
      <c r="Q1158" s="362"/>
    </row>
    <row r="1159" spans="14:17" ht="24.95" customHeight="1">
      <c r="N1159" s="362"/>
      <c r="O1159" s="362"/>
      <c r="P1159" s="362"/>
      <c r="Q1159" s="362"/>
    </row>
    <row r="1160" spans="14:17" ht="24.95" customHeight="1">
      <c r="N1160" s="362"/>
      <c r="O1160" s="362"/>
      <c r="P1160" s="362"/>
      <c r="Q1160" s="362"/>
    </row>
    <row r="1161" spans="14:17" ht="24.95" customHeight="1">
      <c r="N1161" s="362"/>
      <c r="O1161" s="362"/>
      <c r="P1161" s="362"/>
      <c r="Q1161" s="362"/>
    </row>
    <row r="1162" spans="14:17" ht="24.95" customHeight="1">
      <c r="N1162" s="362"/>
      <c r="O1162" s="362"/>
      <c r="P1162" s="362"/>
      <c r="Q1162" s="362"/>
    </row>
    <row r="1163" spans="14:17" ht="24.95" customHeight="1">
      <c r="N1163" s="362"/>
      <c r="O1163" s="362"/>
      <c r="P1163" s="362"/>
      <c r="Q1163" s="362"/>
    </row>
    <row r="1164" spans="14:17" ht="24.95" customHeight="1">
      <c r="N1164" s="362"/>
      <c r="O1164" s="362"/>
      <c r="P1164" s="362"/>
      <c r="Q1164" s="362"/>
    </row>
    <row r="1165" spans="14:17" ht="24.95" customHeight="1">
      <c r="N1165" s="362"/>
      <c r="O1165" s="362"/>
      <c r="P1165" s="362"/>
      <c r="Q1165" s="362"/>
    </row>
    <row r="1166" spans="14:17" ht="24.95" customHeight="1">
      <c r="N1166" s="362"/>
      <c r="O1166" s="362"/>
      <c r="P1166" s="362"/>
      <c r="Q1166" s="362"/>
    </row>
    <row r="1167" spans="14:17" ht="24.95" customHeight="1">
      <c r="N1167" s="362"/>
      <c r="O1167" s="362"/>
      <c r="P1167" s="362"/>
      <c r="Q1167" s="362"/>
    </row>
    <row r="1168" spans="14:17" ht="24.95" customHeight="1">
      <c r="N1168" s="362"/>
      <c r="O1168" s="362"/>
      <c r="P1168" s="362"/>
      <c r="Q1168" s="362"/>
    </row>
    <row r="1169" spans="14:17" ht="24.95" customHeight="1">
      <c r="N1169" s="362"/>
      <c r="O1169" s="362"/>
      <c r="P1169" s="362"/>
      <c r="Q1169" s="362"/>
    </row>
    <row r="1170" spans="14:17" ht="24.95" customHeight="1">
      <c r="N1170" s="362"/>
      <c r="O1170" s="362"/>
      <c r="P1170" s="362"/>
      <c r="Q1170" s="362"/>
    </row>
    <row r="1171" spans="14:17" ht="24.95" customHeight="1">
      <c r="N1171" s="362"/>
      <c r="O1171" s="362"/>
      <c r="P1171" s="362"/>
      <c r="Q1171" s="362"/>
    </row>
    <row r="1172" spans="14:17" ht="24.95" customHeight="1">
      <c r="N1172" s="362"/>
      <c r="O1172" s="362"/>
      <c r="P1172" s="362"/>
      <c r="Q1172" s="362"/>
    </row>
    <row r="1173" spans="14:17" ht="24.95" customHeight="1">
      <c r="N1173" s="362"/>
      <c r="O1173" s="362"/>
      <c r="P1173" s="362"/>
      <c r="Q1173" s="362"/>
    </row>
    <row r="1174" spans="14:17" ht="24.95" customHeight="1">
      <c r="N1174" s="362"/>
      <c r="O1174" s="362"/>
      <c r="P1174" s="362"/>
      <c r="Q1174" s="362"/>
    </row>
    <row r="1175" spans="14:17" ht="24.95" customHeight="1">
      <c r="N1175" s="362"/>
      <c r="O1175" s="362"/>
      <c r="P1175" s="362"/>
      <c r="Q1175" s="362"/>
    </row>
    <row r="1176" spans="14:17" ht="24.95" customHeight="1">
      <c r="N1176" s="362"/>
      <c r="O1176" s="362"/>
      <c r="P1176" s="362"/>
      <c r="Q1176" s="362"/>
    </row>
    <row r="1177" spans="14:17" ht="24.95" customHeight="1">
      <c r="N1177" s="362"/>
      <c r="O1177" s="362"/>
      <c r="P1177" s="362"/>
      <c r="Q1177" s="362"/>
    </row>
    <row r="1178" spans="14:17" ht="24.95" customHeight="1">
      <c r="N1178" s="362"/>
      <c r="O1178" s="362"/>
      <c r="P1178" s="362"/>
      <c r="Q1178" s="362"/>
    </row>
    <row r="1179" spans="14:17" ht="24.95" customHeight="1">
      <c r="N1179" s="362"/>
      <c r="O1179" s="362"/>
      <c r="P1179" s="362"/>
      <c r="Q1179" s="362"/>
    </row>
    <row r="1180" spans="14:17" ht="24.95" customHeight="1">
      <c r="N1180" s="362"/>
      <c r="O1180" s="362"/>
      <c r="P1180" s="362"/>
      <c r="Q1180" s="362"/>
    </row>
    <row r="1181" spans="14:17" ht="24.95" customHeight="1">
      <c r="N1181" s="362"/>
      <c r="O1181" s="362"/>
      <c r="P1181" s="362"/>
      <c r="Q1181" s="362"/>
    </row>
    <row r="1182" spans="14:17" ht="24.95" customHeight="1">
      <c r="N1182" s="362"/>
      <c r="O1182" s="362"/>
      <c r="P1182" s="362"/>
      <c r="Q1182" s="362"/>
    </row>
    <row r="1183" spans="14:17" ht="24.95" customHeight="1">
      <c r="N1183" s="362"/>
      <c r="O1183" s="362"/>
      <c r="P1183" s="362"/>
      <c r="Q1183" s="362"/>
    </row>
    <row r="1184" spans="14:17" ht="24.95" customHeight="1">
      <c r="N1184" s="362"/>
      <c r="O1184" s="362"/>
      <c r="P1184" s="362"/>
      <c r="Q1184" s="362"/>
    </row>
    <row r="1185" spans="14:17" ht="24.95" customHeight="1">
      <c r="N1185" s="362"/>
      <c r="O1185" s="362"/>
      <c r="P1185" s="362"/>
      <c r="Q1185" s="362"/>
    </row>
    <row r="1186" spans="14:17" ht="24.95" customHeight="1">
      <c r="N1186" s="362"/>
      <c r="O1186" s="362"/>
      <c r="P1186" s="362"/>
      <c r="Q1186" s="362"/>
    </row>
    <row r="1187" spans="14:17" ht="24.95" customHeight="1">
      <c r="N1187" s="362"/>
      <c r="O1187" s="362"/>
      <c r="P1187" s="362"/>
      <c r="Q1187" s="362"/>
    </row>
    <row r="1188" spans="14:17" ht="24.95" customHeight="1">
      <c r="N1188" s="362"/>
      <c r="O1188" s="362"/>
      <c r="P1188" s="362"/>
      <c r="Q1188" s="362"/>
    </row>
    <row r="1189" spans="14:17" ht="24.95" customHeight="1">
      <c r="N1189" s="362"/>
      <c r="O1189" s="362"/>
      <c r="P1189" s="362"/>
      <c r="Q1189" s="362"/>
    </row>
    <row r="1190" spans="14:17" ht="24.95" customHeight="1">
      <c r="N1190" s="362"/>
      <c r="O1190" s="362"/>
      <c r="P1190" s="362"/>
      <c r="Q1190" s="362"/>
    </row>
    <row r="1191" spans="14:17" ht="24.95" customHeight="1">
      <c r="N1191" s="362"/>
      <c r="O1191" s="362"/>
      <c r="P1191" s="362"/>
      <c r="Q1191" s="362"/>
    </row>
    <row r="1192" spans="14:17" ht="24.95" customHeight="1">
      <c r="N1192" s="362"/>
      <c r="O1192" s="362"/>
      <c r="P1192" s="362"/>
      <c r="Q1192" s="362"/>
    </row>
    <row r="1193" spans="14:17" ht="24.95" customHeight="1">
      <c r="N1193" s="362"/>
      <c r="O1193" s="362"/>
      <c r="P1193" s="362"/>
      <c r="Q1193" s="362"/>
    </row>
    <row r="1194" spans="14:17" ht="24.95" customHeight="1">
      <c r="N1194" s="362"/>
      <c r="O1194" s="362"/>
      <c r="P1194" s="362"/>
      <c r="Q1194" s="362"/>
    </row>
    <row r="1195" spans="14:17" ht="24.95" customHeight="1">
      <c r="N1195" s="362"/>
      <c r="O1195" s="362"/>
      <c r="P1195" s="362"/>
      <c r="Q1195" s="362"/>
    </row>
    <row r="1196" spans="14:17" ht="24.95" customHeight="1">
      <c r="N1196" s="362"/>
      <c r="O1196" s="362"/>
      <c r="P1196" s="362"/>
      <c r="Q1196" s="362"/>
    </row>
    <row r="1197" spans="14:17" ht="24.95" customHeight="1">
      <c r="N1197" s="362"/>
      <c r="O1197" s="362"/>
      <c r="P1197" s="362"/>
      <c r="Q1197" s="362"/>
    </row>
    <row r="1198" spans="14:17" ht="24.95" customHeight="1">
      <c r="N1198" s="362"/>
      <c r="O1198" s="362"/>
      <c r="P1198" s="362"/>
      <c r="Q1198" s="362"/>
    </row>
    <row r="1199" spans="14:17" ht="24.95" customHeight="1">
      <c r="N1199" s="362"/>
      <c r="O1199" s="362"/>
      <c r="P1199" s="362"/>
      <c r="Q1199" s="362"/>
    </row>
    <row r="1200" spans="14:17" ht="24.95" customHeight="1">
      <c r="N1200" s="362"/>
      <c r="O1200" s="362"/>
      <c r="P1200" s="362"/>
      <c r="Q1200" s="362"/>
    </row>
    <row r="1201" spans="14:17" ht="24.95" customHeight="1">
      <c r="N1201" s="362"/>
      <c r="O1201" s="362"/>
      <c r="P1201" s="362"/>
      <c r="Q1201" s="362"/>
    </row>
    <row r="1202" spans="14:17" ht="24.95" customHeight="1">
      <c r="N1202" s="362"/>
      <c r="O1202" s="362"/>
      <c r="P1202" s="362"/>
      <c r="Q1202" s="362"/>
    </row>
    <row r="1203" spans="14:17" ht="24.95" customHeight="1">
      <c r="N1203" s="362"/>
      <c r="O1203" s="362"/>
      <c r="P1203" s="362"/>
      <c r="Q1203" s="362"/>
    </row>
    <row r="1204" spans="14:17" ht="24.95" customHeight="1">
      <c r="N1204" s="362"/>
      <c r="O1204" s="362"/>
      <c r="P1204" s="362"/>
      <c r="Q1204" s="362"/>
    </row>
    <row r="1205" spans="14:17" ht="24.95" customHeight="1">
      <c r="N1205" s="362"/>
      <c r="O1205" s="362"/>
      <c r="P1205" s="362"/>
      <c r="Q1205" s="362"/>
    </row>
    <row r="1206" spans="14:17" ht="24.95" customHeight="1">
      <c r="N1206" s="362"/>
      <c r="O1206" s="362"/>
      <c r="P1206" s="362"/>
      <c r="Q1206" s="362"/>
    </row>
    <row r="1207" spans="14:17" ht="24.95" customHeight="1">
      <c r="N1207" s="362"/>
      <c r="O1207" s="362"/>
      <c r="P1207" s="362"/>
      <c r="Q1207" s="362"/>
    </row>
    <row r="1208" spans="14:17" ht="24.95" customHeight="1">
      <c r="N1208" s="362"/>
      <c r="O1208" s="362"/>
      <c r="P1208" s="362"/>
      <c r="Q1208" s="362"/>
    </row>
    <row r="1209" spans="14:17" ht="24.95" customHeight="1">
      <c r="N1209" s="362"/>
      <c r="O1209" s="362"/>
      <c r="P1209" s="362"/>
      <c r="Q1209" s="362"/>
    </row>
    <row r="1210" spans="14:17" ht="24.95" customHeight="1">
      <c r="N1210" s="362"/>
      <c r="O1210" s="362"/>
      <c r="P1210" s="362"/>
      <c r="Q1210" s="362"/>
    </row>
    <row r="1211" spans="14:17" ht="24.95" customHeight="1">
      <c r="N1211" s="362"/>
      <c r="O1211" s="362"/>
      <c r="P1211" s="362"/>
      <c r="Q1211" s="362"/>
    </row>
    <row r="1212" spans="14:17" ht="24.95" customHeight="1">
      <c r="N1212" s="362"/>
      <c r="O1212" s="362"/>
      <c r="P1212" s="362"/>
      <c r="Q1212" s="362"/>
    </row>
    <row r="1213" spans="14:17" ht="24.95" customHeight="1">
      <c r="N1213" s="362"/>
      <c r="O1213" s="362"/>
      <c r="P1213" s="362"/>
      <c r="Q1213" s="362"/>
    </row>
    <row r="1214" spans="14:17" ht="24.95" customHeight="1">
      <c r="N1214" s="362"/>
      <c r="O1214" s="362"/>
      <c r="P1214" s="362"/>
      <c r="Q1214" s="362"/>
    </row>
    <row r="1215" spans="14:17" ht="24.95" customHeight="1">
      <c r="N1215" s="362"/>
      <c r="O1215" s="362"/>
      <c r="P1215" s="362"/>
      <c r="Q1215" s="362"/>
    </row>
    <row r="1216" spans="14:17" ht="24.95" customHeight="1">
      <c r="N1216" s="362"/>
      <c r="O1216" s="362"/>
      <c r="P1216" s="362"/>
      <c r="Q1216" s="362"/>
    </row>
    <row r="1217" spans="14:17" ht="24.95" customHeight="1">
      <c r="N1217" s="362"/>
      <c r="O1217" s="362"/>
      <c r="P1217" s="362"/>
      <c r="Q1217" s="362"/>
    </row>
    <row r="1218" spans="14:17" ht="24.95" customHeight="1">
      <c r="N1218" s="362"/>
      <c r="O1218" s="362"/>
      <c r="P1218" s="362"/>
      <c r="Q1218" s="362"/>
    </row>
    <row r="1219" spans="14:17" ht="24.95" customHeight="1">
      <c r="N1219" s="362"/>
      <c r="O1219" s="362"/>
      <c r="P1219" s="362"/>
      <c r="Q1219" s="362"/>
    </row>
    <row r="1220" spans="14:17" ht="24.95" customHeight="1">
      <c r="N1220" s="362"/>
      <c r="O1220" s="362"/>
      <c r="P1220" s="362"/>
      <c r="Q1220" s="362"/>
    </row>
    <row r="1221" spans="14:17" ht="24.95" customHeight="1">
      <c r="N1221" s="362"/>
      <c r="O1221" s="362"/>
      <c r="P1221" s="362"/>
      <c r="Q1221" s="362"/>
    </row>
    <row r="1222" spans="14:17" ht="24.95" customHeight="1">
      <c r="N1222" s="362"/>
      <c r="O1222" s="362"/>
      <c r="P1222" s="362"/>
      <c r="Q1222" s="362"/>
    </row>
    <row r="1223" spans="14:17" ht="24.95" customHeight="1">
      <c r="N1223" s="362"/>
      <c r="O1223" s="362"/>
      <c r="P1223" s="362"/>
      <c r="Q1223" s="362"/>
    </row>
    <row r="1224" spans="14:17" ht="24.95" customHeight="1">
      <c r="N1224" s="362"/>
      <c r="O1224" s="362"/>
      <c r="P1224" s="362"/>
      <c r="Q1224" s="362"/>
    </row>
    <row r="1225" spans="14:17" ht="24.95" customHeight="1">
      <c r="N1225" s="362"/>
      <c r="O1225" s="362"/>
      <c r="P1225" s="362"/>
      <c r="Q1225" s="362"/>
    </row>
    <row r="1226" spans="14:17" ht="24.95" customHeight="1">
      <c r="N1226" s="362"/>
      <c r="O1226" s="362"/>
      <c r="P1226" s="362"/>
      <c r="Q1226" s="362"/>
    </row>
    <row r="1227" spans="14:17" ht="24.95" customHeight="1">
      <c r="N1227" s="362"/>
      <c r="O1227" s="362"/>
      <c r="P1227" s="362"/>
      <c r="Q1227" s="362"/>
    </row>
    <row r="1228" spans="14:17" ht="24.95" customHeight="1">
      <c r="N1228" s="362"/>
      <c r="O1228" s="362"/>
      <c r="P1228" s="362"/>
      <c r="Q1228" s="362"/>
    </row>
    <row r="1229" spans="14:17" ht="24.95" customHeight="1">
      <c r="N1229" s="362"/>
      <c r="O1229" s="362"/>
      <c r="P1229" s="362"/>
      <c r="Q1229" s="362"/>
    </row>
    <row r="1230" spans="14:17" ht="24.95" customHeight="1">
      <c r="N1230" s="362"/>
      <c r="O1230" s="362"/>
      <c r="P1230" s="362"/>
      <c r="Q1230" s="362"/>
    </row>
    <row r="1231" spans="14:17" ht="24.95" customHeight="1">
      <c r="N1231" s="362"/>
      <c r="O1231" s="362"/>
      <c r="P1231" s="362"/>
      <c r="Q1231" s="362"/>
    </row>
    <row r="1232" spans="14:17" ht="24.95" customHeight="1">
      <c r="N1232" s="362"/>
      <c r="O1232" s="362"/>
      <c r="P1232" s="362"/>
      <c r="Q1232" s="362"/>
    </row>
    <row r="1233" spans="14:17" ht="24.95" customHeight="1">
      <c r="N1233" s="362"/>
      <c r="O1233" s="362"/>
      <c r="P1233" s="362"/>
      <c r="Q1233" s="362"/>
    </row>
    <row r="1234" spans="14:17" ht="24.95" customHeight="1">
      <c r="N1234" s="362"/>
      <c r="O1234" s="362"/>
      <c r="P1234" s="362"/>
      <c r="Q1234" s="362"/>
    </row>
    <row r="1235" spans="14:17" ht="24.95" customHeight="1">
      <c r="N1235" s="362"/>
      <c r="O1235" s="362"/>
      <c r="P1235" s="362"/>
      <c r="Q1235" s="362"/>
    </row>
    <row r="1236" spans="14:17" ht="24.95" customHeight="1">
      <c r="N1236" s="362"/>
      <c r="O1236" s="362"/>
      <c r="P1236" s="362"/>
      <c r="Q1236" s="362"/>
    </row>
    <row r="1237" spans="14:17" ht="24.95" customHeight="1">
      <c r="N1237" s="362"/>
      <c r="O1237" s="362"/>
      <c r="P1237" s="362"/>
      <c r="Q1237" s="362"/>
    </row>
    <row r="1238" spans="14:17" ht="24.95" customHeight="1">
      <c r="N1238" s="362"/>
      <c r="O1238" s="362"/>
      <c r="P1238" s="362"/>
      <c r="Q1238" s="362"/>
    </row>
    <row r="1239" spans="14:17" ht="24.95" customHeight="1">
      <c r="N1239" s="362"/>
      <c r="O1239" s="362"/>
      <c r="P1239" s="362"/>
      <c r="Q1239" s="362"/>
    </row>
    <row r="1240" spans="14:17" ht="24.95" customHeight="1">
      <c r="N1240" s="362"/>
      <c r="O1240" s="362"/>
      <c r="P1240" s="362"/>
      <c r="Q1240" s="362"/>
    </row>
    <row r="1241" spans="14:17" ht="24.95" customHeight="1">
      <c r="N1241" s="362"/>
      <c r="O1241" s="362"/>
      <c r="P1241" s="362"/>
      <c r="Q1241" s="362"/>
    </row>
    <row r="1242" spans="14:17" ht="24.95" customHeight="1">
      <c r="N1242" s="362"/>
      <c r="O1242" s="362"/>
      <c r="P1242" s="362"/>
      <c r="Q1242" s="362"/>
    </row>
    <row r="1243" spans="14:17" ht="24.95" customHeight="1">
      <c r="N1243" s="362"/>
      <c r="O1243" s="362"/>
      <c r="P1243" s="362"/>
      <c r="Q1243" s="362"/>
    </row>
    <row r="1244" spans="14:17" ht="24.95" customHeight="1">
      <c r="N1244" s="362"/>
      <c r="O1244" s="362"/>
      <c r="P1244" s="362"/>
      <c r="Q1244" s="362"/>
    </row>
    <row r="1245" spans="14:17" ht="24.95" customHeight="1">
      <c r="N1245" s="362"/>
      <c r="O1245" s="362"/>
      <c r="P1245" s="362"/>
      <c r="Q1245" s="362"/>
    </row>
    <row r="1246" spans="14:17" ht="24.95" customHeight="1">
      <c r="N1246" s="362"/>
      <c r="O1246" s="362"/>
      <c r="P1246" s="362"/>
      <c r="Q1246" s="362"/>
    </row>
    <row r="1247" spans="14:17" ht="24.95" customHeight="1">
      <c r="N1247" s="362"/>
      <c r="O1247" s="362"/>
      <c r="P1247" s="362"/>
      <c r="Q1247" s="362"/>
    </row>
    <row r="1248" spans="14:17" ht="24.95" customHeight="1">
      <c r="N1248" s="362"/>
      <c r="O1248" s="362"/>
      <c r="P1248" s="362"/>
      <c r="Q1248" s="362"/>
    </row>
    <row r="1249" spans="14:17" ht="24.95" customHeight="1">
      <c r="N1249" s="362"/>
      <c r="O1249" s="362"/>
      <c r="P1249" s="362"/>
      <c r="Q1249" s="362"/>
    </row>
    <row r="1250" spans="14:17" ht="24.95" customHeight="1">
      <c r="N1250" s="362"/>
      <c r="O1250" s="362"/>
      <c r="P1250" s="362"/>
      <c r="Q1250" s="362"/>
    </row>
    <row r="1251" spans="14:17" ht="24.95" customHeight="1">
      <c r="N1251" s="362"/>
      <c r="O1251" s="362"/>
      <c r="P1251" s="362"/>
      <c r="Q1251" s="362"/>
    </row>
    <row r="1252" spans="14:17" ht="24.95" customHeight="1">
      <c r="N1252" s="362"/>
      <c r="O1252" s="362"/>
      <c r="P1252" s="362"/>
      <c r="Q1252" s="362"/>
    </row>
    <row r="1253" spans="14:17" ht="24.95" customHeight="1">
      <c r="N1253" s="362"/>
      <c r="O1253" s="362"/>
      <c r="P1253" s="362"/>
      <c r="Q1253" s="362"/>
    </row>
    <row r="1254" spans="14:17" ht="24.95" customHeight="1">
      <c r="N1254" s="362"/>
      <c r="O1254" s="362"/>
      <c r="P1254" s="362"/>
      <c r="Q1254" s="362"/>
    </row>
    <row r="1255" spans="14:17" ht="24.95" customHeight="1">
      <c r="N1255" s="362"/>
      <c r="O1255" s="362"/>
      <c r="P1255" s="362"/>
      <c r="Q1255" s="362"/>
    </row>
    <row r="1256" spans="14:17" ht="24.95" customHeight="1">
      <c r="N1256" s="362"/>
      <c r="O1256" s="362"/>
      <c r="P1256" s="362"/>
      <c r="Q1256" s="362"/>
    </row>
    <row r="1257" spans="14:17" ht="24.95" customHeight="1">
      <c r="N1257" s="362"/>
      <c r="O1257" s="362"/>
      <c r="P1257" s="362"/>
      <c r="Q1257" s="362"/>
    </row>
    <row r="1258" spans="14:17" ht="24.95" customHeight="1">
      <c r="N1258" s="362"/>
      <c r="O1258" s="362"/>
      <c r="P1258" s="362"/>
      <c r="Q1258" s="362"/>
    </row>
    <row r="1259" spans="14:17" ht="24.95" customHeight="1">
      <c r="N1259" s="362"/>
      <c r="O1259" s="362"/>
      <c r="P1259" s="362"/>
      <c r="Q1259" s="362"/>
    </row>
    <row r="1260" spans="14:17" ht="24.95" customHeight="1">
      <c r="N1260" s="362"/>
      <c r="O1260" s="362"/>
      <c r="P1260" s="362"/>
      <c r="Q1260" s="362"/>
    </row>
    <row r="1261" spans="14:17" ht="24.95" customHeight="1">
      <c r="N1261" s="362"/>
      <c r="O1261" s="362"/>
      <c r="P1261" s="362"/>
      <c r="Q1261" s="362"/>
    </row>
    <row r="1262" spans="14:17" ht="24.95" customHeight="1">
      <c r="N1262" s="362"/>
      <c r="O1262" s="362"/>
      <c r="P1262" s="362"/>
      <c r="Q1262" s="362"/>
    </row>
    <row r="1263" spans="14:17" ht="24.95" customHeight="1">
      <c r="N1263" s="362"/>
      <c r="O1263" s="362"/>
      <c r="P1263" s="362"/>
      <c r="Q1263" s="362"/>
    </row>
    <row r="1264" spans="14:17" ht="24.95" customHeight="1">
      <c r="N1264" s="362"/>
      <c r="O1264" s="362"/>
      <c r="P1264" s="362"/>
      <c r="Q1264" s="362"/>
    </row>
    <row r="1265" spans="14:17" ht="24.95" customHeight="1">
      <c r="N1265" s="362"/>
      <c r="O1265" s="362"/>
      <c r="P1265" s="362"/>
      <c r="Q1265" s="362"/>
    </row>
    <row r="1266" spans="14:17" ht="24.95" customHeight="1">
      <c r="N1266" s="362"/>
      <c r="O1266" s="362"/>
      <c r="P1266" s="362"/>
      <c r="Q1266" s="362"/>
    </row>
    <row r="1267" spans="14:17" ht="24.95" customHeight="1">
      <c r="N1267" s="362"/>
      <c r="O1267" s="362"/>
      <c r="P1267" s="362"/>
      <c r="Q1267" s="362"/>
    </row>
    <row r="1268" spans="14:17" ht="24.95" customHeight="1">
      <c r="N1268" s="362"/>
      <c r="O1268" s="362"/>
      <c r="P1268" s="362"/>
      <c r="Q1268" s="362"/>
    </row>
    <row r="1269" spans="14:17" ht="24.95" customHeight="1">
      <c r="N1269" s="362"/>
      <c r="O1269" s="362"/>
      <c r="P1269" s="362"/>
      <c r="Q1269" s="362"/>
    </row>
    <row r="1270" spans="14:17" ht="24.95" customHeight="1">
      <c r="N1270" s="362"/>
      <c r="O1270" s="362"/>
      <c r="P1270" s="362"/>
      <c r="Q1270" s="362"/>
    </row>
    <row r="1271" spans="14:17" ht="24.95" customHeight="1">
      <c r="N1271" s="362"/>
      <c r="O1271" s="362"/>
      <c r="P1271" s="362"/>
      <c r="Q1271" s="362"/>
    </row>
    <row r="1272" spans="14:17" ht="24.95" customHeight="1">
      <c r="N1272" s="362"/>
      <c r="O1272" s="362"/>
      <c r="P1272" s="362"/>
      <c r="Q1272" s="362"/>
    </row>
    <row r="1273" spans="14:17" ht="24.95" customHeight="1">
      <c r="N1273" s="362"/>
      <c r="O1273" s="362"/>
      <c r="P1273" s="362"/>
      <c r="Q1273" s="362"/>
    </row>
    <row r="1274" spans="14:17" ht="24.95" customHeight="1">
      <c r="N1274" s="362"/>
      <c r="O1274" s="362"/>
      <c r="P1274" s="362"/>
      <c r="Q1274" s="362"/>
    </row>
    <row r="1275" spans="14:17" ht="24.95" customHeight="1">
      <c r="N1275" s="362"/>
      <c r="O1275" s="362"/>
      <c r="P1275" s="362"/>
      <c r="Q1275" s="362"/>
    </row>
    <row r="1276" spans="14:17" ht="24.95" customHeight="1">
      <c r="N1276" s="362"/>
      <c r="O1276" s="362"/>
      <c r="P1276" s="362"/>
      <c r="Q1276" s="362"/>
    </row>
    <row r="1277" spans="14:17" ht="24.95" customHeight="1">
      <c r="N1277" s="362"/>
      <c r="O1277" s="362"/>
      <c r="P1277" s="362"/>
      <c r="Q1277" s="362"/>
    </row>
    <row r="1278" spans="14:17" ht="24.95" customHeight="1">
      <c r="N1278" s="362"/>
      <c r="O1278" s="362"/>
      <c r="P1278" s="362"/>
      <c r="Q1278" s="362"/>
    </row>
    <row r="1279" spans="14:17" ht="24.95" customHeight="1">
      <c r="N1279" s="362"/>
      <c r="O1279" s="362"/>
      <c r="P1279" s="362"/>
      <c r="Q1279" s="362"/>
    </row>
    <row r="1280" spans="14:17" ht="24.95" customHeight="1">
      <c r="N1280" s="362"/>
      <c r="O1280" s="362"/>
      <c r="P1280" s="362"/>
      <c r="Q1280" s="362"/>
    </row>
    <row r="1281" spans="14:17" ht="24.95" customHeight="1">
      <c r="N1281" s="362"/>
      <c r="O1281" s="362"/>
      <c r="P1281" s="362"/>
      <c r="Q1281" s="362"/>
    </row>
    <row r="1282" spans="14:17" ht="24.95" customHeight="1">
      <c r="N1282" s="362"/>
      <c r="O1282" s="362"/>
      <c r="P1282" s="362"/>
      <c r="Q1282" s="362"/>
    </row>
    <row r="1283" spans="14:17" ht="24.95" customHeight="1">
      <c r="N1283" s="362"/>
      <c r="O1283" s="362"/>
      <c r="P1283" s="362"/>
      <c r="Q1283" s="362"/>
    </row>
    <row r="1284" spans="14:17" ht="24.95" customHeight="1">
      <c r="N1284" s="362"/>
      <c r="O1284" s="362"/>
      <c r="P1284" s="362"/>
      <c r="Q1284" s="362"/>
    </row>
    <row r="1285" spans="14:17" ht="24.95" customHeight="1">
      <c r="N1285" s="362"/>
      <c r="O1285" s="362"/>
      <c r="P1285" s="362"/>
      <c r="Q1285" s="362"/>
    </row>
    <row r="1286" spans="14:17" ht="24.95" customHeight="1">
      <c r="N1286" s="362"/>
      <c r="O1286" s="362"/>
      <c r="P1286" s="362"/>
      <c r="Q1286" s="362"/>
    </row>
    <row r="1287" spans="14:17" ht="24.95" customHeight="1">
      <c r="N1287" s="362"/>
      <c r="O1287" s="362"/>
      <c r="P1287" s="362"/>
      <c r="Q1287" s="362"/>
    </row>
    <row r="1288" spans="14:17" ht="24.95" customHeight="1">
      <c r="N1288" s="362"/>
      <c r="O1288" s="362"/>
      <c r="P1288" s="362"/>
      <c r="Q1288" s="362"/>
    </row>
    <row r="1289" spans="14:17" ht="24.95" customHeight="1">
      <c r="N1289" s="362"/>
      <c r="O1289" s="362"/>
      <c r="P1289" s="362"/>
      <c r="Q1289" s="362"/>
    </row>
    <row r="1290" spans="14:17" ht="24.95" customHeight="1">
      <c r="N1290" s="362"/>
      <c r="O1290" s="362"/>
      <c r="P1290" s="362"/>
      <c r="Q1290" s="362"/>
    </row>
    <row r="1291" spans="14:17" ht="24.95" customHeight="1">
      <c r="N1291" s="362"/>
      <c r="O1291" s="362"/>
      <c r="P1291" s="362"/>
      <c r="Q1291" s="362"/>
    </row>
    <row r="1292" spans="14:17" ht="24.95" customHeight="1">
      <c r="N1292" s="362"/>
      <c r="O1292" s="362"/>
      <c r="P1292" s="362"/>
      <c r="Q1292" s="362"/>
    </row>
    <row r="1293" spans="14:17" ht="24.95" customHeight="1">
      <c r="N1293" s="362"/>
      <c r="O1293" s="362"/>
      <c r="P1293" s="362"/>
      <c r="Q1293" s="362"/>
    </row>
    <row r="1294" spans="14:17" ht="24.95" customHeight="1">
      <c r="N1294" s="362"/>
      <c r="O1294" s="362"/>
      <c r="P1294" s="362"/>
      <c r="Q1294" s="362"/>
    </row>
    <row r="1295" spans="14:17" ht="24.95" customHeight="1">
      <c r="N1295" s="362"/>
      <c r="O1295" s="362"/>
      <c r="P1295" s="362"/>
      <c r="Q1295" s="362"/>
    </row>
    <row r="1296" spans="14:17" ht="24.95" customHeight="1">
      <c r="N1296" s="362"/>
      <c r="O1296" s="362"/>
      <c r="P1296" s="362"/>
      <c r="Q1296" s="362"/>
    </row>
    <row r="1297" spans="14:17" ht="24.95" customHeight="1">
      <c r="N1297" s="362"/>
      <c r="O1297" s="362"/>
      <c r="P1297" s="362"/>
      <c r="Q1297" s="362"/>
    </row>
    <row r="1298" spans="14:17" ht="24.95" customHeight="1">
      <c r="N1298" s="362"/>
      <c r="O1298" s="362"/>
      <c r="P1298" s="362"/>
      <c r="Q1298" s="362"/>
    </row>
    <row r="1299" spans="14:17" ht="24.95" customHeight="1">
      <c r="N1299" s="362"/>
      <c r="O1299" s="362"/>
      <c r="P1299" s="362"/>
      <c r="Q1299" s="362"/>
    </row>
    <row r="1300" spans="14:17" ht="24.95" customHeight="1">
      <c r="N1300" s="362"/>
      <c r="O1300" s="362"/>
      <c r="P1300" s="362"/>
      <c r="Q1300" s="362"/>
    </row>
    <row r="1301" spans="14:17" ht="24.95" customHeight="1">
      <c r="N1301" s="362"/>
      <c r="O1301" s="362"/>
      <c r="P1301" s="362"/>
      <c r="Q1301" s="362"/>
    </row>
    <row r="1302" spans="14:17" ht="24.95" customHeight="1">
      <c r="N1302" s="362"/>
      <c r="O1302" s="362"/>
      <c r="P1302" s="362"/>
      <c r="Q1302" s="362"/>
    </row>
    <row r="1303" spans="14:17" ht="24.95" customHeight="1">
      <c r="N1303" s="362"/>
      <c r="O1303" s="362"/>
      <c r="P1303" s="362"/>
      <c r="Q1303" s="362"/>
    </row>
    <row r="1304" spans="14:17" ht="24.95" customHeight="1">
      <c r="N1304" s="362"/>
      <c r="O1304" s="362"/>
      <c r="P1304" s="362"/>
      <c r="Q1304" s="362"/>
    </row>
    <row r="1305" spans="14:17" ht="24.95" customHeight="1">
      <c r="N1305" s="362"/>
      <c r="O1305" s="362"/>
      <c r="P1305" s="362"/>
      <c r="Q1305" s="362"/>
    </row>
    <row r="1306" spans="14:17" ht="24.95" customHeight="1">
      <c r="N1306" s="362"/>
      <c r="O1306" s="362"/>
      <c r="P1306" s="362"/>
      <c r="Q1306" s="362"/>
    </row>
    <row r="1307" spans="14:17" ht="24.95" customHeight="1">
      <c r="N1307" s="362"/>
      <c r="O1307" s="362"/>
      <c r="P1307" s="362"/>
      <c r="Q1307" s="362"/>
    </row>
    <row r="1308" spans="14:17" ht="24.95" customHeight="1">
      <c r="N1308" s="362"/>
      <c r="O1308" s="362"/>
      <c r="P1308" s="362"/>
      <c r="Q1308" s="362"/>
    </row>
    <row r="1309" spans="14:17" ht="24.95" customHeight="1">
      <c r="N1309" s="362"/>
      <c r="O1309" s="362"/>
      <c r="P1309" s="362"/>
      <c r="Q1309" s="362"/>
    </row>
    <row r="1310" spans="14:17" ht="24.95" customHeight="1">
      <c r="N1310" s="362"/>
      <c r="O1310" s="362"/>
      <c r="P1310" s="362"/>
      <c r="Q1310" s="362"/>
    </row>
    <row r="1311" spans="14:17" ht="24.95" customHeight="1">
      <c r="N1311" s="362"/>
      <c r="O1311" s="362"/>
      <c r="P1311" s="362"/>
      <c r="Q1311" s="362"/>
    </row>
    <row r="1312" spans="14:17" ht="24.95" customHeight="1">
      <c r="N1312" s="362"/>
      <c r="O1312" s="362"/>
      <c r="P1312" s="362"/>
      <c r="Q1312" s="362"/>
    </row>
    <row r="1313" spans="14:17" ht="24.95" customHeight="1">
      <c r="N1313" s="362"/>
      <c r="O1313" s="362"/>
      <c r="P1313" s="362"/>
      <c r="Q1313" s="362"/>
    </row>
    <row r="1314" spans="14:17" ht="24.95" customHeight="1">
      <c r="N1314" s="362"/>
      <c r="O1314" s="362"/>
      <c r="P1314" s="362"/>
      <c r="Q1314" s="362"/>
    </row>
    <row r="1315" spans="14:17" ht="24.95" customHeight="1">
      <c r="N1315" s="362"/>
      <c r="O1315" s="362"/>
      <c r="P1315" s="362"/>
      <c r="Q1315" s="362"/>
    </row>
    <row r="1316" spans="14:17" ht="24.95" customHeight="1">
      <c r="N1316" s="362"/>
      <c r="O1316" s="362"/>
      <c r="P1316" s="362"/>
      <c r="Q1316" s="362"/>
    </row>
    <row r="1317" spans="14:17" ht="24.95" customHeight="1">
      <c r="N1317" s="362"/>
      <c r="O1317" s="362"/>
      <c r="P1317" s="362"/>
      <c r="Q1317" s="362"/>
    </row>
    <row r="1318" spans="14:17" ht="24.95" customHeight="1">
      <c r="N1318" s="362"/>
      <c r="O1318" s="362"/>
      <c r="P1318" s="362"/>
      <c r="Q1318" s="362"/>
    </row>
    <row r="1319" spans="14:17" ht="24.95" customHeight="1">
      <c r="N1319" s="362"/>
      <c r="O1319" s="362"/>
      <c r="P1319" s="362"/>
      <c r="Q1319" s="362"/>
    </row>
    <row r="1320" spans="14:17" ht="24.95" customHeight="1">
      <c r="N1320" s="362"/>
      <c r="O1320" s="362"/>
      <c r="P1320" s="362"/>
      <c r="Q1320" s="362"/>
    </row>
    <row r="1321" spans="14:17" ht="24.95" customHeight="1">
      <c r="N1321" s="362"/>
      <c r="O1321" s="362"/>
      <c r="P1321" s="362"/>
      <c r="Q1321" s="362"/>
    </row>
    <row r="1322" spans="14:17" ht="24.95" customHeight="1">
      <c r="N1322" s="362"/>
      <c r="O1322" s="362"/>
      <c r="P1322" s="362"/>
      <c r="Q1322" s="362"/>
    </row>
    <row r="1323" spans="14:17" ht="24.95" customHeight="1">
      <c r="N1323" s="362"/>
      <c r="O1323" s="362"/>
      <c r="P1323" s="362"/>
      <c r="Q1323" s="362"/>
    </row>
    <row r="1324" spans="14:17" ht="24.95" customHeight="1">
      <c r="N1324" s="362"/>
      <c r="O1324" s="362"/>
      <c r="P1324" s="362"/>
      <c r="Q1324" s="362"/>
    </row>
    <row r="1325" spans="14:17" ht="24.95" customHeight="1">
      <c r="N1325" s="362"/>
      <c r="O1325" s="362"/>
      <c r="P1325" s="362"/>
      <c r="Q1325" s="362"/>
    </row>
    <row r="1326" spans="14:17" ht="24.95" customHeight="1">
      <c r="N1326" s="362"/>
      <c r="O1326" s="362"/>
      <c r="P1326" s="362"/>
      <c r="Q1326" s="362"/>
    </row>
    <row r="1327" spans="14:17" ht="24.95" customHeight="1">
      <c r="N1327" s="362"/>
      <c r="O1327" s="362"/>
      <c r="P1327" s="362"/>
      <c r="Q1327" s="362"/>
    </row>
    <row r="1328" spans="14:17" ht="24.95" customHeight="1">
      <c r="N1328" s="362"/>
      <c r="O1328" s="362"/>
      <c r="P1328" s="362"/>
      <c r="Q1328" s="362"/>
    </row>
    <row r="1329" spans="14:17" ht="24.95" customHeight="1">
      <c r="N1329" s="362"/>
      <c r="O1329" s="362"/>
      <c r="P1329" s="362"/>
      <c r="Q1329" s="362"/>
    </row>
    <row r="1330" spans="14:17" ht="24.95" customHeight="1">
      <c r="N1330" s="362"/>
      <c r="O1330" s="362"/>
      <c r="P1330" s="362"/>
      <c r="Q1330" s="362"/>
    </row>
    <row r="1331" spans="14:17" ht="24.95" customHeight="1">
      <c r="N1331" s="362"/>
      <c r="O1331" s="362"/>
      <c r="P1331" s="362"/>
      <c r="Q1331" s="362"/>
    </row>
    <row r="1332" spans="14:17" ht="24.95" customHeight="1">
      <c r="N1332" s="362"/>
      <c r="O1332" s="362"/>
      <c r="P1332" s="362"/>
      <c r="Q1332" s="362"/>
    </row>
    <row r="1333" spans="14:17" ht="24.95" customHeight="1">
      <c r="N1333" s="362"/>
      <c r="O1333" s="362"/>
      <c r="P1333" s="362"/>
      <c r="Q1333" s="362"/>
    </row>
    <row r="1334" spans="14:17" ht="24.95" customHeight="1">
      <c r="N1334" s="362"/>
      <c r="O1334" s="362"/>
      <c r="P1334" s="362"/>
      <c r="Q1334" s="362"/>
    </row>
    <row r="1335" spans="14:17" ht="24.95" customHeight="1">
      <c r="N1335" s="362"/>
      <c r="O1335" s="362"/>
      <c r="P1335" s="362"/>
      <c r="Q1335" s="362"/>
    </row>
    <row r="1336" spans="14:17" ht="24.95" customHeight="1">
      <c r="N1336" s="362"/>
      <c r="O1336" s="362"/>
      <c r="P1336" s="362"/>
      <c r="Q1336" s="362"/>
    </row>
    <row r="1337" spans="14:17" ht="24.95" customHeight="1">
      <c r="N1337" s="362"/>
      <c r="O1337" s="362"/>
      <c r="P1337" s="362"/>
      <c r="Q1337" s="362"/>
    </row>
    <row r="1338" spans="14:17" ht="24.95" customHeight="1">
      <c r="N1338" s="362"/>
      <c r="O1338" s="362"/>
      <c r="P1338" s="362"/>
      <c r="Q1338" s="362"/>
    </row>
    <row r="1339" spans="14:17" ht="24.95" customHeight="1">
      <c r="N1339" s="362"/>
      <c r="O1339" s="362"/>
      <c r="P1339" s="362"/>
      <c r="Q1339" s="362"/>
    </row>
    <row r="1340" spans="14:17" ht="24.95" customHeight="1">
      <c r="N1340" s="362"/>
      <c r="O1340" s="362"/>
      <c r="P1340" s="362"/>
      <c r="Q1340" s="362"/>
    </row>
    <row r="1341" spans="14:17" ht="24.95" customHeight="1">
      <c r="N1341" s="362"/>
      <c r="O1341" s="362"/>
      <c r="P1341" s="362"/>
      <c r="Q1341" s="362"/>
    </row>
    <row r="1342" spans="14:17" ht="24.95" customHeight="1">
      <c r="N1342" s="362"/>
      <c r="O1342" s="362"/>
      <c r="P1342" s="362"/>
      <c r="Q1342" s="362"/>
    </row>
    <row r="1343" spans="14:17" ht="24.95" customHeight="1">
      <c r="N1343" s="362"/>
      <c r="O1343" s="362"/>
      <c r="P1343" s="362"/>
      <c r="Q1343" s="362"/>
    </row>
    <row r="1344" spans="14:17" ht="24.95" customHeight="1">
      <c r="N1344" s="362"/>
      <c r="O1344" s="362"/>
      <c r="P1344" s="362"/>
      <c r="Q1344" s="362"/>
    </row>
    <row r="1345" spans="14:17" ht="24.95" customHeight="1">
      <c r="N1345" s="362"/>
      <c r="O1345" s="362"/>
      <c r="P1345" s="362"/>
      <c r="Q1345" s="362"/>
    </row>
    <row r="1346" spans="14:17" ht="24.95" customHeight="1">
      <c r="N1346" s="362"/>
      <c r="O1346" s="362"/>
      <c r="P1346" s="362"/>
      <c r="Q1346" s="362"/>
    </row>
    <row r="1347" spans="14:17" ht="24.95" customHeight="1">
      <c r="N1347" s="362"/>
      <c r="O1347" s="362"/>
      <c r="P1347" s="362"/>
      <c r="Q1347" s="362"/>
    </row>
    <row r="1348" spans="14:17" ht="24.95" customHeight="1">
      <c r="N1348" s="362"/>
      <c r="O1348" s="362"/>
      <c r="P1348" s="362"/>
      <c r="Q1348" s="362"/>
    </row>
    <row r="1349" spans="14:17" ht="24.95" customHeight="1">
      <c r="N1349" s="362"/>
      <c r="O1349" s="362"/>
      <c r="P1349" s="362"/>
      <c r="Q1349" s="362"/>
    </row>
    <row r="1350" spans="14:17" ht="24.95" customHeight="1">
      <c r="N1350" s="362"/>
      <c r="O1350" s="362"/>
      <c r="P1350" s="362"/>
      <c r="Q1350" s="362"/>
    </row>
    <row r="1351" spans="14:17" ht="24.95" customHeight="1">
      <c r="N1351" s="362"/>
      <c r="O1351" s="362"/>
      <c r="P1351" s="362"/>
      <c r="Q1351" s="362"/>
    </row>
    <row r="1352" spans="14:17" ht="24.95" customHeight="1">
      <c r="N1352" s="362"/>
      <c r="O1352" s="362"/>
      <c r="P1352" s="362"/>
      <c r="Q1352" s="362"/>
    </row>
    <row r="1353" spans="14:17" ht="24.95" customHeight="1">
      <c r="N1353" s="362"/>
      <c r="O1353" s="362"/>
      <c r="P1353" s="362"/>
      <c r="Q1353" s="362"/>
    </row>
    <row r="1354" spans="14:17" ht="24.95" customHeight="1">
      <c r="N1354" s="362"/>
      <c r="O1354" s="362"/>
      <c r="P1354" s="362"/>
      <c r="Q1354" s="362"/>
    </row>
    <row r="1355" spans="14:17" ht="24.95" customHeight="1">
      <c r="N1355" s="362"/>
      <c r="O1355" s="362"/>
      <c r="P1355" s="362"/>
      <c r="Q1355" s="362"/>
    </row>
    <row r="1356" spans="14:17" ht="24.95" customHeight="1">
      <c r="N1356" s="362"/>
      <c r="O1356" s="362"/>
      <c r="P1356" s="362"/>
      <c r="Q1356" s="362"/>
    </row>
    <row r="1357" spans="14:17" ht="24.95" customHeight="1">
      <c r="N1357" s="362"/>
      <c r="O1357" s="362"/>
      <c r="P1357" s="362"/>
      <c r="Q1357" s="362"/>
    </row>
    <row r="1358" spans="14:17" ht="24.95" customHeight="1">
      <c r="N1358" s="362"/>
      <c r="O1358" s="362"/>
      <c r="P1358" s="362"/>
      <c r="Q1358" s="362"/>
    </row>
    <row r="1359" spans="14:17" ht="24.95" customHeight="1">
      <c r="N1359" s="362"/>
      <c r="O1359" s="362"/>
      <c r="P1359" s="362"/>
      <c r="Q1359" s="362"/>
    </row>
    <row r="1360" spans="14:17" ht="24.95" customHeight="1">
      <c r="N1360" s="362"/>
      <c r="O1360" s="362"/>
      <c r="P1360" s="362"/>
      <c r="Q1360" s="362"/>
    </row>
    <row r="1361" spans="14:17" ht="24.95" customHeight="1">
      <c r="N1361" s="362"/>
      <c r="O1361" s="362"/>
      <c r="P1361" s="362"/>
      <c r="Q1361" s="362"/>
    </row>
    <row r="1362" spans="14:17" ht="24.95" customHeight="1">
      <c r="N1362" s="362"/>
      <c r="O1362" s="362"/>
      <c r="P1362" s="362"/>
      <c r="Q1362" s="362"/>
    </row>
    <row r="1363" spans="14:17" ht="24.95" customHeight="1">
      <c r="N1363" s="362"/>
      <c r="O1363" s="362"/>
      <c r="P1363" s="362"/>
      <c r="Q1363" s="362"/>
    </row>
    <row r="1364" spans="14:17" ht="24.95" customHeight="1">
      <c r="N1364" s="362"/>
      <c r="O1364" s="362"/>
      <c r="P1364" s="362"/>
      <c r="Q1364" s="362"/>
    </row>
    <row r="1365" spans="14:17" ht="24.95" customHeight="1">
      <c r="N1365" s="362"/>
      <c r="O1365" s="362"/>
      <c r="P1365" s="362"/>
      <c r="Q1365" s="362"/>
    </row>
    <row r="1366" spans="14:17" ht="24.95" customHeight="1">
      <c r="N1366" s="362"/>
      <c r="O1366" s="362"/>
      <c r="P1366" s="362"/>
      <c r="Q1366" s="362"/>
    </row>
    <row r="1367" spans="14:17" ht="24.95" customHeight="1">
      <c r="N1367" s="362"/>
      <c r="O1367" s="362"/>
      <c r="P1367" s="362"/>
      <c r="Q1367" s="362"/>
    </row>
    <row r="1368" spans="14:17" ht="24.95" customHeight="1">
      <c r="N1368" s="362"/>
      <c r="O1368" s="362"/>
      <c r="P1368" s="362"/>
      <c r="Q1368" s="362"/>
    </row>
    <row r="1369" spans="14:17" ht="24.95" customHeight="1">
      <c r="N1369" s="362"/>
      <c r="O1369" s="362"/>
      <c r="P1369" s="362"/>
      <c r="Q1369" s="362"/>
    </row>
    <row r="1370" spans="14:17" ht="24.95" customHeight="1">
      <c r="N1370" s="362"/>
      <c r="O1370" s="362"/>
      <c r="P1370" s="362"/>
      <c r="Q1370" s="362"/>
    </row>
    <row r="1371" spans="14:17" ht="24.95" customHeight="1">
      <c r="N1371" s="362"/>
      <c r="O1371" s="362"/>
      <c r="P1371" s="362"/>
      <c r="Q1371" s="362"/>
    </row>
    <row r="1372" spans="14:17" ht="24.95" customHeight="1">
      <c r="N1372" s="362"/>
      <c r="O1372" s="362"/>
      <c r="P1372" s="362"/>
      <c r="Q1372" s="362"/>
    </row>
    <row r="1373" spans="14:17" ht="24.95" customHeight="1">
      <c r="N1373" s="362"/>
      <c r="O1373" s="362"/>
      <c r="P1373" s="362"/>
      <c r="Q1373" s="362"/>
    </row>
    <row r="1374" spans="14:17" ht="24.95" customHeight="1">
      <c r="N1374" s="362"/>
      <c r="O1374" s="362"/>
      <c r="P1374" s="362"/>
      <c r="Q1374" s="362"/>
    </row>
    <row r="1375" spans="14:17" ht="24.95" customHeight="1">
      <c r="N1375" s="362"/>
      <c r="O1375" s="362"/>
      <c r="P1375" s="362"/>
      <c r="Q1375" s="362"/>
    </row>
    <row r="1376" spans="14:17" ht="24.95" customHeight="1">
      <c r="N1376" s="362"/>
      <c r="O1376" s="362"/>
      <c r="P1376" s="362"/>
      <c r="Q1376" s="362"/>
    </row>
    <row r="1377" spans="14:17" ht="24.95" customHeight="1">
      <c r="N1377" s="362"/>
      <c r="O1377" s="362"/>
      <c r="P1377" s="362"/>
      <c r="Q1377" s="362"/>
    </row>
    <row r="1378" spans="14:17" ht="24.95" customHeight="1">
      <c r="N1378" s="362"/>
      <c r="O1378" s="362"/>
      <c r="P1378" s="362"/>
      <c r="Q1378" s="362"/>
    </row>
    <row r="1379" spans="14:17" ht="24.95" customHeight="1">
      <c r="N1379" s="362"/>
      <c r="O1379" s="362"/>
      <c r="P1379" s="362"/>
      <c r="Q1379" s="362"/>
    </row>
    <row r="1380" spans="14:17" ht="24.95" customHeight="1">
      <c r="N1380" s="362"/>
      <c r="O1380" s="362"/>
      <c r="P1380" s="362"/>
      <c r="Q1380" s="362"/>
    </row>
    <row r="1381" spans="14:17" ht="24.95" customHeight="1">
      <c r="N1381" s="362"/>
      <c r="O1381" s="362"/>
      <c r="P1381" s="362"/>
      <c r="Q1381" s="362"/>
    </row>
    <row r="1382" spans="14:17" ht="24.95" customHeight="1">
      <c r="N1382" s="362"/>
      <c r="O1382" s="362"/>
      <c r="P1382" s="362"/>
      <c r="Q1382" s="362"/>
    </row>
    <row r="1383" spans="14:17" ht="24.95" customHeight="1">
      <c r="N1383" s="362"/>
      <c r="O1383" s="362"/>
      <c r="P1383" s="362"/>
      <c r="Q1383" s="362"/>
    </row>
    <row r="1384" spans="14:17" ht="24.95" customHeight="1">
      <c r="N1384" s="362"/>
      <c r="O1384" s="362"/>
      <c r="P1384" s="362"/>
      <c r="Q1384" s="362"/>
    </row>
    <row r="1385" spans="14:17" ht="24.95" customHeight="1">
      <c r="N1385" s="362"/>
      <c r="O1385" s="362"/>
      <c r="P1385" s="362"/>
      <c r="Q1385" s="362"/>
    </row>
    <row r="1386" spans="14:17" ht="24.95" customHeight="1">
      <c r="N1386" s="362"/>
      <c r="O1386" s="362"/>
      <c r="P1386" s="362"/>
      <c r="Q1386" s="362"/>
    </row>
    <row r="1387" spans="14:17" ht="24.95" customHeight="1">
      <c r="N1387" s="362"/>
      <c r="O1387" s="362"/>
      <c r="P1387" s="362"/>
      <c r="Q1387" s="362"/>
    </row>
    <row r="1388" spans="14:17" ht="24.95" customHeight="1">
      <c r="N1388" s="362"/>
      <c r="O1388" s="362"/>
      <c r="P1388" s="362"/>
      <c r="Q1388" s="362"/>
    </row>
    <row r="1389" spans="14:17" ht="24.95" customHeight="1">
      <c r="N1389" s="362"/>
      <c r="O1389" s="362"/>
      <c r="P1389" s="362"/>
      <c r="Q1389" s="362"/>
    </row>
    <row r="1390" spans="14:17" ht="24.95" customHeight="1">
      <c r="N1390" s="362"/>
      <c r="O1390" s="362"/>
      <c r="P1390" s="362"/>
      <c r="Q1390" s="362"/>
    </row>
    <row r="1391" spans="14:17" ht="24.95" customHeight="1">
      <c r="N1391" s="362"/>
      <c r="O1391" s="362"/>
      <c r="P1391" s="362"/>
      <c r="Q1391" s="362"/>
    </row>
    <row r="1392" spans="14:17" ht="24.95" customHeight="1">
      <c r="N1392" s="362"/>
      <c r="O1392" s="362"/>
      <c r="P1392" s="362"/>
      <c r="Q1392" s="362"/>
    </row>
    <row r="1393" spans="14:17" ht="24.95" customHeight="1">
      <c r="N1393" s="362"/>
      <c r="O1393" s="362"/>
      <c r="P1393" s="362"/>
      <c r="Q1393" s="362"/>
    </row>
    <row r="1394" spans="14:17" ht="24.95" customHeight="1">
      <c r="N1394" s="362"/>
      <c r="O1394" s="362"/>
      <c r="P1394" s="362"/>
      <c r="Q1394" s="362"/>
    </row>
    <row r="1395" spans="14:17" ht="24.95" customHeight="1">
      <c r="N1395" s="362"/>
      <c r="O1395" s="362"/>
      <c r="P1395" s="362"/>
      <c r="Q1395" s="362"/>
    </row>
    <row r="1396" spans="14:17" ht="24.95" customHeight="1">
      <c r="N1396" s="362"/>
      <c r="O1396" s="362"/>
      <c r="P1396" s="362"/>
      <c r="Q1396" s="362"/>
    </row>
    <row r="1397" spans="14:17" ht="24.95" customHeight="1">
      <c r="N1397" s="362"/>
      <c r="O1397" s="362"/>
      <c r="P1397" s="362"/>
      <c r="Q1397" s="362"/>
    </row>
    <row r="1398" spans="14:17" ht="24.95" customHeight="1">
      <c r="N1398" s="362"/>
      <c r="O1398" s="362"/>
      <c r="P1398" s="362"/>
      <c r="Q1398" s="362"/>
    </row>
    <row r="1399" spans="14:17" ht="24.95" customHeight="1">
      <c r="N1399" s="362"/>
      <c r="O1399" s="362"/>
      <c r="P1399" s="362"/>
      <c r="Q1399" s="362"/>
    </row>
    <row r="1400" spans="14:17" ht="24.95" customHeight="1">
      <c r="N1400" s="362"/>
      <c r="O1400" s="362"/>
      <c r="P1400" s="362"/>
      <c r="Q1400" s="362"/>
    </row>
    <row r="1401" spans="14:17" ht="24.95" customHeight="1">
      <c r="N1401" s="362"/>
      <c r="O1401" s="362"/>
      <c r="P1401" s="362"/>
      <c r="Q1401" s="362"/>
    </row>
    <row r="1402" spans="14:17" ht="24.95" customHeight="1">
      <c r="N1402" s="362"/>
      <c r="O1402" s="362"/>
      <c r="P1402" s="362"/>
      <c r="Q1402" s="362"/>
    </row>
    <row r="1403" spans="14:17" ht="24.95" customHeight="1">
      <c r="N1403" s="362"/>
      <c r="O1403" s="362"/>
      <c r="P1403" s="362"/>
      <c r="Q1403" s="362"/>
    </row>
    <row r="1404" spans="14:17" ht="24.95" customHeight="1">
      <c r="N1404" s="362"/>
      <c r="O1404" s="362"/>
      <c r="P1404" s="362"/>
      <c r="Q1404" s="362"/>
    </row>
    <row r="1405" spans="14:17" ht="24.95" customHeight="1">
      <c r="N1405" s="362"/>
      <c r="O1405" s="362"/>
      <c r="P1405" s="362"/>
      <c r="Q1405" s="362"/>
    </row>
    <row r="1406" spans="14:17" ht="24.95" customHeight="1">
      <c r="N1406" s="362"/>
      <c r="O1406" s="362"/>
      <c r="P1406" s="362"/>
      <c r="Q1406" s="362"/>
    </row>
    <row r="1407" spans="14:17" ht="24.95" customHeight="1">
      <c r="N1407" s="362"/>
      <c r="O1407" s="362"/>
      <c r="P1407" s="362"/>
      <c r="Q1407" s="362"/>
    </row>
    <row r="1408" spans="14:17" ht="24.95" customHeight="1">
      <c r="N1408" s="362"/>
      <c r="O1408" s="362"/>
      <c r="P1408" s="362"/>
      <c r="Q1408" s="362"/>
    </row>
    <row r="1409" spans="14:17" ht="24.95" customHeight="1">
      <c r="N1409" s="362"/>
      <c r="O1409" s="362"/>
      <c r="P1409" s="362"/>
      <c r="Q1409" s="362"/>
    </row>
    <row r="1410" spans="14:17" ht="24.95" customHeight="1">
      <c r="N1410" s="362"/>
      <c r="O1410" s="362"/>
      <c r="P1410" s="362"/>
      <c r="Q1410" s="362"/>
    </row>
    <row r="1411" spans="14:17" ht="24.95" customHeight="1">
      <c r="N1411" s="362"/>
      <c r="O1411" s="362"/>
      <c r="P1411" s="362"/>
      <c r="Q1411" s="362"/>
    </row>
    <row r="1412" spans="14:17" ht="24.95" customHeight="1">
      <c r="N1412" s="362"/>
      <c r="O1412" s="362"/>
      <c r="P1412" s="362"/>
      <c r="Q1412" s="362"/>
    </row>
    <row r="1413" spans="14:17" ht="24.95" customHeight="1">
      <c r="N1413" s="362"/>
      <c r="O1413" s="362"/>
      <c r="P1413" s="362"/>
      <c r="Q1413" s="362"/>
    </row>
    <row r="1414" spans="14:17" ht="24.95" customHeight="1">
      <c r="N1414" s="362"/>
      <c r="O1414" s="362"/>
      <c r="P1414" s="362"/>
      <c r="Q1414" s="362"/>
    </row>
    <row r="1415" spans="14:17" ht="24.95" customHeight="1">
      <c r="N1415" s="362"/>
      <c r="O1415" s="362"/>
      <c r="P1415" s="362"/>
      <c r="Q1415" s="362"/>
    </row>
    <row r="1416" spans="14:17" ht="24.95" customHeight="1">
      <c r="N1416" s="362"/>
      <c r="O1416" s="362"/>
      <c r="P1416" s="362"/>
      <c r="Q1416" s="362"/>
    </row>
    <row r="1417" spans="14:17" ht="24.95" customHeight="1">
      <c r="N1417" s="362"/>
      <c r="O1417" s="362"/>
      <c r="P1417" s="362"/>
      <c r="Q1417" s="362"/>
    </row>
    <row r="1418" spans="14:17" ht="24.95" customHeight="1">
      <c r="N1418" s="362"/>
      <c r="O1418" s="362"/>
      <c r="P1418" s="362"/>
      <c r="Q1418" s="362"/>
    </row>
    <row r="1419" spans="14:17" ht="24.95" customHeight="1">
      <c r="N1419" s="362"/>
      <c r="O1419" s="362"/>
      <c r="P1419" s="362"/>
      <c r="Q1419" s="362"/>
    </row>
    <row r="1420" spans="14:17" ht="24.95" customHeight="1">
      <c r="N1420" s="362"/>
      <c r="O1420" s="362"/>
      <c r="P1420" s="362"/>
      <c r="Q1420" s="362"/>
    </row>
    <row r="1421" spans="14:17" ht="24.95" customHeight="1">
      <c r="N1421" s="362"/>
      <c r="O1421" s="362"/>
      <c r="P1421" s="362"/>
      <c r="Q1421" s="362"/>
    </row>
    <row r="1422" spans="14:17" ht="24.95" customHeight="1">
      <c r="N1422" s="362"/>
      <c r="O1422" s="362"/>
      <c r="P1422" s="362"/>
      <c r="Q1422" s="362"/>
    </row>
    <row r="1423" spans="14:17" ht="24.95" customHeight="1">
      <c r="N1423" s="362"/>
      <c r="O1423" s="362"/>
      <c r="P1423" s="362"/>
      <c r="Q1423" s="362"/>
    </row>
    <row r="1424" spans="14:17" ht="24.95" customHeight="1">
      <c r="N1424" s="362"/>
      <c r="O1424" s="362"/>
      <c r="P1424" s="362"/>
      <c r="Q1424" s="362"/>
    </row>
    <row r="1425" spans="14:17" ht="24.95" customHeight="1">
      <c r="N1425" s="362"/>
      <c r="O1425" s="362"/>
      <c r="P1425" s="362"/>
      <c r="Q1425" s="362"/>
    </row>
    <row r="1426" spans="14:17" ht="24.95" customHeight="1">
      <c r="N1426" s="362"/>
      <c r="O1426" s="362"/>
      <c r="P1426" s="362"/>
      <c r="Q1426" s="362"/>
    </row>
    <row r="1427" spans="14:17" ht="24.95" customHeight="1">
      <c r="N1427" s="362"/>
      <c r="O1427" s="362"/>
      <c r="P1427" s="362"/>
      <c r="Q1427" s="362"/>
    </row>
    <row r="1428" spans="14:17" ht="24.95" customHeight="1">
      <c r="N1428" s="362"/>
      <c r="O1428" s="362"/>
      <c r="P1428" s="362"/>
      <c r="Q1428" s="362"/>
    </row>
    <row r="1429" spans="14:17" ht="24.95" customHeight="1">
      <c r="N1429" s="362"/>
      <c r="O1429" s="362"/>
      <c r="P1429" s="362"/>
      <c r="Q1429" s="362"/>
    </row>
    <row r="1430" spans="14:17" ht="24.95" customHeight="1">
      <c r="N1430" s="362"/>
      <c r="O1430" s="362"/>
      <c r="P1430" s="362"/>
      <c r="Q1430" s="362"/>
    </row>
    <row r="1431" spans="14:17" ht="24.95" customHeight="1">
      <c r="N1431" s="362"/>
      <c r="O1431" s="362"/>
      <c r="P1431" s="362"/>
      <c r="Q1431" s="362"/>
    </row>
    <row r="1432" spans="14:17" ht="24.95" customHeight="1">
      <c r="N1432" s="362"/>
      <c r="O1432" s="362"/>
      <c r="P1432" s="362"/>
      <c r="Q1432" s="362"/>
    </row>
    <row r="1433" spans="14:17" ht="24.95" customHeight="1">
      <c r="N1433" s="362"/>
      <c r="O1433" s="362"/>
      <c r="P1433" s="362"/>
      <c r="Q1433" s="362"/>
    </row>
    <row r="1434" spans="14:17" ht="24.95" customHeight="1">
      <c r="N1434" s="362"/>
      <c r="O1434" s="362"/>
      <c r="P1434" s="362"/>
      <c r="Q1434" s="362"/>
    </row>
    <row r="1435" spans="14:17" ht="24.95" customHeight="1">
      <c r="N1435" s="362"/>
      <c r="O1435" s="362"/>
      <c r="P1435" s="362"/>
      <c r="Q1435" s="362"/>
    </row>
    <row r="1436" spans="14:17" ht="24.95" customHeight="1">
      <c r="N1436" s="362"/>
      <c r="O1436" s="362"/>
      <c r="P1436" s="362"/>
      <c r="Q1436" s="362"/>
    </row>
    <row r="1437" spans="14:17" ht="24.95" customHeight="1">
      <c r="N1437" s="362"/>
      <c r="O1437" s="362"/>
      <c r="P1437" s="362"/>
      <c r="Q1437" s="362"/>
    </row>
    <row r="1438" spans="14:17" ht="24.95" customHeight="1">
      <c r="N1438" s="362"/>
      <c r="O1438" s="362"/>
      <c r="P1438" s="362"/>
      <c r="Q1438" s="362"/>
    </row>
    <row r="1439" spans="14:17" ht="24.95" customHeight="1">
      <c r="N1439" s="362"/>
      <c r="O1439" s="362"/>
      <c r="P1439" s="362"/>
      <c r="Q1439" s="362"/>
    </row>
    <row r="1440" spans="14:17" ht="24.95" customHeight="1">
      <c r="N1440" s="362"/>
      <c r="O1440" s="362"/>
      <c r="P1440" s="362"/>
      <c r="Q1440" s="362"/>
    </row>
    <row r="1441" spans="14:17" ht="24.95" customHeight="1">
      <c r="N1441" s="362"/>
      <c r="O1441" s="362"/>
      <c r="P1441" s="362"/>
      <c r="Q1441" s="362"/>
    </row>
    <row r="1442" spans="14:17" ht="24.95" customHeight="1">
      <c r="N1442" s="362"/>
      <c r="O1442" s="362"/>
      <c r="P1442" s="362"/>
      <c r="Q1442" s="362"/>
    </row>
    <row r="1443" spans="14:17" ht="24.95" customHeight="1">
      <c r="N1443" s="362"/>
      <c r="O1443" s="362"/>
      <c r="P1443" s="362"/>
      <c r="Q1443" s="362"/>
    </row>
    <row r="1444" spans="14:17" ht="24.95" customHeight="1">
      <c r="N1444" s="362"/>
      <c r="O1444" s="362"/>
      <c r="P1444" s="362"/>
      <c r="Q1444" s="362"/>
    </row>
    <row r="1445" spans="14:17" ht="24.95" customHeight="1">
      <c r="N1445" s="362"/>
      <c r="O1445" s="362"/>
      <c r="P1445" s="362"/>
      <c r="Q1445" s="362"/>
    </row>
    <row r="1446" spans="14:17" ht="24.95" customHeight="1">
      <c r="N1446" s="362"/>
      <c r="O1446" s="362"/>
      <c r="P1446" s="362"/>
      <c r="Q1446" s="362"/>
    </row>
    <row r="1447" spans="14:17" ht="24.95" customHeight="1">
      <c r="N1447" s="362"/>
      <c r="O1447" s="362"/>
      <c r="P1447" s="362"/>
      <c r="Q1447" s="362"/>
    </row>
    <row r="1448" spans="14:17" ht="24.95" customHeight="1">
      <c r="N1448" s="362"/>
      <c r="O1448" s="362"/>
      <c r="P1448" s="362"/>
      <c r="Q1448" s="362"/>
    </row>
    <row r="1449" spans="14:17" ht="24.95" customHeight="1">
      <c r="N1449" s="362"/>
      <c r="O1449" s="362"/>
      <c r="P1449" s="362"/>
      <c r="Q1449" s="362"/>
    </row>
    <row r="1450" spans="14:17" ht="24.95" customHeight="1">
      <c r="N1450" s="362"/>
      <c r="O1450" s="362"/>
      <c r="P1450" s="362"/>
      <c r="Q1450" s="362"/>
    </row>
    <row r="1451" spans="14:17" ht="24.95" customHeight="1">
      <c r="N1451" s="362"/>
      <c r="O1451" s="362"/>
      <c r="P1451" s="362"/>
      <c r="Q1451" s="362"/>
    </row>
    <row r="1452" spans="14:17" ht="24.95" customHeight="1">
      <c r="N1452" s="362"/>
      <c r="O1452" s="362"/>
      <c r="P1452" s="362"/>
      <c r="Q1452" s="362"/>
    </row>
    <row r="1453" spans="14:17" ht="24.95" customHeight="1">
      <c r="N1453" s="362"/>
      <c r="O1453" s="362"/>
      <c r="P1453" s="362"/>
      <c r="Q1453" s="362"/>
    </row>
    <row r="1454" spans="14:17" ht="24.95" customHeight="1">
      <c r="N1454" s="362"/>
      <c r="O1454" s="362"/>
      <c r="P1454" s="362"/>
      <c r="Q1454" s="362"/>
    </row>
    <row r="1455" spans="14:17" ht="24.95" customHeight="1">
      <c r="N1455" s="362"/>
      <c r="O1455" s="362"/>
      <c r="P1455" s="362"/>
      <c r="Q1455" s="362"/>
    </row>
    <row r="1456" spans="14:17" ht="24.95" customHeight="1">
      <c r="N1456" s="362"/>
      <c r="O1456" s="362"/>
      <c r="P1456" s="362"/>
      <c r="Q1456" s="362"/>
    </row>
    <row r="1457" spans="14:17" ht="24.95" customHeight="1">
      <c r="N1457" s="362"/>
      <c r="O1457" s="362"/>
      <c r="P1457" s="362"/>
      <c r="Q1457" s="362"/>
    </row>
    <row r="1458" spans="14:17" ht="24.95" customHeight="1">
      <c r="N1458" s="362"/>
      <c r="O1458" s="362"/>
      <c r="P1458" s="362"/>
      <c r="Q1458" s="362"/>
    </row>
    <row r="1459" spans="14:17" ht="24.95" customHeight="1">
      <c r="N1459" s="362"/>
      <c r="O1459" s="362"/>
      <c r="P1459" s="362"/>
      <c r="Q1459" s="362"/>
    </row>
    <row r="1460" spans="14:17" ht="24.95" customHeight="1">
      <c r="N1460" s="362"/>
      <c r="O1460" s="362"/>
      <c r="P1460" s="362"/>
      <c r="Q1460" s="362"/>
    </row>
    <row r="1461" spans="14:17" ht="24.95" customHeight="1">
      <c r="N1461" s="362"/>
      <c r="O1461" s="362"/>
      <c r="P1461" s="362"/>
      <c r="Q1461" s="362"/>
    </row>
    <row r="1462" spans="14:17" ht="24.95" customHeight="1">
      <c r="N1462" s="362"/>
      <c r="O1462" s="362"/>
      <c r="P1462" s="362"/>
      <c r="Q1462" s="362"/>
    </row>
    <row r="1463" spans="14:17" ht="24.95" customHeight="1">
      <c r="N1463" s="362"/>
      <c r="O1463" s="362"/>
      <c r="P1463" s="362"/>
      <c r="Q1463" s="362"/>
    </row>
    <row r="1464" spans="14:17" ht="24.95" customHeight="1">
      <c r="N1464" s="362"/>
      <c r="O1464" s="362"/>
      <c r="P1464" s="362"/>
      <c r="Q1464" s="362"/>
    </row>
    <row r="1465" spans="14:17" ht="24.95" customHeight="1">
      <c r="N1465" s="362"/>
      <c r="O1465" s="362"/>
      <c r="P1465" s="362"/>
      <c r="Q1465" s="362"/>
    </row>
    <row r="1466" spans="14:17" ht="24.95" customHeight="1">
      <c r="N1466" s="362"/>
      <c r="O1466" s="362"/>
      <c r="P1466" s="362"/>
      <c r="Q1466" s="362"/>
    </row>
    <row r="1467" spans="14:17" ht="24.95" customHeight="1">
      <c r="N1467" s="362"/>
      <c r="O1467" s="362"/>
      <c r="P1467" s="362"/>
      <c r="Q1467" s="362"/>
    </row>
    <row r="1468" spans="14:17" ht="24.95" customHeight="1">
      <c r="N1468" s="362"/>
      <c r="O1468" s="362"/>
      <c r="P1468" s="362"/>
      <c r="Q1468" s="362"/>
    </row>
    <row r="1469" spans="14:17" ht="24.95" customHeight="1">
      <c r="N1469" s="362"/>
      <c r="O1469" s="362"/>
      <c r="P1469" s="362"/>
      <c r="Q1469" s="362"/>
    </row>
    <row r="1470" spans="14:17" ht="24.95" customHeight="1">
      <c r="N1470" s="362"/>
      <c r="O1470" s="362"/>
      <c r="P1470" s="362"/>
      <c r="Q1470" s="362"/>
    </row>
    <row r="1471" spans="14:17" ht="24.95" customHeight="1">
      <c r="N1471" s="362"/>
      <c r="O1471" s="362"/>
      <c r="P1471" s="362"/>
      <c r="Q1471" s="362"/>
    </row>
    <row r="1472" spans="14:17" ht="24.95" customHeight="1">
      <c r="N1472" s="362"/>
      <c r="O1472" s="362"/>
      <c r="P1472" s="362"/>
      <c r="Q1472" s="362"/>
    </row>
    <row r="1473" spans="14:17" ht="24.95" customHeight="1">
      <c r="N1473" s="362"/>
      <c r="O1473" s="362"/>
      <c r="P1473" s="362"/>
      <c r="Q1473" s="362"/>
    </row>
    <row r="1474" spans="14:17" ht="24.95" customHeight="1">
      <c r="N1474" s="362"/>
      <c r="O1474" s="362"/>
      <c r="P1474" s="362"/>
      <c r="Q1474" s="362"/>
    </row>
    <row r="1475" spans="14:17" ht="24.95" customHeight="1">
      <c r="N1475" s="362"/>
      <c r="O1475" s="362"/>
      <c r="P1475" s="362"/>
      <c r="Q1475" s="362"/>
    </row>
    <row r="1476" spans="14:17" ht="24.95" customHeight="1">
      <c r="N1476" s="362"/>
      <c r="O1476" s="362"/>
      <c r="P1476" s="362"/>
      <c r="Q1476" s="362"/>
    </row>
    <row r="1477" spans="14:17" ht="24.95" customHeight="1">
      <c r="N1477" s="362"/>
      <c r="O1477" s="362"/>
      <c r="P1477" s="362"/>
      <c r="Q1477" s="362"/>
    </row>
    <row r="1478" spans="14:17" ht="24.95" customHeight="1">
      <c r="N1478" s="362"/>
      <c r="O1478" s="362"/>
      <c r="P1478" s="362"/>
      <c r="Q1478" s="362"/>
    </row>
    <row r="1479" spans="14:17" ht="24.95" customHeight="1">
      <c r="N1479" s="362"/>
      <c r="O1479" s="362"/>
      <c r="P1479" s="362"/>
      <c r="Q1479" s="362"/>
    </row>
    <row r="1480" spans="14:17" ht="24.95" customHeight="1">
      <c r="N1480" s="362"/>
      <c r="O1480" s="362"/>
      <c r="P1480" s="362"/>
      <c r="Q1480" s="362"/>
    </row>
    <row r="1481" spans="14:17" ht="24.95" customHeight="1">
      <c r="N1481" s="362"/>
      <c r="O1481" s="362"/>
      <c r="P1481" s="362"/>
      <c r="Q1481" s="362"/>
    </row>
    <row r="1482" spans="14:17" ht="24.95" customHeight="1">
      <c r="N1482" s="362"/>
      <c r="O1482" s="362"/>
      <c r="P1482" s="362"/>
      <c r="Q1482" s="362"/>
    </row>
    <row r="1483" spans="14:17" ht="24.95" customHeight="1">
      <c r="N1483" s="362"/>
      <c r="O1483" s="362"/>
      <c r="P1483" s="362"/>
      <c r="Q1483" s="362"/>
    </row>
    <row r="1484" spans="14:17" ht="24.95" customHeight="1">
      <c r="N1484" s="362"/>
      <c r="O1484" s="362"/>
      <c r="P1484" s="362"/>
      <c r="Q1484" s="362"/>
    </row>
    <row r="1485" spans="14:17" ht="24.95" customHeight="1">
      <c r="N1485" s="362"/>
      <c r="O1485" s="362"/>
      <c r="P1485" s="362"/>
      <c r="Q1485" s="362"/>
    </row>
    <row r="1486" spans="14:17" ht="24.95" customHeight="1">
      <c r="N1486" s="362"/>
      <c r="O1486" s="362"/>
      <c r="P1486" s="362"/>
      <c r="Q1486" s="362"/>
    </row>
    <row r="1487" spans="14:17" ht="24.95" customHeight="1">
      <c r="N1487" s="362"/>
      <c r="O1487" s="362"/>
      <c r="P1487" s="362"/>
      <c r="Q1487" s="362"/>
    </row>
    <row r="1488" spans="14:17" ht="24.95" customHeight="1">
      <c r="N1488" s="362"/>
      <c r="O1488" s="362"/>
      <c r="P1488" s="362"/>
      <c r="Q1488" s="362"/>
    </row>
    <row r="1489" spans="14:17" ht="24.95" customHeight="1">
      <c r="N1489" s="362"/>
      <c r="O1489" s="362"/>
      <c r="P1489" s="362"/>
      <c r="Q1489" s="362"/>
    </row>
    <row r="1490" spans="14:17" ht="24.95" customHeight="1">
      <c r="N1490" s="362"/>
      <c r="O1490" s="362"/>
      <c r="P1490" s="362"/>
      <c r="Q1490" s="362"/>
    </row>
    <row r="1491" spans="14:17" ht="24.95" customHeight="1">
      <c r="N1491" s="362"/>
      <c r="O1491" s="362"/>
      <c r="P1491" s="362"/>
      <c r="Q1491" s="362"/>
    </row>
    <row r="1492" spans="14:17" ht="24.95" customHeight="1">
      <c r="N1492" s="362"/>
      <c r="O1492" s="362"/>
      <c r="P1492" s="362"/>
      <c r="Q1492" s="362"/>
    </row>
    <row r="1493" spans="14:17" ht="24.95" customHeight="1">
      <c r="N1493" s="362"/>
      <c r="O1493" s="362"/>
      <c r="P1493" s="362"/>
      <c r="Q1493" s="362"/>
    </row>
    <row r="1494" spans="14:17" ht="24.95" customHeight="1">
      <c r="N1494" s="362"/>
      <c r="O1494" s="362"/>
      <c r="P1494" s="362"/>
      <c r="Q1494" s="362"/>
    </row>
    <row r="1495" spans="14:17" ht="24.95" customHeight="1">
      <c r="N1495" s="362"/>
      <c r="O1495" s="362"/>
      <c r="P1495" s="362"/>
      <c r="Q1495" s="362"/>
    </row>
    <row r="1496" spans="14:17" ht="24.95" customHeight="1">
      <c r="N1496" s="362"/>
      <c r="O1496" s="362"/>
      <c r="P1496" s="362"/>
      <c r="Q1496" s="362"/>
    </row>
    <row r="1497" spans="14:17" ht="24.95" customHeight="1">
      <c r="N1497" s="362"/>
      <c r="O1497" s="362"/>
      <c r="P1497" s="362"/>
      <c r="Q1497" s="362"/>
    </row>
    <row r="1498" spans="14:17" ht="24.95" customHeight="1">
      <c r="N1498" s="362"/>
      <c r="O1498" s="362"/>
      <c r="P1498" s="362"/>
      <c r="Q1498" s="362"/>
    </row>
    <row r="1499" spans="14:17" ht="24.95" customHeight="1">
      <c r="N1499" s="362"/>
      <c r="O1499" s="362"/>
      <c r="P1499" s="362"/>
      <c r="Q1499" s="362"/>
    </row>
    <row r="1500" spans="14:17" ht="24.95" customHeight="1">
      <c r="N1500" s="362"/>
      <c r="O1500" s="362"/>
      <c r="P1500" s="362"/>
      <c r="Q1500" s="362"/>
    </row>
    <row r="1501" spans="14:17" ht="24.95" customHeight="1">
      <c r="N1501" s="362"/>
      <c r="O1501" s="362"/>
      <c r="P1501" s="362"/>
      <c r="Q1501" s="362"/>
    </row>
    <row r="1502" spans="14:17" ht="24.95" customHeight="1">
      <c r="N1502" s="362"/>
      <c r="O1502" s="362"/>
      <c r="P1502" s="362"/>
      <c r="Q1502" s="362"/>
    </row>
    <row r="1503" spans="14:17" ht="24.95" customHeight="1">
      <c r="N1503" s="362"/>
      <c r="O1503" s="362"/>
      <c r="P1503" s="362"/>
      <c r="Q1503" s="362"/>
    </row>
    <row r="1504" spans="14:17" ht="24.95" customHeight="1">
      <c r="N1504" s="362"/>
      <c r="O1504" s="362"/>
      <c r="P1504" s="362"/>
      <c r="Q1504" s="362"/>
    </row>
    <row r="1505" spans="14:17" ht="24.95" customHeight="1">
      <c r="N1505" s="362"/>
      <c r="O1505" s="362"/>
      <c r="P1505" s="362"/>
      <c r="Q1505" s="362"/>
    </row>
    <row r="1506" spans="14:17" ht="24.95" customHeight="1">
      <c r="N1506" s="362"/>
      <c r="O1506" s="362"/>
      <c r="P1506" s="362"/>
      <c r="Q1506" s="362"/>
    </row>
    <row r="1507" spans="14:17" ht="24.95" customHeight="1">
      <c r="N1507" s="362"/>
      <c r="O1507" s="362"/>
      <c r="P1507" s="362"/>
      <c r="Q1507" s="362"/>
    </row>
    <row r="1508" spans="14:17" ht="24.95" customHeight="1">
      <c r="N1508" s="362"/>
      <c r="O1508" s="362"/>
      <c r="P1508" s="362"/>
      <c r="Q1508" s="362"/>
    </row>
    <row r="1509" spans="14:17" ht="24.95" customHeight="1">
      <c r="N1509" s="362"/>
      <c r="O1509" s="362"/>
      <c r="P1509" s="362"/>
      <c r="Q1509" s="362"/>
    </row>
    <row r="1510" spans="14:17" ht="24.95" customHeight="1">
      <c r="N1510" s="362"/>
      <c r="O1510" s="362"/>
      <c r="P1510" s="362"/>
      <c r="Q1510" s="362"/>
    </row>
    <row r="1511" spans="14:17" ht="24.95" customHeight="1">
      <c r="N1511" s="362"/>
      <c r="O1511" s="362"/>
      <c r="P1511" s="362"/>
      <c r="Q1511" s="362"/>
    </row>
    <row r="1512" spans="14:17" ht="24.95" customHeight="1">
      <c r="N1512" s="362"/>
      <c r="O1512" s="362"/>
      <c r="P1512" s="362"/>
      <c r="Q1512" s="362"/>
    </row>
    <row r="1513" spans="14:17" ht="24.95" customHeight="1">
      <c r="N1513" s="362"/>
      <c r="O1513" s="362"/>
      <c r="P1513" s="362"/>
      <c r="Q1513" s="362"/>
    </row>
    <row r="1514" spans="14:17" ht="24.95" customHeight="1">
      <c r="N1514" s="362"/>
      <c r="O1514" s="362"/>
      <c r="P1514" s="362"/>
      <c r="Q1514" s="362"/>
    </row>
    <row r="1515" spans="14:17" ht="24.95" customHeight="1">
      <c r="N1515" s="362"/>
      <c r="O1515" s="362"/>
      <c r="P1515" s="362"/>
      <c r="Q1515" s="362"/>
    </row>
    <row r="1516" spans="14:17" ht="24.95" customHeight="1">
      <c r="N1516" s="362"/>
      <c r="O1516" s="362"/>
      <c r="P1516" s="362"/>
      <c r="Q1516" s="362"/>
    </row>
    <row r="1517" spans="14:17" ht="24.95" customHeight="1">
      <c r="N1517" s="362"/>
      <c r="O1517" s="362"/>
      <c r="P1517" s="362"/>
      <c r="Q1517" s="362"/>
    </row>
    <row r="1518" spans="14:17" ht="24.95" customHeight="1">
      <c r="N1518" s="362"/>
      <c r="O1518" s="362"/>
      <c r="P1518" s="362"/>
      <c r="Q1518" s="362"/>
    </row>
    <row r="1519" spans="14:17" ht="24.95" customHeight="1">
      <c r="N1519" s="362"/>
      <c r="O1519" s="362"/>
      <c r="P1519" s="362"/>
      <c r="Q1519" s="362"/>
    </row>
    <row r="1520" spans="14:17" ht="24.95" customHeight="1">
      <c r="N1520" s="362"/>
      <c r="O1520" s="362"/>
      <c r="P1520" s="362"/>
      <c r="Q1520" s="362"/>
    </row>
    <row r="1521" spans="14:17" ht="24.95" customHeight="1">
      <c r="N1521" s="362"/>
      <c r="O1521" s="362"/>
      <c r="P1521" s="362"/>
      <c r="Q1521" s="362"/>
    </row>
    <row r="1522" spans="14:17" ht="24.95" customHeight="1">
      <c r="N1522" s="362"/>
      <c r="O1522" s="362"/>
      <c r="P1522" s="362"/>
      <c r="Q1522" s="362"/>
    </row>
    <row r="1523" spans="14:17" ht="24.95" customHeight="1">
      <c r="N1523" s="362"/>
      <c r="O1523" s="362"/>
      <c r="P1523" s="362"/>
      <c r="Q1523" s="362"/>
    </row>
    <row r="1524" spans="14:17" ht="24.95" customHeight="1">
      <c r="N1524" s="362"/>
      <c r="O1524" s="362"/>
      <c r="P1524" s="362"/>
      <c r="Q1524" s="362"/>
    </row>
    <row r="1525" spans="14:17" ht="24.95" customHeight="1">
      <c r="N1525" s="362"/>
      <c r="O1525" s="362"/>
      <c r="P1525" s="362"/>
      <c r="Q1525" s="362"/>
    </row>
    <row r="1526" spans="14:17" ht="24.95" customHeight="1">
      <c r="N1526" s="362"/>
      <c r="O1526" s="362"/>
      <c r="P1526" s="362"/>
      <c r="Q1526" s="362"/>
    </row>
    <row r="1527" spans="14:17" ht="24.95" customHeight="1">
      <c r="N1527" s="362"/>
      <c r="O1527" s="362"/>
      <c r="P1527" s="362"/>
      <c r="Q1527" s="362"/>
    </row>
    <row r="1528" spans="14:17" ht="24.95" customHeight="1">
      <c r="N1528" s="362"/>
      <c r="O1528" s="362"/>
      <c r="P1528" s="362"/>
      <c r="Q1528" s="362"/>
    </row>
    <row r="1529" spans="14:17" ht="24.95" customHeight="1">
      <c r="N1529" s="362"/>
      <c r="O1529" s="362"/>
      <c r="P1529" s="362"/>
      <c r="Q1529" s="362"/>
    </row>
    <row r="1530" spans="14:17" ht="24.95" customHeight="1">
      <c r="N1530" s="362"/>
      <c r="O1530" s="362"/>
      <c r="P1530" s="362"/>
      <c r="Q1530" s="362"/>
    </row>
    <row r="1531" spans="14:17" ht="24.95" customHeight="1">
      <c r="N1531" s="362"/>
      <c r="O1531" s="362"/>
      <c r="P1531" s="362"/>
      <c r="Q1531" s="362"/>
    </row>
    <row r="1532" spans="14:17" ht="24.95" customHeight="1">
      <c r="N1532" s="362"/>
      <c r="O1532" s="362"/>
      <c r="P1532" s="362"/>
      <c r="Q1532" s="362"/>
    </row>
    <row r="1533" spans="14:17" ht="24.95" customHeight="1">
      <c r="N1533" s="362"/>
      <c r="O1533" s="362"/>
      <c r="P1533" s="362"/>
      <c r="Q1533" s="362"/>
    </row>
    <row r="1534" spans="14:17" ht="24.95" customHeight="1">
      <c r="N1534" s="362"/>
      <c r="O1534" s="362"/>
      <c r="P1534" s="362"/>
      <c r="Q1534" s="362"/>
    </row>
    <row r="1535" spans="14:17" ht="24.95" customHeight="1">
      <c r="N1535" s="362"/>
      <c r="O1535" s="362"/>
      <c r="P1535" s="362"/>
      <c r="Q1535" s="362"/>
    </row>
    <row r="1536" spans="14:17" ht="24.95" customHeight="1">
      <c r="N1536" s="362"/>
      <c r="O1536" s="362"/>
      <c r="P1536" s="362"/>
      <c r="Q1536" s="362"/>
    </row>
    <row r="1537" spans="14:17" ht="24.95" customHeight="1">
      <c r="N1537" s="362"/>
      <c r="O1537" s="362"/>
      <c r="P1537" s="362"/>
      <c r="Q1537" s="362"/>
    </row>
    <row r="1538" spans="14:17" ht="24.95" customHeight="1">
      <c r="N1538" s="362"/>
      <c r="O1538" s="362"/>
      <c r="P1538" s="362"/>
      <c r="Q1538" s="362"/>
    </row>
    <row r="1539" spans="14:17" ht="24.95" customHeight="1">
      <c r="N1539" s="362"/>
      <c r="O1539" s="362"/>
      <c r="P1539" s="362"/>
      <c r="Q1539" s="362"/>
    </row>
    <row r="1540" spans="14:17" ht="24.95" customHeight="1">
      <c r="N1540" s="362"/>
      <c r="O1540" s="362"/>
      <c r="P1540" s="362"/>
      <c r="Q1540" s="362"/>
    </row>
    <row r="1541" spans="14:17" ht="24.95" customHeight="1">
      <c r="N1541" s="362"/>
      <c r="O1541" s="362"/>
      <c r="P1541" s="362"/>
      <c r="Q1541" s="362"/>
    </row>
    <row r="1542" spans="14:17" ht="24.95" customHeight="1">
      <c r="N1542" s="362"/>
      <c r="O1542" s="362"/>
      <c r="P1542" s="362"/>
      <c r="Q1542" s="362"/>
    </row>
    <row r="1543" spans="14:17" ht="24.95" customHeight="1">
      <c r="N1543" s="362"/>
      <c r="O1543" s="362"/>
      <c r="P1543" s="362"/>
      <c r="Q1543" s="362"/>
    </row>
    <row r="1544" spans="14:17" ht="24.95" customHeight="1">
      <c r="N1544" s="362"/>
      <c r="O1544" s="362"/>
      <c r="P1544" s="362"/>
      <c r="Q1544" s="362"/>
    </row>
    <row r="1545" spans="14:17" ht="24.95" customHeight="1">
      <c r="N1545" s="362"/>
      <c r="O1545" s="362"/>
      <c r="P1545" s="362"/>
      <c r="Q1545" s="362"/>
    </row>
    <row r="1546" spans="14:17" ht="24.95" customHeight="1">
      <c r="N1546" s="362"/>
      <c r="O1546" s="362"/>
      <c r="P1546" s="362"/>
      <c r="Q1546" s="362"/>
    </row>
    <row r="1547" spans="14:17" ht="24.95" customHeight="1">
      <c r="N1547" s="362"/>
      <c r="O1547" s="362"/>
      <c r="P1547" s="362"/>
      <c r="Q1547" s="362"/>
    </row>
    <row r="1548" spans="14:17" ht="24.95" customHeight="1">
      <c r="N1548" s="362"/>
      <c r="O1548" s="362"/>
      <c r="P1548" s="362"/>
      <c r="Q1548" s="362"/>
    </row>
    <row r="1549" spans="14:17" ht="24.95" customHeight="1">
      <c r="N1549" s="362"/>
      <c r="O1549" s="362"/>
      <c r="P1549" s="362"/>
      <c r="Q1549" s="362"/>
    </row>
    <row r="1550" spans="14:17" ht="24.95" customHeight="1">
      <c r="N1550" s="362"/>
      <c r="O1550" s="362"/>
      <c r="P1550" s="362"/>
      <c r="Q1550" s="362"/>
    </row>
    <row r="1551" spans="14:17" ht="24.95" customHeight="1">
      <c r="N1551" s="362"/>
      <c r="O1551" s="362"/>
      <c r="P1551" s="362"/>
      <c r="Q1551" s="362"/>
    </row>
    <row r="1552" spans="14:17" ht="24.95" customHeight="1">
      <c r="N1552" s="362"/>
      <c r="O1552" s="362"/>
      <c r="P1552" s="362"/>
      <c r="Q1552" s="362"/>
    </row>
    <row r="1553" spans="14:17" ht="24.95" customHeight="1">
      <c r="N1553" s="362"/>
      <c r="O1553" s="362"/>
      <c r="P1553" s="362"/>
      <c r="Q1553" s="362"/>
    </row>
    <row r="1554" spans="14:17" ht="24.95" customHeight="1">
      <c r="N1554" s="362"/>
      <c r="O1554" s="362"/>
      <c r="P1554" s="362"/>
      <c r="Q1554" s="362"/>
    </row>
    <row r="1555" spans="14:17" ht="24.95" customHeight="1">
      <c r="N1555" s="362"/>
      <c r="O1555" s="362"/>
      <c r="P1555" s="362"/>
      <c r="Q1555" s="362"/>
    </row>
    <row r="1556" spans="14:17" ht="24.95" customHeight="1">
      <c r="N1556" s="362"/>
      <c r="O1556" s="362"/>
      <c r="P1556" s="362"/>
      <c r="Q1556" s="362"/>
    </row>
    <row r="1557" spans="14:17" ht="24.95" customHeight="1">
      <c r="N1557" s="362"/>
      <c r="O1557" s="362"/>
      <c r="P1557" s="362"/>
      <c r="Q1557" s="362"/>
    </row>
    <row r="1558" spans="14:17" ht="24.95" customHeight="1">
      <c r="N1558" s="362"/>
      <c r="O1558" s="362"/>
      <c r="P1558" s="362"/>
      <c r="Q1558" s="362"/>
    </row>
    <row r="1559" spans="14:17" ht="24.95" customHeight="1">
      <c r="N1559" s="362"/>
      <c r="O1559" s="362"/>
      <c r="P1559" s="362"/>
      <c r="Q1559" s="362"/>
    </row>
    <row r="1560" spans="14:17" ht="24.95" customHeight="1">
      <c r="N1560" s="362"/>
      <c r="O1560" s="362"/>
      <c r="P1560" s="362"/>
      <c r="Q1560" s="362"/>
    </row>
    <row r="1561" spans="14:17" ht="24.95" customHeight="1">
      <c r="N1561" s="362"/>
      <c r="O1561" s="362"/>
      <c r="P1561" s="362"/>
      <c r="Q1561" s="362"/>
    </row>
    <row r="1562" spans="14:17" ht="24.95" customHeight="1">
      <c r="N1562" s="362"/>
      <c r="O1562" s="362"/>
      <c r="P1562" s="362"/>
      <c r="Q1562" s="362"/>
    </row>
    <row r="1563" spans="14:17" ht="24.95" customHeight="1">
      <c r="N1563" s="362"/>
      <c r="O1563" s="362"/>
      <c r="P1563" s="362"/>
      <c r="Q1563" s="362"/>
    </row>
    <row r="1564" spans="14:17" ht="24.95" customHeight="1">
      <c r="N1564" s="362"/>
      <c r="O1564" s="362"/>
      <c r="P1564" s="362"/>
      <c r="Q1564" s="362"/>
    </row>
    <row r="1565" spans="14:17" ht="24.95" customHeight="1">
      <c r="N1565" s="362"/>
      <c r="O1565" s="362"/>
      <c r="P1565" s="362"/>
      <c r="Q1565" s="362"/>
    </row>
    <row r="1566" spans="14:17" ht="24.95" customHeight="1">
      <c r="N1566" s="362"/>
      <c r="O1566" s="362"/>
      <c r="P1566" s="362"/>
      <c r="Q1566" s="362"/>
    </row>
    <row r="1567" spans="14:17" ht="24.95" customHeight="1">
      <c r="N1567" s="362"/>
      <c r="O1567" s="362"/>
      <c r="P1567" s="362"/>
      <c r="Q1567" s="362"/>
    </row>
    <row r="1568" spans="14:17" ht="24.95" customHeight="1">
      <c r="N1568" s="362"/>
      <c r="O1568" s="362"/>
      <c r="P1568" s="362"/>
      <c r="Q1568" s="362"/>
    </row>
    <row r="1569" spans="14:17" ht="24.95" customHeight="1">
      <c r="N1569" s="362"/>
      <c r="O1569" s="362"/>
      <c r="P1569" s="362"/>
      <c r="Q1569" s="362"/>
    </row>
    <row r="1570" spans="14:17" ht="24.95" customHeight="1">
      <c r="N1570" s="362"/>
      <c r="O1570" s="362"/>
      <c r="P1570" s="362"/>
      <c r="Q1570" s="362"/>
    </row>
    <row r="1571" spans="14:17" ht="24.95" customHeight="1">
      <c r="N1571" s="362"/>
      <c r="O1571" s="362"/>
      <c r="P1571" s="362"/>
      <c r="Q1571" s="362"/>
    </row>
    <row r="1572" spans="14:17" ht="24.95" customHeight="1">
      <c r="N1572" s="362"/>
      <c r="O1572" s="362"/>
      <c r="P1572" s="362"/>
      <c r="Q1572" s="362"/>
    </row>
    <row r="1573" spans="14:17" ht="24.95" customHeight="1">
      <c r="N1573" s="362"/>
      <c r="O1573" s="362"/>
      <c r="P1573" s="362"/>
      <c r="Q1573" s="362"/>
    </row>
    <row r="1574" spans="14:17" ht="24.95" customHeight="1">
      <c r="N1574" s="362"/>
      <c r="O1574" s="362"/>
      <c r="P1574" s="362"/>
      <c r="Q1574" s="362"/>
    </row>
    <row r="1575" spans="14:17" ht="24.95" customHeight="1">
      <c r="N1575" s="362"/>
      <c r="O1575" s="362"/>
      <c r="P1575" s="362"/>
      <c r="Q1575" s="362"/>
    </row>
    <row r="1576" spans="14:17" ht="24.95" customHeight="1">
      <c r="N1576" s="362"/>
      <c r="O1576" s="362"/>
      <c r="P1576" s="362"/>
      <c r="Q1576" s="362"/>
    </row>
    <row r="1577" spans="14:17" ht="24.95" customHeight="1">
      <c r="N1577" s="362"/>
      <c r="O1577" s="362"/>
      <c r="P1577" s="362"/>
      <c r="Q1577" s="362"/>
    </row>
    <row r="1578" spans="14:17" ht="24.95" customHeight="1">
      <c r="N1578" s="362"/>
      <c r="O1578" s="362"/>
      <c r="P1578" s="362"/>
      <c r="Q1578" s="362"/>
    </row>
    <row r="1579" spans="14:17" ht="24.95" customHeight="1">
      <c r="N1579" s="362"/>
      <c r="O1579" s="362"/>
      <c r="P1579" s="362"/>
      <c r="Q1579" s="362"/>
    </row>
    <row r="1580" spans="14:17" ht="24.95" customHeight="1">
      <c r="N1580" s="362"/>
      <c r="O1580" s="362"/>
      <c r="P1580" s="362"/>
      <c r="Q1580" s="362"/>
    </row>
    <row r="1581" spans="14:17" ht="24.95" customHeight="1">
      <c r="N1581" s="362"/>
      <c r="O1581" s="362"/>
      <c r="P1581" s="362"/>
      <c r="Q1581" s="362"/>
    </row>
    <row r="1582" spans="14:17" ht="24.95" customHeight="1">
      <c r="N1582" s="362"/>
      <c r="O1582" s="362"/>
      <c r="P1582" s="362"/>
      <c r="Q1582" s="362"/>
    </row>
    <row r="1583" spans="14:17" ht="24.95" customHeight="1">
      <c r="N1583" s="362"/>
      <c r="O1583" s="362"/>
      <c r="P1583" s="362"/>
      <c r="Q1583" s="362"/>
    </row>
    <row r="1584" spans="14:17" ht="24.95" customHeight="1">
      <c r="N1584" s="362"/>
      <c r="O1584" s="362"/>
      <c r="P1584" s="362"/>
      <c r="Q1584" s="362"/>
    </row>
    <row r="1585" spans="14:17" ht="24.95" customHeight="1">
      <c r="N1585" s="362"/>
      <c r="O1585" s="362"/>
      <c r="P1585" s="362"/>
      <c r="Q1585" s="362"/>
    </row>
    <row r="1586" spans="14:17" ht="24.95" customHeight="1">
      <c r="N1586" s="362"/>
      <c r="O1586" s="362"/>
      <c r="P1586" s="362"/>
      <c r="Q1586" s="362"/>
    </row>
    <row r="1587" spans="14:17" ht="24.95" customHeight="1">
      <c r="N1587" s="362"/>
      <c r="O1587" s="362"/>
      <c r="P1587" s="362"/>
      <c r="Q1587" s="362"/>
    </row>
    <row r="1588" spans="14:17" ht="24.95" customHeight="1">
      <c r="N1588" s="362"/>
      <c r="O1588" s="362"/>
      <c r="P1588" s="362"/>
      <c r="Q1588" s="362"/>
    </row>
    <row r="1589" spans="14:17" ht="24.95" customHeight="1">
      <c r="N1589" s="362"/>
      <c r="O1589" s="362"/>
      <c r="P1589" s="362"/>
      <c r="Q1589" s="362"/>
    </row>
    <row r="1590" spans="14:17" ht="24.95" customHeight="1">
      <c r="N1590" s="362"/>
      <c r="O1590" s="362"/>
      <c r="P1590" s="362"/>
      <c r="Q1590" s="362"/>
    </row>
    <row r="1591" spans="14:17" ht="24.95" customHeight="1">
      <c r="N1591" s="362"/>
      <c r="O1591" s="362"/>
      <c r="P1591" s="362"/>
      <c r="Q1591" s="362"/>
    </row>
    <row r="1592" spans="14:17" ht="24.95" customHeight="1">
      <c r="N1592" s="362"/>
      <c r="O1592" s="362"/>
      <c r="P1592" s="362"/>
      <c r="Q1592" s="362"/>
    </row>
    <row r="1593" spans="14:17" ht="24.95" customHeight="1">
      <c r="N1593" s="362"/>
      <c r="O1593" s="362"/>
      <c r="P1593" s="362"/>
      <c r="Q1593" s="362"/>
    </row>
    <row r="1594" spans="14:17" ht="24.95" customHeight="1">
      <c r="N1594" s="362"/>
      <c r="O1594" s="362"/>
      <c r="P1594" s="362"/>
      <c r="Q1594" s="362"/>
    </row>
    <row r="1595" spans="14:17" ht="24.95" customHeight="1">
      <c r="N1595" s="362"/>
      <c r="O1595" s="362"/>
      <c r="P1595" s="362"/>
      <c r="Q1595" s="362"/>
    </row>
    <row r="1596" spans="14:17" ht="24.95" customHeight="1">
      <c r="N1596" s="362"/>
      <c r="O1596" s="362"/>
      <c r="P1596" s="362"/>
      <c r="Q1596" s="362"/>
    </row>
    <row r="1597" spans="14:17" ht="24.95" customHeight="1">
      <c r="N1597" s="362"/>
      <c r="O1597" s="362"/>
      <c r="P1597" s="362"/>
      <c r="Q1597" s="362"/>
    </row>
    <row r="1598" spans="14:17" ht="24.95" customHeight="1">
      <c r="N1598" s="362"/>
      <c r="O1598" s="362"/>
      <c r="P1598" s="362"/>
      <c r="Q1598" s="362"/>
    </row>
    <row r="1599" spans="14:17" ht="24.95" customHeight="1">
      <c r="N1599" s="362"/>
      <c r="O1599" s="362"/>
      <c r="P1599" s="362"/>
      <c r="Q1599" s="362"/>
    </row>
    <row r="1600" spans="14:17" ht="24.95" customHeight="1">
      <c r="N1600" s="362"/>
      <c r="O1600" s="362"/>
      <c r="P1600" s="362"/>
      <c r="Q1600" s="362"/>
    </row>
    <row r="1601" spans="14:17" ht="24.95" customHeight="1">
      <c r="N1601" s="362"/>
      <c r="O1601" s="362"/>
      <c r="P1601" s="362"/>
      <c r="Q1601" s="362"/>
    </row>
    <row r="1602" spans="14:17" ht="24.95" customHeight="1">
      <c r="N1602" s="362"/>
      <c r="O1602" s="362"/>
      <c r="P1602" s="362"/>
      <c r="Q1602" s="362"/>
    </row>
    <row r="1603" spans="14:17" ht="24.95" customHeight="1">
      <c r="N1603" s="362"/>
      <c r="O1603" s="362"/>
      <c r="P1603" s="362"/>
      <c r="Q1603" s="362"/>
    </row>
    <row r="1604" spans="14:17" ht="24.95" customHeight="1">
      <c r="N1604" s="362"/>
      <c r="O1604" s="362"/>
      <c r="P1604" s="362"/>
      <c r="Q1604" s="362"/>
    </row>
    <row r="1605" spans="14:17" ht="24.95" customHeight="1">
      <c r="N1605" s="362"/>
      <c r="O1605" s="362"/>
      <c r="P1605" s="362"/>
      <c r="Q1605" s="362"/>
    </row>
    <row r="1606" spans="14:17" ht="24.95" customHeight="1">
      <c r="N1606" s="362"/>
      <c r="O1606" s="362"/>
      <c r="P1606" s="362"/>
      <c r="Q1606" s="362"/>
    </row>
    <row r="1607" spans="14:17" ht="24.95" customHeight="1">
      <c r="N1607" s="362"/>
      <c r="O1607" s="362"/>
      <c r="P1607" s="362"/>
      <c r="Q1607" s="362"/>
    </row>
    <row r="1608" spans="14:17" ht="24.95" customHeight="1">
      <c r="N1608" s="362"/>
      <c r="O1608" s="362"/>
      <c r="P1608" s="362"/>
      <c r="Q1608" s="362"/>
    </row>
    <row r="1609" spans="14:17" ht="24.95" customHeight="1">
      <c r="N1609" s="362"/>
      <c r="O1609" s="362"/>
      <c r="P1609" s="362"/>
      <c r="Q1609" s="362"/>
    </row>
    <row r="1610" spans="14:17" ht="24.95" customHeight="1">
      <c r="N1610" s="362"/>
      <c r="O1610" s="362"/>
      <c r="P1610" s="362"/>
      <c r="Q1610" s="362"/>
    </row>
    <row r="1611" spans="14:17" ht="24.95" customHeight="1">
      <c r="N1611" s="362"/>
      <c r="O1611" s="362"/>
      <c r="P1611" s="362"/>
      <c r="Q1611" s="362"/>
    </row>
    <row r="1612" spans="14:17" ht="24.95" customHeight="1">
      <c r="N1612" s="362"/>
      <c r="O1612" s="362"/>
      <c r="P1612" s="362"/>
      <c r="Q1612" s="362"/>
    </row>
    <row r="1613" spans="14:17" ht="24.95" customHeight="1">
      <c r="N1613" s="362"/>
      <c r="O1613" s="362"/>
      <c r="P1613" s="362"/>
      <c r="Q1613" s="362"/>
    </row>
    <row r="1614" spans="14:17" ht="24.95" customHeight="1">
      <c r="N1614" s="362"/>
      <c r="O1614" s="362"/>
      <c r="P1614" s="362"/>
      <c r="Q1614" s="362"/>
    </row>
    <row r="1615" spans="14:17" ht="24.95" customHeight="1">
      <c r="N1615" s="362"/>
      <c r="O1615" s="362"/>
      <c r="P1615" s="362"/>
      <c r="Q1615" s="362"/>
    </row>
    <row r="1616" spans="14:17" ht="24.95" customHeight="1">
      <c r="N1616" s="362"/>
      <c r="O1616" s="362"/>
      <c r="P1616" s="362"/>
      <c r="Q1616" s="362"/>
    </row>
    <row r="1617" spans="14:17" ht="24.95" customHeight="1">
      <c r="N1617" s="362"/>
      <c r="O1617" s="362"/>
      <c r="P1617" s="362"/>
      <c r="Q1617" s="362"/>
    </row>
    <row r="1618" spans="14:17" ht="24.95" customHeight="1">
      <c r="N1618" s="362"/>
      <c r="O1618" s="362"/>
      <c r="P1618" s="362"/>
      <c r="Q1618" s="362"/>
    </row>
    <row r="1619" spans="14:17" ht="24.95" customHeight="1">
      <c r="N1619" s="362"/>
      <c r="O1619" s="362"/>
      <c r="P1619" s="362"/>
      <c r="Q1619" s="362"/>
    </row>
    <row r="1620" spans="14:17" ht="24.95" customHeight="1">
      <c r="N1620" s="362"/>
      <c r="O1620" s="362"/>
      <c r="P1620" s="362"/>
      <c r="Q1620" s="362"/>
    </row>
    <row r="1621" spans="14:17" ht="24.95" customHeight="1">
      <c r="N1621" s="362"/>
      <c r="O1621" s="362"/>
      <c r="P1621" s="362"/>
      <c r="Q1621" s="362"/>
    </row>
    <row r="1622" spans="14:17" ht="24.95" customHeight="1">
      <c r="N1622" s="362"/>
      <c r="O1622" s="362"/>
      <c r="P1622" s="362"/>
      <c r="Q1622" s="362"/>
    </row>
    <row r="1623" spans="14:17" ht="24.95" customHeight="1">
      <c r="N1623" s="362"/>
      <c r="O1623" s="362"/>
      <c r="P1623" s="362"/>
      <c r="Q1623" s="362"/>
    </row>
    <row r="1624" spans="14:17" ht="24.95" customHeight="1">
      <c r="N1624" s="362"/>
      <c r="O1624" s="362"/>
      <c r="P1624" s="362"/>
      <c r="Q1624" s="362"/>
    </row>
    <row r="1625" spans="14:17" ht="24.95" customHeight="1">
      <c r="N1625" s="362"/>
      <c r="O1625" s="362"/>
      <c r="P1625" s="362"/>
      <c r="Q1625" s="362"/>
    </row>
    <row r="1626" spans="14:17" ht="24.95" customHeight="1">
      <c r="N1626" s="362"/>
      <c r="O1626" s="362"/>
      <c r="P1626" s="362"/>
      <c r="Q1626" s="362"/>
    </row>
    <row r="1627" spans="14:17" ht="24.95" customHeight="1">
      <c r="N1627" s="362"/>
      <c r="O1627" s="362"/>
      <c r="P1627" s="362"/>
      <c r="Q1627" s="362"/>
    </row>
    <row r="1628" spans="14:17" ht="24.95" customHeight="1">
      <c r="N1628" s="362"/>
      <c r="O1628" s="362"/>
      <c r="P1628" s="362"/>
      <c r="Q1628" s="362"/>
    </row>
    <row r="1629" spans="14:17" ht="24.95" customHeight="1">
      <c r="N1629" s="362"/>
      <c r="O1629" s="362"/>
      <c r="P1629" s="362"/>
      <c r="Q1629" s="362"/>
    </row>
    <row r="1630" spans="14:17" ht="24.95" customHeight="1">
      <c r="N1630" s="362"/>
      <c r="O1630" s="362"/>
      <c r="P1630" s="362"/>
      <c r="Q1630" s="362"/>
    </row>
    <row r="1631" spans="14:17" ht="24.95" customHeight="1">
      <c r="N1631" s="362"/>
      <c r="O1631" s="362"/>
      <c r="P1631" s="362"/>
      <c r="Q1631" s="362"/>
    </row>
    <row r="1632" spans="14:17" ht="24.95" customHeight="1">
      <c r="N1632" s="362"/>
      <c r="O1632" s="362"/>
      <c r="P1632" s="362"/>
      <c r="Q1632" s="362"/>
    </row>
    <row r="1633" spans="14:17" ht="24.95" customHeight="1">
      <c r="N1633" s="362"/>
      <c r="O1633" s="362"/>
      <c r="P1633" s="362"/>
      <c r="Q1633" s="362"/>
    </row>
    <row r="1634" spans="14:17" ht="24.95" customHeight="1">
      <c r="N1634" s="362"/>
      <c r="O1634" s="362"/>
      <c r="P1634" s="362"/>
      <c r="Q1634" s="362"/>
    </row>
    <row r="1635" spans="14:17" ht="24.95" customHeight="1">
      <c r="N1635" s="362"/>
      <c r="O1635" s="362"/>
      <c r="P1635" s="362"/>
      <c r="Q1635" s="362"/>
    </row>
    <row r="1636" spans="14:17" ht="24.95" customHeight="1">
      <c r="N1636" s="362"/>
      <c r="O1636" s="362"/>
      <c r="P1636" s="362"/>
      <c r="Q1636" s="362"/>
    </row>
    <row r="1637" spans="14:17" ht="24.95" customHeight="1">
      <c r="N1637" s="362"/>
      <c r="O1637" s="362"/>
      <c r="P1637" s="362"/>
      <c r="Q1637" s="362"/>
    </row>
    <row r="1638" spans="14:17" ht="24.95" customHeight="1">
      <c r="N1638" s="362"/>
      <c r="O1638" s="362"/>
      <c r="P1638" s="362"/>
      <c r="Q1638" s="362"/>
    </row>
    <row r="1639" spans="14:17" ht="24.95" customHeight="1">
      <c r="N1639" s="362"/>
      <c r="O1639" s="362"/>
      <c r="P1639" s="362"/>
      <c r="Q1639" s="362"/>
    </row>
    <row r="1640" spans="14:17" ht="24.95" customHeight="1">
      <c r="N1640" s="362"/>
      <c r="O1640" s="362"/>
      <c r="P1640" s="362"/>
      <c r="Q1640" s="362"/>
    </row>
    <row r="1641" spans="14:17" ht="24.95" customHeight="1">
      <c r="N1641" s="362"/>
      <c r="O1641" s="362"/>
      <c r="P1641" s="362"/>
      <c r="Q1641" s="362"/>
    </row>
    <row r="1642" spans="14:17" ht="24.95" customHeight="1">
      <c r="N1642" s="362"/>
      <c r="O1642" s="362"/>
      <c r="P1642" s="362"/>
      <c r="Q1642" s="362"/>
    </row>
    <row r="1643" spans="14:17" ht="24.95" customHeight="1">
      <c r="N1643" s="362"/>
      <c r="O1643" s="362"/>
      <c r="P1643" s="362"/>
      <c r="Q1643" s="362"/>
    </row>
    <row r="1644" spans="14:17" ht="24.95" customHeight="1">
      <c r="N1644" s="362"/>
      <c r="O1644" s="362"/>
      <c r="P1644" s="362"/>
      <c r="Q1644" s="362"/>
    </row>
    <row r="1645" spans="14:17" ht="24.95" customHeight="1">
      <c r="N1645" s="362"/>
      <c r="O1645" s="362"/>
      <c r="P1645" s="362"/>
      <c r="Q1645" s="362"/>
    </row>
    <row r="1646" spans="14:17" ht="24.95" customHeight="1">
      <c r="N1646" s="362"/>
      <c r="O1646" s="362"/>
      <c r="P1646" s="362"/>
      <c r="Q1646" s="362"/>
    </row>
    <row r="1647" spans="14:17" ht="24.95" customHeight="1">
      <c r="N1647" s="362"/>
      <c r="O1647" s="362"/>
      <c r="P1647" s="362"/>
      <c r="Q1647" s="362"/>
    </row>
    <row r="1648" spans="14:17" ht="24.95" customHeight="1">
      <c r="N1648" s="362"/>
      <c r="O1648" s="362"/>
      <c r="P1648" s="362"/>
      <c r="Q1648" s="362"/>
    </row>
    <row r="1649" spans="14:17" ht="24.95" customHeight="1">
      <c r="N1649" s="362"/>
      <c r="O1649" s="362"/>
      <c r="P1649" s="362"/>
      <c r="Q1649" s="362"/>
    </row>
    <row r="1650" spans="14:17" ht="24.95" customHeight="1">
      <c r="N1650" s="362"/>
      <c r="O1650" s="362"/>
      <c r="P1650" s="362"/>
      <c r="Q1650" s="362"/>
    </row>
    <row r="1651" spans="14:17" ht="24.95" customHeight="1">
      <c r="N1651" s="362"/>
      <c r="O1651" s="362"/>
      <c r="P1651" s="362"/>
      <c r="Q1651" s="362"/>
    </row>
    <row r="1652" spans="14:17" ht="24.95" customHeight="1">
      <c r="N1652" s="362"/>
      <c r="O1652" s="362"/>
      <c r="P1652" s="362"/>
      <c r="Q1652" s="362"/>
    </row>
    <row r="1653" spans="14:17" ht="24.95" customHeight="1">
      <c r="N1653" s="362"/>
      <c r="O1653" s="362"/>
      <c r="P1653" s="362"/>
      <c r="Q1653" s="362"/>
    </row>
    <row r="1654" spans="14:17" ht="24.95" customHeight="1">
      <c r="N1654" s="362"/>
      <c r="O1654" s="362"/>
      <c r="P1654" s="362"/>
      <c r="Q1654" s="362"/>
    </row>
    <row r="1655" spans="14:17" ht="24.95" customHeight="1">
      <c r="N1655" s="362"/>
      <c r="O1655" s="362"/>
      <c r="P1655" s="362"/>
      <c r="Q1655" s="362"/>
    </row>
    <row r="1656" spans="14:17" ht="24.95" customHeight="1">
      <c r="N1656" s="362"/>
      <c r="O1656" s="362"/>
      <c r="P1656" s="362"/>
      <c r="Q1656" s="362"/>
    </row>
    <row r="1657" spans="14:17" ht="24.95" customHeight="1">
      <c r="N1657" s="362"/>
      <c r="O1657" s="362"/>
      <c r="P1657" s="362"/>
      <c r="Q1657" s="362"/>
    </row>
    <row r="1658" spans="14:17" ht="24.95" customHeight="1">
      <c r="N1658" s="362"/>
      <c r="O1658" s="362"/>
      <c r="P1658" s="362"/>
      <c r="Q1658" s="362"/>
    </row>
    <row r="1659" spans="14:17" ht="24.95" customHeight="1">
      <c r="N1659" s="362"/>
      <c r="O1659" s="362"/>
      <c r="P1659" s="362"/>
      <c r="Q1659" s="362"/>
    </row>
    <row r="1660" spans="14:17" ht="24.95" customHeight="1">
      <c r="N1660" s="362"/>
      <c r="O1660" s="362"/>
      <c r="P1660" s="362"/>
      <c r="Q1660" s="362"/>
    </row>
    <row r="1661" spans="14:17" ht="24.95" customHeight="1">
      <c r="N1661" s="362"/>
      <c r="O1661" s="362"/>
      <c r="P1661" s="362"/>
      <c r="Q1661" s="362"/>
    </row>
    <row r="1662" spans="14:17" ht="24.95" customHeight="1">
      <c r="N1662" s="362"/>
      <c r="O1662" s="362"/>
      <c r="P1662" s="362"/>
      <c r="Q1662" s="362"/>
    </row>
    <row r="1663" spans="14:17" ht="24.95" customHeight="1">
      <c r="N1663" s="362"/>
      <c r="O1663" s="362"/>
      <c r="P1663" s="362"/>
      <c r="Q1663" s="362"/>
    </row>
    <row r="1664" spans="14:17" ht="24.95" customHeight="1">
      <c r="N1664" s="362"/>
      <c r="O1664" s="362"/>
      <c r="P1664" s="362"/>
      <c r="Q1664" s="362"/>
    </row>
    <row r="1665" spans="14:17" ht="24.95" customHeight="1">
      <c r="N1665" s="362"/>
      <c r="O1665" s="362"/>
      <c r="P1665" s="362"/>
      <c r="Q1665" s="362"/>
    </row>
    <row r="1666" spans="14:17" ht="24.95" customHeight="1">
      <c r="N1666" s="362"/>
      <c r="O1666" s="362"/>
      <c r="P1666" s="362"/>
      <c r="Q1666" s="362"/>
    </row>
    <row r="1667" spans="14:17" ht="24.95" customHeight="1">
      <c r="N1667" s="362"/>
      <c r="O1667" s="362"/>
      <c r="P1667" s="362"/>
      <c r="Q1667" s="362"/>
    </row>
    <row r="1668" spans="14:17" ht="24.95" customHeight="1">
      <c r="N1668" s="362"/>
      <c r="O1668" s="362"/>
      <c r="P1668" s="362"/>
      <c r="Q1668" s="362"/>
    </row>
    <row r="1669" spans="14:17" ht="24.95" customHeight="1">
      <c r="N1669" s="362"/>
      <c r="O1669" s="362"/>
      <c r="P1669" s="362"/>
      <c r="Q1669" s="362"/>
    </row>
    <row r="1670" spans="14:17" ht="24.95" customHeight="1">
      <c r="N1670" s="362"/>
      <c r="O1670" s="362"/>
      <c r="P1670" s="362"/>
      <c r="Q1670" s="362"/>
    </row>
    <row r="1671" spans="14:17" ht="24.95" customHeight="1">
      <c r="N1671" s="362"/>
      <c r="O1671" s="362"/>
      <c r="P1671" s="362"/>
      <c r="Q1671" s="362"/>
    </row>
    <row r="1672" spans="14:17" ht="24.95" customHeight="1">
      <c r="N1672" s="362"/>
      <c r="O1672" s="362"/>
      <c r="P1672" s="362"/>
      <c r="Q1672" s="362"/>
    </row>
    <row r="1673" spans="14:17" ht="24.95" customHeight="1">
      <c r="N1673" s="362"/>
      <c r="O1673" s="362"/>
      <c r="P1673" s="362"/>
      <c r="Q1673" s="362"/>
    </row>
    <row r="1674" spans="14:17" ht="24.95" customHeight="1">
      <c r="N1674" s="362"/>
      <c r="O1674" s="362"/>
      <c r="P1674" s="362"/>
      <c r="Q1674" s="362"/>
    </row>
    <row r="1675" spans="14:17" ht="24.95" customHeight="1">
      <c r="N1675" s="362"/>
      <c r="O1675" s="362"/>
      <c r="P1675" s="362"/>
      <c r="Q1675" s="362"/>
    </row>
    <row r="1676" spans="14:17" ht="24.95" customHeight="1">
      <c r="N1676" s="362"/>
      <c r="O1676" s="362"/>
      <c r="P1676" s="362"/>
      <c r="Q1676" s="362"/>
    </row>
    <row r="1677" spans="14:17" ht="24.95" customHeight="1">
      <c r="N1677" s="362"/>
      <c r="O1677" s="362"/>
      <c r="P1677" s="362"/>
      <c r="Q1677" s="362"/>
    </row>
    <row r="1678" spans="14:17" ht="24.95" customHeight="1">
      <c r="N1678" s="362"/>
      <c r="O1678" s="362"/>
      <c r="P1678" s="362"/>
      <c r="Q1678" s="362"/>
    </row>
    <row r="1679" spans="14:17" ht="24.95" customHeight="1">
      <c r="N1679" s="362"/>
      <c r="O1679" s="362"/>
      <c r="P1679" s="362"/>
      <c r="Q1679" s="362"/>
    </row>
    <row r="1680" spans="14:17" ht="24.95" customHeight="1">
      <c r="N1680" s="362"/>
      <c r="O1680" s="362"/>
      <c r="P1680" s="362"/>
      <c r="Q1680" s="362"/>
    </row>
    <row r="1681" spans="14:17" ht="24.95" customHeight="1">
      <c r="N1681" s="362"/>
      <c r="O1681" s="362"/>
      <c r="P1681" s="362"/>
      <c r="Q1681" s="362"/>
    </row>
    <row r="1682" spans="14:17" ht="24.95" customHeight="1">
      <c r="N1682" s="362"/>
      <c r="O1682" s="362"/>
      <c r="P1682" s="362"/>
      <c r="Q1682" s="362"/>
    </row>
    <row r="1683" spans="14:17" ht="24.95" customHeight="1">
      <c r="N1683" s="362"/>
      <c r="O1683" s="362"/>
      <c r="P1683" s="362"/>
      <c r="Q1683" s="362"/>
    </row>
    <row r="1684" spans="14:17" ht="24.95" customHeight="1">
      <c r="N1684" s="362"/>
      <c r="O1684" s="362"/>
      <c r="P1684" s="362"/>
      <c r="Q1684" s="362"/>
    </row>
    <row r="1685" spans="14:17" ht="24.95" customHeight="1">
      <c r="N1685" s="362"/>
      <c r="O1685" s="362"/>
      <c r="P1685" s="362"/>
      <c r="Q1685" s="362"/>
    </row>
    <row r="1686" spans="14:17" ht="24.95" customHeight="1">
      <c r="N1686" s="362"/>
      <c r="O1686" s="362"/>
      <c r="P1686" s="362"/>
      <c r="Q1686" s="362"/>
    </row>
    <row r="1687" spans="14:17" ht="24.95" customHeight="1">
      <c r="N1687" s="362"/>
      <c r="O1687" s="362"/>
      <c r="P1687" s="362"/>
      <c r="Q1687" s="362"/>
    </row>
    <row r="1688" spans="14:17" ht="24.95" customHeight="1">
      <c r="N1688" s="362"/>
      <c r="O1688" s="362"/>
      <c r="P1688" s="362"/>
      <c r="Q1688" s="362"/>
    </row>
    <row r="1689" spans="14:17" ht="24.95" customHeight="1">
      <c r="N1689" s="362"/>
      <c r="O1689" s="362"/>
      <c r="P1689" s="362"/>
      <c r="Q1689" s="362"/>
    </row>
    <row r="1690" spans="14:17" ht="24.95" customHeight="1">
      <c r="N1690" s="362"/>
      <c r="O1690" s="362"/>
      <c r="P1690" s="362"/>
      <c r="Q1690" s="362"/>
    </row>
    <row r="1691" spans="14:17" ht="24.95" customHeight="1">
      <c r="N1691" s="362"/>
      <c r="O1691" s="362"/>
      <c r="P1691" s="362"/>
      <c r="Q1691" s="362"/>
    </row>
    <row r="1692" spans="14:17" ht="24.95" customHeight="1">
      <c r="N1692" s="362"/>
      <c r="O1692" s="362"/>
      <c r="P1692" s="362"/>
      <c r="Q1692" s="362"/>
    </row>
    <row r="1693" spans="14:17" ht="24.95" customHeight="1">
      <c r="N1693" s="362"/>
      <c r="O1693" s="362"/>
      <c r="P1693" s="362"/>
      <c r="Q1693" s="362"/>
    </row>
    <row r="1694" spans="14:17" ht="24.95" customHeight="1">
      <c r="N1694" s="362"/>
      <c r="O1694" s="362"/>
      <c r="P1694" s="362"/>
      <c r="Q1694" s="362"/>
    </row>
    <row r="1695" spans="14:17" ht="24.95" customHeight="1">
      <c r="N1695" s="362"/>
      <c r="O1695" s="362"/>
      <c r="P1695" s="362"/>
      <c r="Q1695" s="362"/>
    </row>
    <row r="1696" spans="14:17" ht="24.95" customHeight="1">
      <c r="N1696" s="362"/>
      <c r="O1696" s="362"/>
      <c r="P1696" s="362"/>
      <c r="Q1696" s="362"/>
    </row>
    <row r="1697" spans="14:17" ht="24.95" customHeight="1">
      <c r="N1697" s="362"/>
      <c r="O1697" s="362"/>
      <c r="P1697" s="362"/>
      <c r="Q1697" s="362"/>
    </row>
    <row r="1698" spans="14:17" ht="24.95" customHeight="1">
      <c r="N1698" s="362"/>
      <c r="O1698" s="362"/>
      <c r="P1698" s="362"/>
      <c r="Q1698" s="362"/>
    </row>
    <row r="1699" spans="14:17" ht="24.95" customHeight="1">
      <c r="N1699" s="362"/>
      <c r="O1699" s="362"/>
      <c r="P1699" s="362"/>
      <c r="Q1699" s="362"/>
    </row>
    <row r="1700" spans="14:17" ht="24.95" customHeight="1">
      <c r="N1700" s="362"/>
      <c r="O1700" s="362"/>
      <c r="P1700" s="362"/>
      <c r="Q1700" s="362"/>
    </row>
    <row r="1701" spans="14:17" ht="24.95" customHeight="1">
      <c r="N1701" s="362"/>
      <c r="O1701" s="362"/>
      <c r="P1701" s="362"/>
      <c r="Q1701" s="362"/>
    </row>
    <row r="1702" spans="14:17" ht="24.95" customHeight="1">
      <c r="N1702" s="362"/>
      <c r="O1702" s="362"/>
      <c r="P1702" s="362"/>
      <c r="Q1702" s="362"/>
    </row>
    <row r="1703" spans="14:17" ht="24.95" customHeight="1">
      <c r="N1703" s="362"/>
      <c r="O1703" s="362"/>
      <c r="P1703" s="362"/>
      <c r="Q1703" s="362"/>
    </row>
    <row r="1704" spans="14:17" ht="24.95" customHeight="1">
      <c r="N1704" s="362"/>
      <c r="O1704" s="362"/>
      <c r="P1704" s="362"/>
      <c r="Q1704" s="362"/>
    </row>
    <row r="1705" spans="14:17" ht="24.95" customHeight="1">
      <c r="N1705" s="362"/>
      <c r="O1705" s="362"/>
      <c r="P1705" s="362"/>
      <c r="Q1705" s="362"/>
    </row>
    <row r="1706" spans="14:17" ht="24.95" customHeight="1">
      <c r="N1706" s="362"/>
      <c r="O1706" s="362"/>
      <c r="P1706" s="362"/>
      <c r="Q1706" s="362"/>
    </row>
    <row r="1707" spans="14:17" ht="24.95" customHeight="1">
      <c r="N1707" s="362"/>
      <c r="O1707" s="362"/>
      <c r="P1707" s="362"/>
      <c r="Q1707" s="362"/>
    </row>
    <row r="1708" spans="14:17" ht="24.95" customHeight="1">
      <c r="N1708" s="362"/>
      <c r="O1708" s="362"/>
      <c r="P1708" s="362"/>
      <c r="Q1708" s="362"/>
    </row>
    <row r="1709" spans="14:17" ht="24.95" customHeight="1">
      <c r="N1709" s="362"/>
      <c r="O1709" s="362"/>
      <c r="P1709" s="362"/>
      <c r="Q1709" s="362"/>
    </row>
    <row r="1710" spans="14:17" ht="24.95" customHeight="1">
      <c r="N1710" s="362"/>
      <c r="O1710" s="362"/>
      <c r="P1710" s="362"/>
      <c r="Q1710" s="362"/>
    </row>
    <row r="1711" spans="14:17" ht="24.95" customHeight="1">
      <c r="N1711" s="362"/>
      <c r="O1711" s="362"/>
      <c r="P1711" s="362"/>
      <c r="Q1711" s="362"/>
    </row>
    <row r="1712" spans="14:17" ht="24.95" customHeight="1">
      <c r="N1712" s="362"/>
      <c r="O1712" s="362"/>
      <c r="P1712" s="362"/>
      <c r="Q1712" s="362"/>
    </row>
    <row r="1713" spans="14:17" ht="24.95" customHeight="1">
      <c r="N1713" s="362"/>
      <c r="O1713" s="362"/>
      <c r="P1713" s="362"/>
      <c r="Q1713" s="362"/>
    </row>
    <row r="1714" spans="14:17" ht="24.95" customHeight="1">
      <c r="N1714" s="362"/>
      <c r="O1714" s="362"/>
      <c r="P1714" s="362"/>
      <c r="Q1714" s="362"/>
    </row>
    <row r="1715" spans="14:17" ht="24.95" customHeight="1">
      <c r="N1715" s="362"/>
      <c r="O1715" s="362"/>
      <c r="P1715" s="362"/>
      <c r="Q1715" s="362"/>
    </row>
    <row r="1716" spans="14:17" ht="24.95" customHeight="1">
      <c r="N1716" s="362"/>
      <c r="O1716" s="362"/>
      <c r="P1716" s="362"/>
      <c r="Q1716" s="362"/>
    </row>
    <row r="1717" spans="14:17" ht="24.95" customHeight="1">
      <c r="N1717" s="362"/>
      <c r="O1717" s="362"/>
      <c r="P1717" s="362"/>
      <c r="Q1717" s="362"/>
    </row>
    <row r="1718" spans="14:17" ht="24.95" customHeight="1">
      <c r="N1718" s="362"/>
      <c r="O1718" s="362"/>
      <c r="P1718" s="362"/>
      <c r="Q1718" s="362"/>
    </row>
    <row r="1719" spans="14:17" ht="24.95" customHeight="1">
      <c r="N1719" s="362"/>
      <c r="O1719" s="362"/>
      <c r="P1719" s="362"/>
      <c r="Q1719" s="362"/>
    </row>
    <row r="1720" spans="14:17" ht="24.95" customHeight="1">
      <c r="N1720" s="362"/>
      <c r="O1720" s="362"/>
      <c r="P1720" s="362"/>
      <c r="Q1720" s="362"/>
    </row>
    <row r="1721" spans="14:17" ht="24.95" customHeight="1">
      <c r="N1721" s="362"/>
      <c r="O1721" s="362"/>
      <c r="P1721" s="362"/>
      <c r="Q1721" s="362"/>
    </row>
    <row r="1722" spans="14:17" ht="24.95" customHeight="1">
      <c r="N1722" s="362"/>
      <c r="O1722" s="362"/>
      <c r="P1722" s="362"/>
      <c r="Q1722" s="362"/>
    </row>
    <row r="1723" spans="14:17" ht="24.95" customHeight="1">
      <c r="N1723" s="362"/>
      <c r="O1723" s="362"/>
      <c r="P1723" s="362"/>
      <c r="Q1723" s="362"/>
    </row>
    <row r="1724" spans="14:17" ht="24.95" customHeight="1">
      <c r="N1724" s="362"/>
      <c r="O1724" s="362"/>
      <c r="P1724" s="362"/>
      <c r="Q1724" s="362"/>
    </row>
    <row r="1725" spans="14:17" ht="24.95" customHeight="1">
      <c r="N1725" s="362"/>
      <c r="O1725" s="362"/>
      <c r="P1725" s="362"/>
      <c r="Q1725" s="362"/>
    </row>
    <row r="1726" spans="14:17" ht="24.95" customHeight="1">
      <c r="N1726" s="362"/>
      <c r="O1726" s="362"/>
      <c r="P1726" s="362"/>
      <c r="Q1726" s="362"/>
    </row>
    <row r="1727" spans="14:17" ht="24.95" customHeight="1">
      <c r="N1727" s="362"/>
      <c r="O1727" s="362"/>
      <c r="P1727" s="362"/>
      <c r="Q1727" s="362"/>
    </row>
    <row r="1728" spans="14:17" ht="24.95" customHeight="1">
      <c r="N1728" s="362"/>
      <c r="O1728" s="362"/>
      <c r="P1728" s="362"/>
      <c r="Q1728" s="362"/>
    </row>
    <row r="1729" spans="14:17" ht="24.95" customHeight="1">
      <c r="N1729" s="362"/>
      <c r="O1729" s="362"/>
      <c r="P1729" s="362"/>
      <c r="Q1729" s="362"/>
    </row>
    <row r="1730" spans="14:17" ht="24.95" customHeight="1">
      <c r="N1730" s="362"/>
      <c r="O1730" s="362"/>
      <c r="P1730" s="362"/>
      <c r="Q1730" s="362"/>
    </row>
    <row r="1731" spans="14:17" ht="24.95" customHeight="1">
      <c r="N1731" s="362"/>
      <c r="O1731" s="362"/>
      <c r="P1731" s="362"/>
      <c r="Q1731" s="362"/>
    </row>
    <row r="1732" spans="14:17" ht="24.95" customHeight="1">
      <c r="N1732" s="362"/>
      <c r="O1732" s="362"/>
      <c r="P1732" s="362"/>
      <c r="Q1732" s="362"/>
    </row>
    <row r="1733" spans="14:17" ht="24.95" customHeight="1">
      <c r="N1733" s="362"/>
      <c r="O1733" s="362"/>
      <c r="P1733" s="362"/>
      <c r="Q1733" s="362"/>
    </row>
    <row r="1734" spans="14:17" ht="24.95" customHeight="1">
      <c r="N1734" s="362"/>
      <c r="O1734" s="362"/>
      <c r="P1734" s="362"/>
      <c r="Q1734" s="362"/>
    </row>
    <row r="1735" spans="14:17" ht="24.95" customHeight="1">
      <c r="N1735" s="362"/>
      <c r="O1735" s="362"/>
      <c r="P1735" s="362"/>
      <c r="Q1735" s="362"/>
    </row>
    <row r="1736" spans="14:17" ht="24.95" customHeight="1">
      <c r="N1736" s="362"/>
      <c r="O1736" s="362"/>
      <c r="P1736" s="362"/>
      <c r="Q1736" s="362"/>
    </row>
    <row r="1737" spans="14:17" ht="24.95" customHeight="1">
      <c r="N1737" s="362"/>
      <c r="O1737" s="362"/>
      <c r="P1737" s="362"/>
      <c r="Q1737" s="362"/>
    </row>
    <row r="1738" spans="14:17" ht="24.95" customHeight="1">
      <c r="N1738" s="362"/>
      <c r="O1738" s="362"/>
      <c r="P1738" s="362"/>
      <c r="Q1738" s="362"/>
    </row>
    <row r="1739" spans="14:17" ht="24.95" customHeight="1">
      <c r="N1739" s="362"/>
      <c r="O1739" s="362"/>
      <c r="P1739" s="362"/>
      <c r="Q1739" s="362"/>
    </row>
    <row r="1740" spans="14:17" ht="24.95" customHeight="1">
      <c r="N1740" s="362"/>
      <c r="O1740" s="362"/>
      <c r="P1740" s="362"/>
      <c r="Q1740" s="362"/>
    </row>
    <row r="1741" spans="14:17" ht="24.95" customHeight="1">
      <c r="N1741" s="362"/>
      <c r="O1741" s="362"/>
      <c r="P1741" s="362"/>
      <c r="Q1741" s="362"/>
    </row>
    <row r="1742" spans="14:17" ht="24.95" customHeight="1">
      <c r="N1742" s="362"/>
      <c r="O1742" s="362"/>
      <c r="P1742" s="362"/>
      <c r="Q1742" s="362"/>
    </row>
    <row r="1743" spans="14:17" ht="24.95" customHeight="1">
      <c r="N1743" s="362"/>
      <c r="O1743" s="362"/>
      <c r="P1743" s="362"/>
      <c r="Q1743" s="362"/>
    </row>
    <row r="1744" spans="14:17" ht="24.95" customHeight="1">
      <c r="N1744" s="362"/>
      <c r="O1744" s="362"/>
      <c r="P1744" s="362"/>
      <c r="Q1744" s="362"/>
    </row>
    <row r="1745" spans="14:17" ht="24.95" customHeight="1">
      <c r="N1745" s="362"/>
      <c r="O1745" s="362"/>
      <c r="P1745" s="362"/>
      <c r="Q1745" s="362"/>
    </row>
    <row r="1746" spans="14:17" ht="24.95" customHeight="1">
      <c r="N1746" s="362"/>
      <c r="O1746" s="362"/>
      <c r="P1746" s="362"/>
      <c r="Q1746" s="362"/>
    </row>
    <row r="1747" spans="14:17" ht="24.95" customHeight="1">
      <c r="N1747" s="362"/>
      <c r="O1747" s="362"/>
      <c r="P1747" s="362"/>
      <c r="Q1747" s="362"/>
    </row>
    <row r="1748" spans="14:17" ht="24.95" customHeight="1">
      <c r="N1748" s="362"/>
      <c r="O1748" s="362"/>
      <c r="P1748" s="362"/>
      <c r="Q1748" s="362"/>
    </row>
    <row r="1749" spans="14:17" ht="24.95" customHeight="1">
      <c r="N1749" s="362"/>
      <c r="O1749" s="362"/>
      <c r="P1749" s="362"/>
      <c r="Q1749" s="362"/>
    </row>
    <row r="1750" spans="14:17" ht="24.95" customHeight="1">
      <c r="N1750" s="362"/>
      <c r="O1750" s="362"/>
      <c r="P1750" s="362"/>
      <c r="Q1750" s="362"/>
    </row>
    <row r="1751" spans="14:17" ht="24.95" customHeight="1">
      <c r="N1751" s="362"/>
      <c r="O1751" s="362"/>
      <c r="P1751" s="362"/>
      <c r="Q1751" s="362"/>
    </row>
    <row r="1752" spans="14:17" ht="24.95" customHeight="1">
      <c r="N1752" s="362"/>
      <c r="O1752" s="362"/>
      <c r="P1752" s="362"/>
      <c r="Q1752" s="362"/>
    </row>
    <row r="1753" spans="14:17" ht="24.95" customHeight="1">
      <c r="N1753" s="362"/>
      <c r="O1753" s="362"/>
      <c r="P1753" s="362"/>
      <c r="Q1753" s="362"/>
    </row>
    <row r="1754" spans="14:17" ht="24.95" customHeight="1">
      <c r="N1754" s="362"/>
      <c r="O1754" s="362"/>
      <c r="P1754" s="362"/>
      <c r="Q1754" s="362"/>
    </row>
    <row r="1755" spans="14:17" ht="24.95" customHeight="1">
      <c r="N1755" s="362"/>
      <c r="O1755" s="362"/>
      <c r="P1755" s="362"/>
      <c r="Q1755" s="362"/>
    </row>
    <row r="1756" spans="14:17" ht="24.95" customHeight="1">
      <c r="N1756" s="362"/>
      <c r="O1756" s="362"/>
      <c r="P1756" s="362"/>
      <c r="Q1756" s="362"/>
    </row>
    <row r="1757" spans="14:17" ht="24.95" customHeight="1">
      <c r="N1757" s="362"/>
      <c r="O1757" s="362"/>
      <c r="P1757" s="362"/>
      <c r="Q1757" s="362"/>
    </row>
    <row r="1758" spans="14:17" ht="24.95" customHeight="1">
      <c r="N1758" s="362"/>
      <c r="O1758" s="362"/>
      <c r="P1758" s="362"/>
      <c r="Q1758" s="362"/>
    </row>
    <row r="1759" spans="14:17" ht="24.95" customHeight="1">
      <c r="N1759" s="362"/>
      <c r="O1759" s="362"/>
      <c r="P1759" s="362"/>
      <c r="Q1759" s="362"/>
    </row>
    <row r="1760" spans="14:17" ht="24.95" customHeight="1">
      <c r="N1760" s="362"/>
      <c r="O1760" s="362"/>
      <c r="P1760" s="362"/>
      <c r="Q1760" s="362"/>
    </row>
    <row r="1761" spans="14:17" ht="24.95" customHeight="1">
      <c r="N1761" s="362"/>
      <c r="O1761" s="362"/>
      <c r="P1761" s="362"/>
      <c r="Q1761" s="362"/>
    </row>
    <row r="1762" spans="14:17" ht="24.95" customHeight="1">
      <c r="N1762" s="362"/>
      <c r="O1762" s="362"/>
      <c r="P1762" s="362"/>
      <c r="Q1762" s="362"/>
    </row>
    <row r="1763" spans="14:17" ht="24.95" customHeight="1">
      <c r="N1763" s="362"/>
      <c r="O1763" s="362"/>
      <c r="P1763" s="362"/>
      <c r="Q1763" s="362"/>
    </row>
    <row r="1764" spans="14:17" ht="24.95" customHeight="1">
      <c r="N1764" s="362"/>
      <c r="O1764" s="362"/>
      <c r="P1764" s="362"/>
      <c r="Q1764" s="362"/>
    </row>
    <row r="1765" spans="14:17" ht="24.95" customHeight="1">
      <c r="N1765" s="362"/>
      <c r="O1765" s="362"/>
      <c r="P1765" s="362"/>
      <c r="Q1765" s="362"/>
    </row>
    <row r="1766" spans="14:17" ht="24.95" customHeight="1">
      <c r="N1766" s="362"/>
      <c r="O1766" s="362"/>
      <c r="P1766" s="362"/>
      <c r="Q1766" s="362"/>
    </row>
    <row r="1767" spans="14:17" ht="24.95" customHeight="1">
      <c r="N1767" s="362"/>
      <c r="O1767" s="362"/>
      <c r="P1767" s="362"/>
      <c r="Q1767" s="362"/>
    </row>
    <row r="1768" spans="14:17" ht="24.95" customHeight="1">
      <c r="N1768" s="362"/>
      <c r="O1768" s="362"/>
      <c r="P1768" s="362"/>
      <c r="Q1768" s="362"/>
    </row>
    <row r="1769" spans="14:17" ht="24.95" customHeight="1">
      <c r="N1769" s="362"/>
      <c r="O1769" s="362"/>
      <c r="P1769" s="362"/>
      <c r="Q1769" s="362"/>
    </row>
    <row r="1770" spans="14:17" ht="24.95" customHeight="1">
      <c r="N1770" s="362"/>
      <c r="O1770" s="362"/>
      <c r="P1770" s="362"/>
      <c r="Q1770" s="362"/>
    </row>
    <row r="1771" spans="14:17" ht="24.95" customHeight="1">
      <c r="N1771" s="362"/>
      <c r="O1771" s="362"/>
      <c r="P1771" s="362"/>
      <c r="Q1771" s="362"/>
    </row>
    <row r="1772" spans="14:17" ht="24.95" customHeight="1">
      <c r="N1772" s="362"/>
      <c r="O1772" s="362"/>
      <c r="P1772" s="362"/>
      <c r="Q1772" s="362"/>
    </row>
    <row r="1773" spans="14:17" ht="24.95" customHeight="1">
      <c r="N1773" s="362"/>
      <c r="O1773" s="362"/>
      <c r="P1773" s="362"/>
      <c r="Q1773" s="362"/>
    </row>
    <row r="1774" spans="14:17" ht="24.95" customHeight="1">
      <c r="N1774" s="362"/>
      <c r="O1774" s="362"/>
      <c r="P1774" s="362"/>
      <c r="Q1774" s="362"/>
    </row>
    <row r="1775" spans="14:17" ht="24.95" customHeight="1">
      <c r="N1775" s="362"/>
      <c r="O1775" s="362"/>
      <c r="P1775" s="362"/>
      <c r="Q1775" s="362"/>
    </row>
    <row r="1776" spans="14:17" ht="24.95" customHeight="1">
      <c r="N1776" s="362"/>
      <c r="O1776" s="362"/>
      <c r="P1776" s="362"/>
      <c r="Q1776" s="362"/>
    </row>
    <row r="1777" spans="14:17" ht="24.95" customHeight="1">
      <c r="N1777" s="362"/>
      <c r="O1777" s="362"/>
      <c r="P1777" s="362"/>
      <c r="Q1777" s="362"/>
    </row>
    <row r="1778" spans="14:17" ht="24.95" customHeight="1">
      <c r="N1778" s="362"/>
      <c r="O1778" s="362"/>
      <c r="P1778" s="362"/>
      <c r="Q1778" s="362"/>
    </row>
    <row r="1779" spans="14:17" ht="24.95" customHeight="1">
      <c r="N1779" s="362"/>
      <c r="O1779" s="362"/>
      <c r="P1779" s="362"/>
      <c r="Q1779" s="362"/>
    </row>
    <row r="1780" spans="14:17" ht="24.95" customHeight="1">
      <c r="N1780" s="362"/>
      <c r="O1780" s="362"/>
      <c r="P1780" s="362"/>
      <c r="Q1780" s="362"/>
    </row>
    <row r="1781" spans="14:17" ht="24.95" customHeight="1">
      <c r="N1781" s="362"/>
      <c r="O1781" s="362"/>
      <c r="P1781" s="362"/>
      <c r="Q1781" s="362"/>
    </row>
    <row r="1782" spans="14:17" ht="24.95" customHeight="1">
      <c r="N1782" s="362"/>
      <c r="O1782" s="362"/>
      <c r="P1782" s="362"/>
      <c r="Q1782" s="362"/>
    </row>
    <row r="1783" spans="14:17" ht="24.95" customHeight="1">
      <c r="N1783" s="362"/>
      <c r="O1783" s="362"/>
      <c r="P1783" s="362"/>
      <c r="Q1783" s="362"/>
    </row>
    <row r="1784" spans="14:17" ht="24.95" customHeight="1">
      <c r="N1784" s="362"/>
      <c r="O1784" s="362"/>
      <c r="P1784" s="362"/>
      <c r="Q1784" s="362"/>
    </row>
    <row r="1785" spans="14:17" ht="24.95" customHeight="1">
      <c r="N1785" s="362"/>
      <c r="O1785" s="362"/>
      <c r="P1785" s="362"/>
      <c r="Q1785" s="362"/>
    </row>
    <row r="1786" spans="14:17" ht="24.95" customHeight="1">
      <c r="N1786" s="362"/>
      <c r="O1786" s="362"/>
      <c r="P1786" s="362"/>
      <c r="Q1786" s="362"/>
    </row>
    <row r="1787" spans="14:17" ht="24.95" customHeight="1">
      <c r="N1787" s="362"/>
      <c r="O1787" s="362"/>
      <c r="P1787" s="362"/>
      <c r="Q1787" s="362"/>
    </row>
    <row r="1788" spans="14:17" ht="24.95" customHeight="1">
      <c r="N1788" s="362"/>
      <c r="O1788" s="362"/>
      <c r="P1788" s="362"/>
      <c r="Q1788" s="362"/>
    </row>
    <row r="1789" spans="14:17" ht="24.95" customHeight="1">
      <c r="N1789" s="362"/>
      <c r="O1789" s="362"/>
      <c r="P1789" s="362"/>
      <c r="Q1789" s="362"/>
    </row>
    <row r="1790" spans="14:17" ht="24.95" customHeight="1">
      <c r="N1790" s="362"/>
      <c r="O1790" s="362"/>
      <c r="P1790" s="362"/>
      <c r="Q1790" s="362"/>
    </row>
    <row r="1791" spans="14:17" ht="24.95" customHeight="1">
      <c r="N1791" s="362"/>
      <c r="O1791" s="362"/>
      <c r="P1791" s="362"/>
      <c r="Q1791" s="362"/>
    </row>
    <row r="1792" spans="14:17" ht="24.95" customHeight="1">
      <c r="N1792" s="362"/>
      <c r="O1792" s="362"/>
      <c r="P1792" s="362"/>
      <c r="Q1792" s="362"/>
    </row>
    <row r="1793" spans="14:17" ht="24.95" customHeight="1">
      <c r="N1793" s="362"/>
      <c r="O1793" s="362"/>
      <c r="P1793" s="362"/>
      <c r="Q1793" s="362"/>
    </row>
    <row r="1794" spans="14:17" ht="24.95" customHeight="1">
      <c r="N1794" s="362"/>
      <c r="O1794" s="362"/>
      <c r="P1794" s="362"/>
      <c r="Q1794" s="362"/>
    </row>
    <row r="1795" spans="14:17" ht="24.95" customHeight="1">
      <c r="N1795" s="362"/>
      <c r="O1795" s="362"/>
      <c r="P1795" s="362"/>
      <c r="Q1795" s="362"/>
    </row>
    <row r="1796" spans="14:17" ht="24.95" customHeight="1">
      <c r="N1796" s="362"/>
      <c r="O1796" s="362"/>
      <c r="P1796" s="362"/>
      <c r="Q1796" s="362"/>
    </row>
    <row r="1797" spans="14:17" ht="24.95" customHeight="1">
      <c r="N1797" s="362"/>
      <c r="O1797" s="362"/>
      <c r="P1797" s="362"/>
      <c r="Q1797" s="362"/>
    </row>
    <row r="1798" spans="14:17" ht="24.95" customHeight="1">
      <c r="N1798" s="362"/>
      <c r="O1798" s="362"/>
      <c r="P1798" s="362"/>
      <c r="Q1798" s="362"/>
    </row>
    <row r="1799" spans="14:17" ht="24.95" customHeight="1">
      <c r="N1799" s="362"/>
      <c r="O1799" s="362"/>
      <c r="P1799" s="362"/>
      <c r="Q1799" s="362"/>
    </row>
    <row r="1800" spans="14:17" ht="24.95" customHeight="1">
      <c r="N1800" s="362"/>
      <c r="O1800" s="362"/>
      <c r="P1800" s="362"/>
      <c r="Q1800" s="362"/>
    </row>
    <row r="1801" spans="14:17" ht="24.95" customHeight="1">
      <c r="N1801" s="362"/>
      <c r="O1801" s="362"/>
      <c r="P1801" s="362"/>
      <c r="Q1801" s="362"/>
    </row>
    <row r="1802" spans="14:17" ht="24.95" customHeight="1">
      <c r="N1802" s="362"/>
      <c r="O1802" s="362"/>
      <c r="P1802" s="362"/>
      <c r="Q1802" s="362"/>
    </row>
    <row r="1803" spans="14:17" ht="24.95" customHeight="1">
      <c r="N1803" s="362"/>
      <c r="O1803" s="362"/>
      <c r="P1803" s="362"/>
      <c r="Q1803" s="362"/>
    </row>
    <row r="1804" spans="14:17" ht="24.95" customHeight="1">
      <c r="N1804" s="362"/>
      <c r="O1804" s="362"/>
      <c r="P1804" s="362"/>
      <c r="Q1804" s="362"/>
    </row>
    <row r="1805" spans="14:17" ht="24.95" customHeight="1">
      <c r="N1805" s="362"/>
      <c r="O1805" s="362"/>
      <c r="P1805" s="362"/>
      <c r="Q1805" s="362"/>
    </row>
    <row r="1806" spans="14:17" ht="24.95" customHeight="1">
      <c r="N1806" s="362"/>
      <c r="O1806" s="362"/>
      <c r="P1806" s="362"/>
      <c r="Q1806" s="362"/>
    </row>
    <row r="1807" spans="14:17" ht="24.95" customHeight="1">
      <c r="N1807" s="362"/>
      <c r="O1807" s="362"/>
      <c r="P1807" s="362"/>
      <c r="Q1807" s="362"/>
    </row>
    <row r="1808" spans="14:17" ht="24.95" customHeight="1">
      <c r="N1808" s="362"/>
      <c r="O1808" s="362"/>
      <c r="P1808" s="362"/>
      <c r="Q1808" s="362"/>
    </row>
    <row r="1809" spans="14:17" ht="24.95" customHeight="1">
      <c r="N1809" s="362"/>
      <c r="O1809" s="362"/>
      <c r="P1809" s="362"/>
      <c r="Q1809" s="362"/>
    </row>
    <row r="1810" spans="14:17" ht="24.95" customHeight="1">
      <c r="N1810" s="362"/>
      <c r="O1810" s="362"/>
      <c r="P1810" s="362"/>
      <c r="Q1810" s="362"/>
    </row>
    <row r="1811" spans="14:17" ht="24.95" customHeight="1">
      <c r="N1811" s="362"/>
      <c r="O1811" s="362"/>
      <c r="P1811" s="362"/>
      <c r="Q1811" s="362"/>
    </row>
    <row r="1812" spans="14:17" ht="24.95" customHeight="1">
      <c r="N1812" s="362"/>
      <c r="O1812" s="362"/>
      <c r="P1812" s="362"/>
      <c r="Q1812" s="362"/>
    </row>
    <row r="1813" spans="14:17" ht="24.95" customHeight="1">
      <c r="N1813" s="362"/>
      <c r="O1813" s="362"/>
      <c r="P1813" s="362"/>
      <c r="Q1813" s="362"/>
    </row>
    <row r="1814" spans="14:17" ht="24.95" customHeight="1">
      <c r="N1814" s="362"/>
      <c r="O1814" s="362"/>
      <c r="P1814" s="362"/>
      <c r="Q1814" s="362"/>
    </row>
    <row r="1815" spans="14:17" ht="24.95" customHeight="1">
      <c r="N1815" s="362"/>
      <c r="O1815" s="362"/>
      <c r="P1815" s="362"/>
      <c r="Q1815" s="362"/>
    </row>
    <row r="1816" spans="14:17" ht="24.95" customHeight="1">
      <c r="N1816" s="362"/>
      <c r="O1816" s="362"/>
      <c r="P1816" s="362"/>
      <c r="Q1816" s="362"/>
    </row>
    <row r="1817" spans="14:17" ht="24.95" customHeight="1">
      <c r="N1817" s="362"/>
      <c r="O1817" s="362"/>
      <c r="P1817" s="362"/>
      <c r="Q1817" s="362"/>
    </row>
    <row r="1818" spans="14:17" ht="24.95" customHeight="1">
      <c r="N1818" s="362"/>
      <c r="O1818" s="362"/>
      <c r="P1818" s="362"/>
      <c r="Q1818" s="362"/>
    </row>
    <row r="1819" spans="14:17" ht="24.95" customHeight="1">
      <c r="N1819" s="362"/>
      <c r="O1819" s="362"/>
      <c r="P1819" s="362"/>
      <c r="Q1819" s="362"/>
    </row>
    <row r="1820" spans="14:17" ht="24.95" customHeight="1">
      <c r="N1820" s="362"/>
      <c r="O1820" s="362"/>
      <c r="P1820" s="362"/>
      <c r="Q1820" s="362"/>
    </row>
    <row r="1821" spans="14:17" ht="24.95" customHeight="1">
      <c r="N1821" s="362"/>
      <c r="O1821" s="362"/>
      <c r="P1821" s="362"/>
      <c r="Q1821" s="362"/>
    </row>
    <row r="1822" spans="14:17" ht="24.95" customHeight="1">
      <c r="N1822" s="362"/>
      <c r="O1822" s="362"/>
      <c r="P1822" s="362"/>
      <c r="Q1822" s="362"/>
    </row>
    <row r="1823" spans="14:17" ht="24.95" customHeight="1">
      <c r="N1823" s="362"/>
      <c r="O1823" s="362"/>
      <c r="P1823" s="362"/>
      <c r="Q1823" s="362"/>
    </row>
    <row r="1824" spans="14:17" ht="24.95" customHeight="1">
      <c r="N1824" s="362"/>
      <c r="O1824" s="362"/>
      <c r="P1824" s="362"/>
      <c r="Q1824" s="362"/>
    </row>
    <row r="1825" spans="14:17" ht="24.95" customHeight="1">
      <c r="N1825" s="362"/>
      <c r="O1825" s="362"/>
      <c r="P1825" s="362"/>
      <c r="Q1825" s="362"/>
    </row>
    <row r="1826" spans="14:17" ht="24.95" customHeight="1">
      <c r="N1826" s="362"/>
      <c r="O1826" s="362"/>
      <c r="P1826" s="362"/>
      <c r="Q1826" s="362"/>
    </row>
    <row r="1827" spans="14:17" ht="24.95" customHeight="1">
      <c r="N1827" s="362"/>
      <c r="O1827" s="362"/>
      <c r="P1827" s="362"/>
      <c r="Q1827" s="362"/>
    </row>
    <row r="1828" spans="14:17" ht="24.95" customHeight="1">
      <c r="N1828" s="362"/>
      <c r="O1828" s="362"/>
      <c r="P1828" s="362"/>
      <c r="Q1828" s="362"/>
    </row>
    <row r="1829" spans="14:17" ht="24.95" customHeight="1">
      <c r="N1829" s="362"/>
      <c r="O1829" s="362"/>
      <c r="P1829" s="362"/>
      <c r="Q1829" s="362"/>
    </row>
    <row r="1830" spans="14:17" ht="24.95" customHeight="1">
      <c r="N1830" s="362"/>
      <c r="O1830" s="362"/>
      <c r="P1830" s="362"/>
      <c r="Q1830" s="362"/>
    </row>
    <row r="1831" spans="14:17" ht="24.95" customHeight="1">
      <c r="N1831" s="362"/>
      <c r="O1831" s="362"/>
      <c r="P1831" s="362"/>
      <c r="Q1831" s="362"/>
    </row>
    <row r="1832" spans="14:17" ht="24.95" customHeight="1">
      <c r="N1832" s="362"/>
      <c r="O1832" s="362"/>
      <c r="P1832" s="362"/>
      <c r="Q1832" s="362"/>
    </row>
    <row r="1833" spans="14:17" ht="24.95" customHeight="1">
      <c r="N1833" s="362"/>
      <c r="O1833" s="362"/>
      <c r="P1833" s="362"/>
      <c r="Q1833" s="362"/>
    </row>
    <row r="1834" spans="14:17" ht="24.95" customHeight="1">
      <c r="N1834" s="362"/>
      <c r="O1834" s="362"/>
      <c r="P1834" s="362"/>
      <c r="Q1834" s="362"/>
    </row>
    <row r="1835" spans="14:17" ht="24.95" customHeight="1">
      <c r="N1835" s="362"/>
      <c r="O1835" s="362"/>
      <c r="P1835" s="362"/>
      <c r="Q1835" s="362"/>
    </row>
    <row r="1836" spans="14:17" ht="24.95" customHeight="1">
      <c r="N1836" s="362"/>
      <c r="O1836" s="362"/>
      <c r="P1836" s="362"/>
      <c r="Q1836" s="362"/>
    </row>
    <row r="1837" spans="14:17" ht="24.95" customHeight="1">
      <c r="N1837" s="362"/>
      <c r="O1837" s="362"/>
      <c r="P1837" s="362"/>
      <c r="Q1837" s="362"/>
    </row>
    <row r="1838" spans="14:17" ht="24.95" customHeight="1">
      <c r="N1838" s="362"/>
      <c r="O1838" s="362"/>
      <c r="P1838" s="362"/>
      <c r="Q1838" s="362"/>
    </row>
    <row r="1839" spans="14:17" ht="24.95" customHeight="1">
      <c r="N1839" s="362"/>
      <c r="O1839" s="362"/>
      <c r="P1839" s="362"/>
      <c r="Q1839" s="362"/>
    </row>
    <row r="1840" spans="14:17" ht="24.95" customHeight="1">
      <c r="N1840" s="362"/>
      <c r="O1840" s="362"/>
      <c r="P1840" s="362"/>
      <c r="Q1840" s="362"/>
    </row>
    <row r="1841" spans="14:17" ht="24.95" customHeight="1">
      <c r="N1841" s="362"/>
      <c r="O1841" s="362"/>
      <c r="P1841" s="362"/>
      <c r="Q1841" s="362"/>
    </row>
    <row r="1842" spans="14:17" ht="24.95" customHeight="1">
      <c r="N1842" s="362"/>
      <c r="O1842" s="362"/>
      <c r="P1842" s="362"/>
      <c r="Q1842" s="362"/>
    </row>
    <row r="1843" spans="14:17" ht="24.95" customHeight="1">
      <c r="N1843" s="362"/>
      <c r="O1843" s="362"/>
      <c r="P1843" s="362"/>
      <c r="Q1843" s="362"/>
    </row>
    <row r="1844" spans="14:17" ht="24.95" customHeight="1">
      <c r="N1844" s="362"/>
      <c r="O1844" s="362"/>
      <c r="P1844" s="362"/>
      <c r="Q1844" s="362"/>
    </row>
    <row r="1845" spans="14:17" ht="24.95" customHeight="1">
      <c r="N1845" s="362"/>
      <c r="O1845" s="362"/>
      <c r="P1845" s="362"/>
      <c r="Q1845" s="362"/>
    </row>
    <row r="1846" spans="14:17" ht="24.95" customHeight="1">
      <c r="N1846" s="362"/>
      <c r="O1846" s="362"/>
      <c r="P1846" s="362"/>
      <c r="Q1846" s="362"/>
    </row>
    <row r="1847" spans="14:17" ht="24.95" customHeight="1">
      <c r="N1847" s="362"/>
      <c r="O1847" s="362"/>
      <c r="P1847" s="362"/>
      <c r="Q1847" s="362"/>
    </row>
    <row r="1848" spans="14:17" ht="24.95" customHeight="1">
      <c r="N1848" s="362"/>
      <c r="O1848" s="362"/>
      <c r="P1848" s="362"/>
      <c r="Q1848" s="362"/>
    </row>
    <row r="1849" spans="14:17" ht="24.95" customHeight="1">
      <c r="N1849" s="362"/>
      <c r="O1849" s="362"/>
      <c r="P1849" s="362"/>
      <c r="Q1849" s="362"/>
    </row>
    <row r="1850" spans="14:17" ht="24.95" customHeight="1">
      <c r="N1850" s="362"/>
      <c r="O1850" s="362"/>
      <c r="P1850" s="362"/>
      <c r="Q1850" s="362"/>
    </row>
    <row r="1851" spans="14:17" ht="24.95" customHeight="1">
      <c r="N1851" s="362"/>
      <c r="O1851" s="362"/>
      <c r="P1851" s="362"/>
      <c r="Q1851" s="362"/>
    </row>
    <row r="1852" spans="14:17" ht="24.95" customHeight="1">
      <c r="N1852" s="362"/>
      <c r="O1852" s="362"/>
      <c r="P1852" s="362"/>
      <c r="Q1852" s="362"/>
    </row>
    <row r="1853" spans="14:17" ht="24.95" customHeight="1">
      <c r="N1853" s="362"/>
      <c r="O1853" s="362"/>
      <c r="P1853" s="362"/>
      <c r="Q1853" s="362"/>
    </row>
    <row r="1854" spans="14:17" ht="24.95" customHeight="1">
      <c r="N1854" s="362"/>
      <c r="O1854" s="362"/>
      <c r="P1854" s="362"/>
      <c r="Q1854" s="362"/>
    </row>
    <row r="1855" spans="14:17" ht="24.95" customHeight="1">
      <c r="N1855" s="362"/>
      <c r="O1855" s="362"/>
      <c r="P1855" s="362"/>
      <c r="Q1855" s="362"/>
    </row>
    <row r="1856" spans="14:17" ht="24.95" customHeight="1">
      <c r="N1856" s="362"/>
      <c r="O1856" s="362"/>
      <c r="P1856" s="362"/>
      <c r="Q1856" s="362"/>
    </row>
    <row r="1857" spans="14:17" ht="24.95" customHeight="1">
      <c r="N1857" s="362"/>
      <c r="O1857" s="362"/>
      <c r="P1857" s="362"/>
      <c r="Q1857" s="362"/>
    </row>
    <row r="1858" spans="14:17" ht="24.95" customHeight="1">
      <c r="N1858" s="362"/>
      <c r="O1858" s="362"/>
      <c r="P1858" s="362"/>
      <c r="Q1858" s="362"/>
    </row>
    <row r="1859" spans="14:17" ht="24.95" customHeight="1">
      <c r="N1859" s="362"/>
      <c r="O1859" s="362"/>
      <c r="P1859" s="362"/>
      <c r="Q1859" s="362"/>
    </row>
    <row r="1860" spans="14:17" ht="24.95" customHeight="1">
      <c r="N1860" s="362"/>
      <c r="O1860" s="362"/>
      <c r="P1860" s="362"/>
      <c r="Q1860" s="362"/>
    </row>
    <row r="1861" spans="14:17" ht="24.95" customHeight="1">
      <c r="N1861" s="362"/>
      <c r="O1861" s="362"/>
      <c r="P1861" s="362"/>
      <c r="Q1861" s="362"/>
    </row>
    <row r="1862" spans="14:17" ht="24.95" customHeight="1">
      <c r="N1862" s="362"/>
      <c r="O1862" s="362"/>
      <c r="P1862" s="362"/>
      <c r="Q1862" s="362"/>
    </row>
    <row r="1863" spans="14:17" ht="24.95" customHeight="1">
      <c r="N1863" s="362"/>
      <c r="O1863" s="362"/>
      <c r="P1863" s="362"/>
      <c r="Q1863" s="362"/>
    </row>
    <row r="1864" spans="14:17" ht="24.95" customHeight="1">
      <c r="N1864" s="362"/>
      <c r="O1864" s="362"/>
      <c r="P1864" s="362"/>
      <c r="Q1864" s="362"/>
    </row>
    <row r="1865" spans="14:17" ht="24.95" customHeight="1">
      <c r="N1865" s="362"/>
      <c r="O1865" s="362"/>
      <c r="P1865" s="362"/>
      <c r="Q1865" s="362"/>
    </row>
    <row r="1866" spans="14:17" ht="24.95" customHeight="1">
      <c r="N1866" s="362"/>
      <c r="O1866" s="362"/>
      <c r="P1866" s="362"/>
      <c r="Q1866" s="362"/>
    </row>
    <row r="1867" spans="14:17" ht="24.95" customHeight="1">
      <c r="N1867" s="362"/>
      <c r="O1867" s="362"/>
      <c r="P1867" s="362"/>
      <c r="Q1867" s="362"/>
    </row>
    <row r="1868" spans="14:17" ht="24.95" customHeight="1">
      <c r="N1868" s="362"/>
      <c r="O1868" s="362"/>
      <c r="P1868" s="362"/>
      <c r="Q1868" s="362"/>
    </row>
    <row r="1869" spans="14:17" ht="24.95" customHeight="1">
      <c r="N1869" s="362"/>
      <c r="O1869" s="362"/>
      <c r="P1869" s="362"/>
      <c r="Q1869" s="362"/>
    </row>
    <row r="1870" spans="14:17" ht="24.95" customHeight="1">
      <c r="N1870" s="362"/>
      <c r="O1870" s="362"/>
      <c r="P1870" s="362"/>
      <c r="Q1870" s="362"/>
    </row>
    <row r="1871" spans="14:17" ht="24.95" customHeight="1">
      <c r="N1871" s="362"/>
      <c r="O1871" s="362"/>
      <c r="P1871" s="362"/>
      <c r="Q1871" s="362"/>
    </row>
    <row r="1872" spans="14:17" ht="24.95" customHeight="1">
      <c r="N1872" s="362"/>
      <c r="O1872" s="362"/>
      <c r="P1872" s="362"/>
      <c r="Q1872" s="362"/>
    </row>
    <row r="1873" spans="14:17" ht="24.95" customHeight="1">
      <c r="N1873" s="362"/>
      <c r="O1873" s="362"/>
      <c r="P1873" s="362"/>
      <c r="Q1873" s="362"/>
    </row>
    <row r="1874" spans="14:17" ht="24.95" customHeight="1">
      <c r="N1874" s="362"/>
      <c r="O1874" s="362"/>
      <c r="P1874" s="362"/>
      <c r="Q1874" s="362"/>
    </row>
    <row r="1875" spans="14:17" ht="24.95" customHeight="1">
      <c r="N1875" s="362"/>
      <c r="O1875" s="362"/>
      <c r="P1875" s="362"/>
      <c r="Q1875" s="362"/>
    </row>
    <row r="1876" spans="14:17" ht="24.95" customHeight="1">
      <c r="N1876" s="362"/>
      <c r="O1876" s="362"/>
      <c r="P1876" s="362"/>
      <c r="Q1876" s="362"/>
    </row>
    <row r="1877" spans="14:17" ht="24.95" customHeight="1">
      <c r="N1877" s="362"/>
      <c r="O1877" s="362"/>
      <c r="P1877" s="362"/>
      <c r="Q1877" s="362"/>
    </row>
    <row r="1878" spans="14:17" ht="24.95" customHeight="1">
      <c r="N1878" s="362"/>
      <c r="O1878" s="362"/>
      <c r="P1878" s="362"/>
      <c r="Q1878" s="362"/>
    </row>
    <row r="1879" spans="14:17" ht="24.95" customHeight="1">
      <c r="N1879" s="362"/>
      <c r="O1879" s="362"/>
      <c r="P1879" s="362"/>
      <c r="Q1879" s="362"/>
    </row>
    <row r="1880" spans="14:17" ht="24.95" customHeight="1">
      <c r="N1880" s="362"/>
      <c r="O1880" s="362"/>
      <c r="P1880" s="362"/>
      <c r="Q1880" s="362"/>
    </row>
    <row r="1881" spans="14:17" ht="24.95" customHeight="1">
      <c r="N1881" s="362"/>
      <c r="O1881" s="362"/>
      <c r="P1881" s="362"/>
      <c r="Q1881" s="362"/>
    </row>
    <row r="1882" spans="14:17" ht="24.95" customHeight="1">
      <c r="N1882" s="362"/>
      <c r="O1882" s="362"/>
      <c r="P1882" s="362"/>
      <c r="Q1882" s="362"/>
    </row>
    <row r="1883" spans="14:17" ht="24.95" customHeight="1">
      <c r="N1883" s="362"/>
      <c r="O1883" s="362"/>
      <c r="P1883" s="362"/>
      <c r="Q1883" s="362"/>
    </row>
    <row r="1884" spans="14:17" ht="24.95" customHeight="1">
      <c r="N1884" s="362"/>
      <c r="O1884" s="362"/>
      <c r="P1884" s="362"/>
      <c r="Q1884" s="362"/>
    </row>
    <row r="1885" spans="14:17" ht="24.95" customHeight="1">
      <c r="N1885" s="362"/>
      <c r="O1885" s="362"/>
      <c r="P1885" s="362"/>
      <c r="Q1885" s="362"/>
    </row>
    <row r="1886" spans="14:17" ht="24.95" customHeight="1">
      <c r="N1886" s="362"/>
      <c r="O1886" s="362"/>
      <c r="P1886" s="362"/>
      <c r="Q1886" s="362"/>
    </row>
    <row r="1887" spans="14:17" ht="24.95" customHeight="1">
      <c r="N1887" s="362"/>
      <c r="O1887" s="362"/>
      <c r="P1887" s="362"/>
      <c r="Q1887" s="362"/>
    </row>
    <row r="1888" spans="14:17" ht="24.95" customHeight="1">
      <c r="N1888" s="362"/>
      <c r="O1888" s="362"/>
      <c r="P1888" s="362"/>
      <c r="Q1888" s="362"/>
    </row>
    <row r="1889" spans="14:17" ht="24.95" customHeight="1">
      <c r="N1889" s="362"/>
      <c r="O1889" s="362"/>
      <c r="P1889" s="362"/>
      <c r="Q1889" s="362"/>
    </row>
    <row r="1890" spans="14:17" ht="24.95" customHeight="1">
      <c r="N1890" s="362"/>
      <c r="O1890" s="362"/>
      <c r="P1890" s="362"/>
      <c r="Q1890" s="362"/>
    </row>
    <row r="1891" spans="14:17" ht="24.95" customHeight="1">
      <c r="N1891" s="362"/>
      <c r="O1891" s="362"/>
      <c r="P1891" s="362"/>
      <c r="Q1891" s="362"/>
    </row>
    <row r="1892" spans="14:17" ht="24.95" customHeight="1">
      <c r="N1892" s="362"/>
      <c r="O1892" s="362"/>
      <c r="P1892" s="362"/>
      <c r="Q1892" s="362"/>
    </row>
    <row r="1893" spans="14:17" ht="24.95" customHeight="1">
      <c r="N1893" s="362"/>
      <c r="O1893" s="362"/>
      <c r="P1893" s="362"/>
      <c r="Q1893" s="362"/>
    </row>
    <row r="1894" spans="14:17" ht="24.95" customHeight="1">
      <c r="N1894" s="362"/>
      <c r="O1894" s="362"/>
      <c r="P1894" s="362"/>
      <c r="Q1894" s="362"/>
    </row>
    <row r="1895" spans="14:17" ht="24.95" customHeight="1">
      <c r="N1895" s="362"/>
      <c r="O1895" s="362"/>
      <c r="P1895" s="362"/>
      <c r="Q1895" s="362"/>
    </row>
    <row r="1896" spans="14:17" ht="24.95" customHeight="1">
      <c r="N1896" s="362"/>
      <c r="O1896" s="362"/>
      <c r="P1896" s="362"/>
      <c r="Q1896" s="362"/>
    </row>
    <row r="1897" spans="14:17" ht="24.95" customHeight="1">
      <c r="N1897" s="362"/>
      <c r="O1897" s="362"/>
      <c r="P1897" s="362"/>
      <c r="Q1897" s="362"/>
    </row>
    <row r="1898" spans="14:17" ht="24.95" customHeight="1">
      <c r="N1898" s="362"/>
      <c r="O1898" s="362"/>
      <c r="P1898" s="362"/>
      <c r="Q1898" s="362"/>
    </row>
    <row r="1899" spans="14:17" ht="24.95" customHeight="1">
      <c r="N1899" s="362"/>
      <c r="O1899" s="362"/>
      <c r="P1899" s="362"/>
      <c r="Q1899" s="362"/>
    </row>
    <row r="1900" spans="14:17" ht="24.95" customHeight="1">
      <c r="N1900" s="362"/>
      <c r="O1900" s="362"/>
      <c r="P1900" s="362"/>
      <c r="Q1900" s="362"/>
    </row>
    <row r="1901" spans="14:17" ht="24.95" customHeight="1">
      <c r="N1901" s="362"/>
      <c r="O1901" s="362"/>
      <c r="P1901" s="362"/>
      <c r="Q1901" s="362"/>
    </row>
    <row r="1902" spans="14:17" ht="24.95" customHeight="1">
      <c r="N1902" s="362"/>
      <c r="O1902" s="362"/>
      <c r="P1902" s="362"/>
      <c r="Q1902" s="362"/>
    </row>
    <row r="1903" spans="14:17" ht="24.95" customHeight="1">
      <c r="N1903" s="362"/>
      <c r="O1903" s="362"/>
      <c r="P1903" s="362"/>
      <c r="Q1903" s="362"/>
    </row>
    <row r="1904" spans="14:17" ht="24.95" customHeight="1">
      <c r="N1904" s="362"/>
      <c r="O1904" s="362"/>
      <c r="P1904" s="362"/>
      <c r="Q1904" s="362"/>
    </row>
    <row r="1905" spans="14:17" ht="24.95" customHeight="1">
      <c r="N1905" s="362"/>
      <c r="O1905" s="362"/>
      <c r="P1905" s="362"/>
      <c r="Q1905" s="362"/>
    </row>
    <row r="1906" spans="14:17" ht="24.95" customHeight="1">
      <c r="N1906" s="362"/>
      <c r="O1906" s="362"/>
      <c r="P1906" s="362"/>
      <c r="Q1906" s="362"/>
    </row>
    <row r="1907" spans="14:17" ht="24.95" customHeight="1">
      <c r="N1907" s="362"/>
      <c r="O1907" s="362"/>
      <c r="P1907" s="362"/>
      <c r="Q1907" s="362"/>
    </row>
    <row r="1908" spans="14:17" ht="24.95" customHeight="1">
      <c r="N1908" s="362"/>
      <c r="O1908" s="362"/>
      <c r="P1908" s="362"/>
      <c r="Q1908" s="362"/>
    </row>
    <row r="1909" spans="14:17" ht="24.95" customHeight="1">
      <c r="N1909" s="362"/>
      <c r="O1909" s="362"/>
      <c r="P1909" s="362"/>
      <c r="Q1909" s="362"/>
    </row>
    <row r="1910" spans="14:17" ht="24.95" customHeight="1">
      <c r="N1910" s="362"/>
      <c r="O1910" s="362"/>
      <c r="P1910" s="362"/>
      <c r="Q1910" s="362"/>
    </row>
    <row r="1911" spans="14:17" ht="24.95" customHeight="1">
      <c r="N1911" s="362"/>
      <c r="O1911" s="362"/>
      <c r="P1911" s="362"/>
      <c r="Q1911" s="362"/>
    </row>
    <row r="1912" spans="14:17" ht="24.95" customHeight="1">
      <c r="N1912" s="362"/>
      <c r="O1912" s="362"/>
      <c r="P1912" s="362"/>
      <c r="Q1912" s="362"/>
    </row>
    <row r="1913" spans="14:17" ht="24.95" customHeight="1">
      <c r="N1913" s="362"/>
      <c r="O1913" s="362"/>
      <c r="P1913" s="362"/>
      <c r="Q1913" s="362"/>
    </row>
    <row r="1914" spans="14:17" ht="24.95" customHeight="1">
      <c r="N1914" s="362"/>
      <c r="O1914" s="362"/>
      <c r="P1914" s="362"/>
      <c r="Q1914" s="362"/>
    </row>
    <row r="1915" spans="14:17" ht="24.95" customHeight="1">
      <c r="N1915" s="362"/>
      <c r="O1915" s="362"/>
      <c r="P1915" s="362"/>
      <c r="Q1915" s="362"/>
    </row>
    <row r="1916" spans="14:17" ht="24.95" customHeight="1">
      <c r="N1916" s="362"/>
      <c r="O1916" s="362"/>
      <c r="P1916" s="362"/>
      <c r="Q1916" s="362"/>
    </row>
    <row r="1917" spans="14:17" ht="24.95" customHeight="1">
      <c r="N1917" s="362"/>
      <c r="O1917" s="362"/>
      <c r="P1917" s="362"/>
      <c r="Q1917" s="362"/>
    </row>
    <row r="1918" spans="14:17" ht="24.95" customHeight="1">
      <c r="N1918" s="362"/>
      <c r="O1918" s="362"/>
      <c r="P1918" s="362"/>
      <c r="Q1918" s="362"/>
    </row>
    <row r="1919" spans="14:17" ht="24.95" customHeight="1">
      <c r="N1919" s="362"/>
      <c r="O1919" s="362"/>
      <c r="P1919" s="362"/>
      <c r="Q1919" s="362"/>
    </row>
    <row r="1920" spans="14:17" ht="24.95" customHeight="1">
      <c r="N1920" s="362"/>
      <c r="O1920" s="362"/>
      <c r="P1920" s="362"/>
      <c r="Q1920" s="362"/>
    </row>
    <row r="1921" spans="14:17" ht="24.95" customHeight="1">
      <c r="N1921" s="362"/>
      <c r="O1921" s="362"/>
      <c r="P1921" s="362"/>
      <c r="Q1921" s="362"/>
    </row>
    <row r="1922" spans="14:17" ht="24.95" customHeight="1">
      <c r="N1922" s="362"/>
      <c r="O1922" s="362"/>
      <c r="P1922" s="362"/>
      <c r="Q1922" s="362"/>
    </row>
    <row r="1923" spans="14:17" ht="24.95" customHeight="1">
      <c r="N1923" s="362"/>
      <c r="O1923" s="362"/>
      <c r="P1923" s="362"/>
      <c r="Q1923" s="362"/>
    </row>
    <row r="1924" spans="14:17" ht="24.95" customHeight="1">
      <c r="N1924" s="362"/>
      <c r="O1924" s="362"/>
      <c r="P1924" s="362"/>
      <c r="Q1924" s="362"/>
    </row>
    <row r="1925" spans="14:17" ht="24.95" customHeight="1">
      <c r="N1925" s="362"/>
      <c r="O1925" s="362"/>
      <c r="P1925" s="362"/>
      <c r="Q1925" s="362"/>
    </row>
    <row r="1926" spans="14:17" ht="24.95" customHeight="1">
      <c r="N1926" s="362"/>
      <c r="O1926" s="362"/>
      <c r="P1926" s="362"/>
      <c r="Q1926" s="362"/>
    </row>
    <row r="1927" spans="14:17" ht="24.95" customHeight="1">
      <c r="N1927" s="362"/>
      <c r="O1927" s="362"/>
      <c r="P1927" s="362"/>
      <c r="Q1927" s="362"/>
    </row>
    <row r="1928" spans="14:17" ht="24.95" customHeight="1">
      <c r="N1928" s="362"/>
      <c r="O1928" s="362"/>
      <c r="P1928" s="362"/>
      <c r="Q1928" s="362"/>
    </row>
    <row r="1929" spans="14:17" ht="24.95" customHeight="1">
      <c r="N1929" s="362"/>
      <c r="O1929" s="362"/>
      <c r="P1929" s="362"/>
      <c r="Q1929" s="362"/>
    </row>
    <row r="1930" spans="14:17" ht="24.95" customHeight="1">
      <c r="N1930" s="362"/>
      <c r="O1930" s="362"/>
      <c r="P1930" s="362"/>
      <c r="Q1930" s="362"/>
    </row>
    <row r="1931" spans="14:17" ht="24.95" customHeight="1">
      <c r="N1931" s="362"/>
      <c r="O1931" s="362"/>
      <c r="P1931" s="362"/>
      <c r="Q1931" s="362"/>
    </row>
    <row r="1932" spans="14:17" ht="24.95" customHeight="1">
      <c r="N1932" s="362"/>
      <c r="O1932" s="362"/>
      <c r="P1932" s="362"/>
      <c r="Q1932" s="362"/>
    </row>
    <row r="1933" spans="14:17" ht="24.95" customHeight="1">
      <c r="N1933" s="362"/>
      <c r="O1933" s="362"/>
      <c r="P1933" s="362"/>
      <c r="Q1933" s="362"/>
    </row>
    <row r="1934" spans="14:17" ht="24.95" customHeight="1">
      <c r="N1934" s="362"/>
      <c r="O1934" s="362"/>
      <c r="P1934" s="362"/>
      <c r="Q1934" s="362"/>
    </row>
    <row r="1935" spans="14:17" ht="24.95" customHeight="1">
      <c r="N1935" s="362"/>
      <c r="O1935" s="362"/>
      <c r="P1935" s="362"/>
      <c r="Q1935" s="362"/>
    </row>
    <row r="1936" spans="14:17" ht="24.95" customHeight="1">
      <c r="N1936" s="362"/>
      <c r="O1936" s="362"/>
      <c r="P1936" s="362"/>
      <c r="Q1936" s="362"/>
    </row>
    <row r="1937" spans="14:17" ht="24.95" customHeight="1">
      <c r="N1937" s="362"/>
      <c r="O1937" s="362"/>
      <c r="P1937" s="362"/>
      <c r="Q1937" s="362"/>
    </row>
    <row r="1938" spans="14:17" ht="24.95" customHeight="1">
      <c r="N1938" s="362"/>
      <c r="O1938" s="362"/>
      <c r="P1938" s="362"/>
      <c r="Q1938" s="362"/>
    </row>
    <row r="1939" spans="14:17" ht="24.95" customHeight="1">
      <c r="N1939" s="362"/>
      <c r="O1939" s="362"/>
      <c r="P1939" s="362"/>
      <c r="Q1939" s="362"/>
    </row>
    <row r="1940" spans="14:17" ht="24.95" customHeight="1">
      <c r="N1940" s="362"/>
      <c r="O1940" s="362"/>
      <c r="P1940" s="362"/>
      <c r="Q1940" s="362"/>
    </row>
    <row r="1941" spans="14:17" ht="24.95" customHeight="1">
      <c r="N1941" s="362"/>
      <c r="O1941" s="362"/>
      <c r="P1941" s="362"/>
      <c r="Q1941" s="362"/>
    </row>
    <row r="1942" spans="14:17" ht="24.95" customHeight="1">
      <c r="N1942" s="362"/>
      <c r="O1942" s="362"/>
      <c r="P1942" s="362"/>
      <c r="Q1942" s="362"/>
    </row>
    <row r="1943" spans="14:17" ht="24.95" customHeight="1">
      <c r="N1943" s="362"/>
      <c r="O1943" s="362"/>
      <c r="P1943" s="362"/>
      <c r="Q1943" s="362"/>
    </row>
    <row r="1944" spans="14:17" ht="24.95" customHeight="1">
      <c r="N1944" s="362"/>
      <c r="O1944" s="362"/>
      <c r="P1944" s="362"/>
      <c r="Q1944" s="362"/>
    </row>
    <row r="1945" spans="14:17" ht="24.95" customHeight="1">
      <c r="N1945" s="362"/>
      <c r="O1945" s="362"/>
      <c r="P1945" s="362"/>
      <c r="Q1945" s="362"/>
    </row>
    <row r="1946" spans="14:17" ht="24.95" customHeight="1">
      <c r="N1946" s="362"/>
      <c r="O1946" s="362"/>
      <c r="P1946" s="362"/>
      <c r="Q1946" s="362"/>
    </row>
    <row r="1947" spans="14:17" ht="24.95" customHeight="1">
      <c r="N1947" s="362"/>
      <c r="O1947" s="362"/>
      <c r="P1947" s="362"/>
      <c r="Q1947" s="362"/>
    </row>
    <row r="1948" spans="14:17" ht="24.95" customHeight="1">
      <c r="N1948" s="362"/>
      <c r="O1948" s="362"/>
      <c r="P1948" s="362"/>
      <c r="Q1948" s="362"/>
    </row>
    <row r="1949" spans="14:17" ht="24.95" customHeight="1">
      <c r="N1949" s="362"/>
      <c r="O1949" s="362"/>
      <c r="P1949" s="362"/>
      <c r="Q1949" s="362"/>
    </row>
    <row r="1950" spans="14:17" ht="24.95" customHeight="1">
      <c r="N1950" s="362"/>
      <c r="O1950" s="362"/>
      <c r="P1950" s="362"/>
      <c r="Q1950" s="362"/>
    </row>
    <row r="1951" spans="14:17" ht="24.95" customHeight="1">
      <c r="N1951" s="362"/>
      <c r="O1951" s="362"/>
      <c r="P1951" s="362"/>
      <c r="Q1951" s="362"/>
    </row>
    <row r="1952" spans="14:17" ht="24.95" customHeight="1">
      <c r="N1952" s="362"/>
      <c r="O1952" s="362"/>
      <c r="P1952" s="362"/>
      <c r="Q1952" s="362"/>
    </row>
    <row r="1953" spans="14:17" ht="24.95" customHeight="1">
      <c r="N1953" s="362"/>
      <c r="O1953" s="362"/>
      <c r="P1953" s="362"/>
      <c r="Q1953" s="362"/>
    </row>
    <row r="1954" spans="14:17" ht="24.95" customHeight="1">
      <c r="N1954" s="362"/>
      <c r="O1954" s="362"/>
      <c r="P1954" s="362"/>
      <c r="Q1954" s="362"/>
    </row>
    <row r="1955" spans="14:17" ht="24.95" customHeight="1">
      <c r="N1955" s="362"/>
      <c r="O1955" s="362"/>
      <c r="P1955" s="362"/>
      <c r="Q1955" s="362"/>
    </row>
    <row r="1956" spans="14:17" ht="24.95" customHeight="1">
      <c r="N1956" s="362"/>
      <c r="O1956" s="362"/>
      <c r="P1956" s="362"/>
      <c r="Q1956" s="362"/>
    </row>
    <row r="1957" spans="14:17" ht="24.95" customHeight="1">
      <c r="N1957" s="362"/>
      <c r="O1957" s="362"/>
      <c r="P1957" s="362"/>
      <c r="Q1957" s="362"/>
    </row>
    <row r="1958" spans="14:17" ht="24.95" customHeight="1">
      <c r="N1958" s="362"/>
      <c r="O1958" s="362"/>
      <c r="P1958" s="362"/>
      <c r="Q1958" s="362"/>
    </row>
    <row r="1959" spans="14:17" ht="24.95" customHeight="1">
      <c r="N1959" s="362"/>
      <c r="O1959" s="362"/>
      <c r="P1959" s="362"/>
      <c r="Q1959" s="362"/>
    </row>
    <row r="1960" spans="14:17" ht="24.95" customHeight="1">
      <c r="N1960" s="362"/>
      <c r="O1960" s="362"/>
      <c r="P1960" s="362"/>
      <c r="Q1960" s="362"/>
    </row>
    <row r="1961" spans="14:17" ht="24.95" customHeight="1">
      <c r="N1961" s="362"/>
      <c r="O1961" s="362"/>
      <c r="P1961" s="362"/>
      <c r="Q1961" s="362"/>
    </row>
    <row r="1962" spans="14:17" ht="24.95" customHeight="1">
      <c r="N1962" s="362"/>
      <c r="O1962" s="362"/>
      <c r="P1962" s="362"/>
      <c r="Q1962" s="362"/>
    </row>
    <row r="1963" spans="14:17" ht="24.95" customHeight="1">
      <c r="N1963" s="362"/>
      <c r="O1963" s="362"/>
      <c r="P1963" s="362"/>
      <c r="Q1963" s="362"/>
    </row>
    <row r="1964" spans="14:17" ht="24.95" customHeight="1">
      <c r="N1964" s="362"/>
      <c r="O1964" s="362"/>
      <c r="P1964" s="362"/>
      <c r="Q1964" s="362"/>
    </row>
    <row r="1965" spans="14:17" ht="24.95" customHeight="1">
      <c r="N1965" s="362"/>
      <c r="O1965" s="362"/>
      <c r="P1965" s="362"/>
      <c r="Q1965" s="362"/>
    </row>
    <row r="1966" spans="14:17" ht="24.95" customHeight="1">
      <c r="N1966" s="362"/>
      <c r="O1966" s="362"/>
      <c r="P1966" s="362"/>
      <c r="Q1966" s="362"/>
    </row>
    <row r="1967" spans="14:17" ht="24.95" customHeight="1">
      <c r="N1967" s="362"/>
      <c r="O1967" s="362"/>
      <c r="P1967" s="362"/>
      <c r="Q1967" s="362"/>
    </row>
    <row r="1968" spans="14:17" ht="24.95" customHeight="1">
      <c r="N1968" s="362"/>
      <c r="O1968" s="362"/>
      <c r="P1968" s="362"/>
      <c r="Q1968" s="362"/>
    </row>
    <row r="1969" spans="14:17" ht="24.95" customHeight="1">
      <c r="N1969" s="362"/>
      <c r="O1969" s="362"/>
      <c r="P1969" s="362"/>
      <c r="Q1969" s="362"/>
    </row>
    <row r="1970" spans="14:17" ht="24.95" customHeight="1">
      <c r="N1970" s="362"/>
      <c r="O1970" s="362"/>
      <c r="P1970" s="362"/>
      <c r="Q1970" s="362"/>
    </row>
    <row r="1971" spans="14:17" ht="24.95" customHeight="1">
      <c r="N1971" s="362"/>
      <c r="O1971" s="362"/>
      <c r="P1971" s="362"/>
      <c r="Q1971" s="362"/>
    </row>
    <row r="1972" spans="14:17" ht="24.95" customHeight="1">
      <c r="N1972" s="362"/>
      <c r="O1972" s="362"/>
      <c r="P1972" s="362"/>
      <c r="Q1972" s="362"/>
    </row>
    <row r="1973" spans="14:17" ht="24.95" customHeight="1">
      <c r="N1973" s="362"/>
      <c r="O1973" s="362"/>
      <c r="P1973" s="362"/>
      <c r="Q1973" s="362"/>
    </row>
    <row r="1974" spans="14:17" ht="24.95" customHeight="1">
      <c r="N1974" s="362"/>
      <c r="O1974" s="362"/>
      <c r="P1974" s="362"/>
      <c r="Q1974" s="362"/>
    </row>
    <row r="1975" spans="14:17" ht="24.95" customHeight="1">
      <c r="N1975" s="362"/>
      <c r="O1975" s="362"/>
      <c r="P1975" s="362"/>
      <c r="Q1975" s="362"/>
    </row>
    <row r="1976" spans="14:17" ht="24.95" customHeight="1">
      <c r="N1976" s="362"/>
      <c r="O1976" s="362"/>
      <c r="P1976" s="362"/>
      <c r="Q1976" s="362"/>
    </row>
    <row r="1977" spans="14:17" ht="24.95" customHeight="1">
      <c r="N1977" s="362"/>
      <c r="O1977" s="362"/>
      <c r="P1977" s="362"/>
      <c r="Q1977" s="362"/>
    </row>
    <row r="1978" spans="14:17" ht="24.95" customHeight="1">
      <c r="N1978" s="362"/>
      <c r="O1978" s="362"/>
      <c r="P1978" s="362"/>
      <c r="Q1978" s="362"/>
    </row>
    <row r="1979" spans="14:17" ht="24.95" customHeight="1">
      <c r="N1979" s="362"/>
      <c r="O1979" s="362"/>
      <c r="P1979" s="362"/>
      <c r="Q1979" s="362"/>
    </row>
    <row r="1980" spans="14:17" ht="24.95" customHeight="1">
      <c r="N1980" s="362"/>
      <c r="O1980" s="362"/>
      <c r="P1980" s="362"/>
      <c r="Q1980" s="362"/>
    </row>
    <row r="1981" spans="14:17" ht="24.95" customHeight="1">
      <c r="N1981" s="362"/>
      <c r="O1981" s="362"/>
      <c r="P1981" s="362"/>
      <c r="Q1981" s="362"/>
    </row>
    <row r="1982" spans="14:17" ht="24.95" customHeight="1">
      <c r="N1982" s="362"/>
      <c r="O1982" s="362"/>
      <c r="P1982" s="362"/>
      <c r="Q1982" s="362"/>
    </row>
    <row r="1983" spans="14:17" ht="24.95" customHeight="1">
      <c r="N1983" s="362"/>
      <c r="O1983" s="362"/>
      <c r="P1983" s="362"/>
      <c r="Q1983" s="362"/>
    </row>
    <row r="1984" spans="14:17" ht="24.95" customHeight="1">
      <c r="N1984" s="362"/>
      <c r="O1984" s="362"/>
      <c r="P1984" s="362"/>
      <c r="Q1984" s="362"/>
    </row>
    <row r="1985" spans="14:17" ht="24.95" customHeight="1">
      <c r="N1985" s="362"/>
      <c r="O1985" s="362"/>
      <c r="P1985" s="362"/>
      <c r="Q1985" s="362"/>
    </row>
    <row r="1986" spans="14:17" ht="24.95" customHeight="1">
      <c r="N1986" s="362"/>
      <c r="O1986" s="362"/>
      <c r="P1986" s="362"/>
      <c r="Q1986" s="362"/>
    </row>
    <row r="1987" spans="14:17" ht="24.95" customHeight="1">
      <c r="N1987" s="362"/>
      <c r="O1987" s="362"/>
      <c r="P1987" s="362"/>
      <c r="Q1987" s="362"/>
    </row>
    <row r="1988" spans="14:17" ht="24.95" customHeight="1">
      <c r="N1988" s="362"/>
      <c r="O1988" s="362"/>
      <c r="P1988" s="362"/>
      <c r="Q1988" s="362"/>
    </row>
    <row r="1989" spans="14:17" ht="24.95" customHeight="1">
      <c r="N1989" s="362"/>
      <c r="O1989" s="362"/>
      <c r="P1989" s="362"/>
      <c r="Q1989" s="362"/>
    </row>
    <row r="1990" spans="14:17" ht="24.95" customHeight="1">
      <c r="N1990" s="362"/>
      <c r="O1990" s="362"/>
      <c r="P1990" s="362"/>
      <c r="Q1990" s="362"/>
    </row>
    <row r="1991" spans="14:17" ht="24.95" customHeight="1">
      <c r="N1991" s="362"/>
      <c r="O1991" s="362"/>
      <c r="P1991" s="362"/>
      <c r="Q1991" s="362"/>
    </row>
    <row r="1992" spans="14:17" ht="24.95" customHeight="1">
      <c r="N1992" s="362"/>
      <c r="O1992" s="362"/>
      <c r="P1992" s="362"/>
      <c r="Q1992" s="362"/>
    </row>
    <row r="1993" spans="14:17" ht="24.95" customHeight="1">
      <c r="N1993" s="362"/>
      <c r="O1993" s="362"/>
      <c r="P1993" s="362"/>
      <c r="Q1993" s="362"/>
    </row>
    <row r="1994" spans="14:17" ht="24.95" customHeight="1">
      <c r="N1994" s="362"/>
      <c r="O1994" s="362"/>
      <c r="P1994" s="362"/>
      <c r="Q1994" s="362"/>
    </row>
    <row r="1995" spans="14:17" ht="24.95" customHeight="1">
      <c r="N1995" s="362"/>
      <c r="O1995" s="362"/>
      <c r="P1995" s="362"/>
      <c r="Q1995" s="362"/>
    </row>
    <row r="1996" spans="14:17" ht="24.95" customHeight="1">
      <c r="N1996" s="362"/>
      <c r="O1996" s="362"/>
      <c r="P1996" s="362"/>
      <c r="Q1996" s="362"/>
    </row>
    <row r="1997" spans="14:17" ht="24.95" customHeight="1">
      <c r="N1997" s="362"/>
      <c r="O1997" s="362"/>
      <c r="P1997" s="362"/>
      <c r="Q1997" s="362"/>
    </row>
    <row r="1998" spans="14:17" ht="24.95" customHeight="1">
      <c r="N1998" s="362"/>
      <c r="O1998" s="362"/>
      <c r="P1998" s="362"/>
      <c r="Q1998" s="362"/>
    </row>
    <row r="1999" spans="14:17" ht="24.95" customHeight="1">
      <c r="N1999" s="362"/>
      <c r="O1999" s="362"/>
      <c r="P1999" s="362"/>
      <c r="Q1999" s="362"/>
    </row>
    <row r="2000" spans="14:17" ht="24.95" customHeight="1">
      <c r="N2000" s="362"/>
      <c r="O2000" s="362"/>
      <c r="P2000" s="362"/>
      <c r="Q2000" s="362"/>
    </row>
    <row r="2001" spans="14:17" ht="24.95" customHeight="1">
      <c r="N2001" s="362"/>
      <c r="O2001" s="362"/>
      <c r="P2001" s="362"/>
      <c r="Q2001" s="362"/>
    </row>
    <row r="2002" spans="14:17" ht="24.95" customHeight="1">
      <c r="N2002" s="362"/>
      <c r="O2002" s="362"/>
      <c r="P2002" s="362"/>
      <c r="Q2002" s="362"/>
    </row>
    <row r="2003" spans="14:17" ht="24.95" customHeight="1">
      <c r="N2003" s="362"/>
      <c r="O2003" s="362"/>
      <c r="P2003" s="362"/>
      <c r="Q2003" s="362"/>
    </row>
    <row r="2004" spans="14:17" ht="24.95" customHeight="1">
      <c r="N2004" s="362"/>
      <c r="O2004" s="362"/>
      <c r="P2004" s="362"/>
      <c r="Q2004" s="362"/>
    </row>
    <row r="2005" spans="14:17" ht="24.95" customHeight="1">
      <c r="N2005" s="362"/>
      <c r="O2005" s="362"/>
      <c r="P2005" s="362"/>
      <c r="Q2005" s="362"/>
    </row>
    <row r="2006" spans="14:17" ht="24.95" customHeight="1">
      <c r="N2006" s="362"/>
      <c r="O2006" s="362"/>
      <c r="P2006" s="362"/>
      <c r="Q2006" s="362"/>
    </row>
    <row r="2007" spans="14:17" ht="24.95" customHeight="1">
      <c r="N2007" s="362"/>
      <c r="O2007" s="362"/>
      <c r="P2007" s="362"/>
      <c r="Q2007" s="362"/>
    </row>
    <row r="2008" spans="14:17" ht="24.95" customHeight="1">
      <c r="N2008" s="362"/>
      <c r="O2008" s="362"/>
      <c r="P2008" s="362"/>
      <c r="Q2008" s="362"/>
    </row>
    <row r="2009" spans="14:17" ht="24.95" customHeight="1">
      <c r="N2009" s="362"/>
      <c r="O2009" s="362"/>
      <c r="P2009" s="362"/>
      <c r="Q2009" s="362"/>
    </row>
    <row r="2010" spans="14:17" ht="24.95" customHeight="1">
      <c r="N2010" s="362"/>
      <c r="O2010" s="362"/>
      <c r="P2010" s="362"/>
      <c r="Q2010" s="362"/>
    </row>
    <row r="2011" spans="14:17" ht="24.95" customHeight="1">
      <c r="N2011" s="362"/>
      <c r="O2011" s="362"/>
      <c r="P2011" s="362"/>
      <c r="Q2011" s="362"/>
    </row>
    <row r="2012" spans="14:17" ht="24.95" customHeight="1">
      <c r="N2012" s="362"/>
      <c r="O2012" s="362"/>
      <c r="P2012" s="362"/>
      <c r="Q2012" s="362"/>
    </row>
    <row r="2013" spans="14:17" ht="24.95" customHeight="1">
      <c r="N2013" s="362"/>
      <c r="O2013" s="362"/>
      <c r="P2013" s="362"/>
      <c r="Q2013" s="362"/>
    </row>
    <row r="2014" spans="14:17" ht="24.95" customHeight="1">
      <c r="N2014" s="362"/>
      <c r="O2014" s="362"/>
      <c r="P2014" s="362"/>
      <c r="Q2014" s="362"/>
    </row>
    <row r="2015" spans="14:17" ht="24.95" customHeight="1">
      <c r="N2015" s="362"/>
      <c r="O2015" s="362"/>
      <c r="P2015" s="362"/>
      <c r="Q2015" s="362"/>
    </row>
    <row r="2016" spans="14:17" ht="24.95" customHeight="1">
      <c r="N2016" s="362"/>
      <c r="O2016" s="362"/>
      <c r="P2016" s="362"/>
      <c r="Q2016" s="362"/>
    </row>
    <row r="2017" spans="14:17" ht="24.95" customHeight="1">
      <c r="N2017" s="362"/>
      <c r="O2017" s="362"/>
      <c r="P2017" s="362"/>
      <c r="Q2017" s="362"/>
    </row>
    <row r="2018" spans="14:17" ht="24.95" customHeight="1">
      <c r="N2018" s="362"/>
      <c r="O2018" s="362"/>
      <c r="P2018" s="362"/>
      <c r="Q2018" s="362"/>
    </row>
    <row r="2019" spans="14:17" ht="24.95" customHeight="1">
      <c r="N2019" s="362"/>
      <c r="O2019" s="362"/>
      <c r="P2019" s="362"/>
      <c r="Q2019" s="362"/>
    </row>
    <row r="2020" spans="14:17" ht="24.95" customHeight="1">
      <c r="N2020" s="362"/>
      <c r="O2020" s="362"/>
      <c r="P2020" s="362"/>
      <c r="Q2020" s="362"/>
    </row>
    <row r="2021" spans="14:17" ht="24.95" customHeight="1">
      <c r="N2021" s="362"/>
      <c r="O2021" s="362"/>
      <c r="P2021" s="362"/>
      <c r="Q2021" s="362"/>
    </row>
    <row r="2022" spans="14:17" ht="24.95" customHeight="1">
      <c r="N2022" s="362"/>
      <c r="O2022" s="362"/>
      <c r="P2022" s="362"/>
      <c r="Q2022" s="362"/>
    </row>
    <row r="2023" spans="14:17" ht="24.95" customHeight="1">
      <c r="N2023" s="362"/>
      <c r="O2023" s="362"/>
      <c r="P2023" s="362"/>
      <c r="Q2023" s="362"/>
    </row>
    <row r="2024" spans="14:17" ht="24.95" customHeight="1">
      <c r="N2024" s="362"/>
      <c r="O2024" s="362"/>
      <c r="P2024" s="362"/>
      <c r="Q2024" s="362"/>
    </row>
    <row r="2025" spans="14:17" ht="24.95" customHeight="1">
      <c r="N2025" s="362"/>
      <c r="O2025" s="362"/>
      <c r="P2025" s="362"/>
      <c r="Q2025" s="362"/>
    </row>
    <row r="2026" spans="14:17" ht="24.95" customHeight="1">
      <c r="N2026" s="362"/>
      <c r="O2026" s="362"/>
      <c r="P2026" s="362"/>
      <c r="Q2026" s="362"/>
    </row>
    <row r="2027" spans="14:17" ht="24.95" customHeight="1">
      <c r="N2027" s="362"/>
      <c r="O2027" s="362"/>
      <c r="P2027" s="362"/>
      <c r="Q2027" s="362"/>
    </row>
    <row r="2028" spans="14:17" ht="24.95" customHeight="1">
      <c r="N2028" s="362"/>
      <c r="O2028" s="362"/>
      <c r="P2028" s="362"/>
      <c r="Q2028" s="362"/>
    </row>
    <row r="2029" spans="14:17" ht="24.95" customHeight="1">
      <c r="N2029" s="362"/>
      <c r="O2029" s="362"/>
      <c r="P2029" s="362"/>
      <c r="Q2029" s="362"/>
    </row>
    <row r="2030" spans="14:17" ht="24.95" customHeight="1">
      <c r="N2030" s="362"/>
      <c r="O2030" s="362"/>
      <c r="P2030" s="362"/>
      <c r="Q2030" s="362"/>
    </row>
    <row r="2031" spans="14:17" ht="24.95" customHeight="1">
      <c r="N2031" s="362"/>
      <c r="O2031" s="362"/>
      <c r="P2031" s="362"/>
      <c r="Q2031" s="362"/>
    </row>
    <row r="2032" spans="14:17" ht="24.95" customHeight="1">
      <c r="N2032" s="362"/>
      <c r="O2032" s="362"/>
      <c r="P2032" s="362"/>
      <c r="Q2032" s="362"/>
    </row>
    <row r="2033" spans="14:17" ht="24.95" customHeight="1">
      <c r="N2033" s="362"/>
      <c r="O2033" s="362"/>
      <c r="P2033" s="362"/>
      <c r="Q2033" s="362"/>
    </row>
    <row r="2034" spans="14:17" ht="24.95" customHeight="1">
      <c r="N2034" s="362"/>
      <c r="O2034" s="362"/>
      <c r="P2034" s="362"/>
      <c r="Q2034" s="362"/>
    </row>
    <row r="2035" spans="14:17" ht="24.95" customHeight="1">
      <c r="N2035" s="362"/>
      <c r="O2035" s="362"/>
      <c r="P2035" s="362"/>
      <c r="Q2035" s="362"/>
    </row>
    <row r="2036" spans="14:17" ht="24.95" customHeight="1">
      <c r="N2036" s="362"/>
      <c r="O2036" s="362"/>
      <c r="P2036" s="362"/>
      <c r="Q2036" s="362"/>
    </row>
    <row r="2037" spans="14:17" ht="24.95" customHeight="1">
      <c r="N2037" s="362"/>
      <c r="O2037" s="362"/>
      <c r="P2037" s="362"/>
      <c r="Q2037" s="362"/>
    </row>
    <row r="2038" spans="14:17" ht="24.95" customHeight="1">
      <c r="N2038" s="362"/>
      <c r="O2038" s="362"/>
      <c r="P2038" s="362"/>
      <c r="Q2038" s="362"/>
    </row>
    <row r="2039" spans="14:17" ht="24.95" customHeight="1">
      <c r="N2039" s="362"/>
      <c r="O2039" s="362"/>
      <c r="P2039" s="362"/>
      <c r="Q2039" s="362"/>
    </row>
    <row r="2040" spans="14:17" ht="24.95" customHeight="1">
      <c r="N2040" s="362"/>
      <c r="O2040" s="362"/>
      <c r="P2040" s="362"/>
      <c r="Q2040" s="362"/>
    </row>
    <row r="2041" spans="14:17" ht="24.95" customHeight="1">
      <c r="N2041" s="362"/>
      <c r="O2041" s="362"/>
      <c r="P2041" s="362"/>
      <c r="Q2041" s="362"/>
    </row>
    <row r="2042" spans="14:17" ht="24.95" customHeight="1">
      <c r="N2042" s="362"/>
      <c r="O2042" s="362"/>
      <c r="P2042" s="362"/>
      <c r="Q2042" s="362"/>
    </row>
    <row r="2043" spans="14:17" ht="24.95" customHeight="1">
      <c r="N2043" s="362"/>
      <c r="O2043" s="362"/>
      <c r="P2043" s="362"/>
      <c r="Q2043" s="362"/>
    </row>
    <row r="2044" spans="14:17" ht="24.95" customHeight="1">
      <c r="N2044" s="362"/>
      <c r="O2044" s="362"/>
      <c r="P2044" s="362"/>
      <c r="Q2044" s="362"/>
    </row>
    <row r="2045" spans="14:17" ht="24.95" customHeight="1">
      <c r="N2045" s="362"/>
      <c r="O2045" s="362"/>
      <c r="P2045" s="362"/>
      <c r="Q2045" s="362"/>
    </row>
    <row r="2046" spans="14:17" ht="24.95" customHeight="1">
      <c r="N2046" s="362"/>
      <c r="O2046" s="362"/>
      <c r="P2046" s="362"/>
      <c r="Q2046" s="362"/>
    </row>
    <row r="2047" spans="14:17" ht="24.95" customHeight="1">
      <c r="N2047" s="362"/>
      <c r="O2047" s="362"/>
      <c r="P2047" s="362"/>
      <c r="Q2047" s="362"/>
    </row>
    <row r="2048" spans="14:17" ht="24.95" customHeight="1">
      <c r="N2048" s="362"/>
      <c r="O2048" s="362"/>
      <c r="P2048" s="362"/>
      <c r="Q2048" s="362"/>
    </row>
    <row r="2049" spans="14:17" ht="24.95" customHeight="1">
      <c r="N2049" s="362"/>
      <c r="O2049" s="362"/>
      <c r="P2049" s="362"/>
      <c r="Q2049" s="362"/>
    </row>
    <row r="2050" spans="14:17" ht="24.95" customHeight="1">
      <c r="N2050" s="362"/>
      <c r="O2050" s="362"/>
      <c r="P2050" s="362"/>
      <c r="Q2050" s="362"/>
    </row>
    <row r="2051" spans="14:17" ht="24.95" customHeight="1">
      <c r="N2051" s="362"/>
      <c r="O2051" s="362"/>
      <c r="P2051" s="362"/>
      <c r="Q2051" s="362"/>
    </row>
    <row r="2052" spans="14:17" ht="24.95" customHeight="1">
      <c r="N2052" s="362"/>
      <c r="O2052" s="362"/>
      <c r="P2052" s="362"/>
      <c r="Q2052" s="362"/>
    </row>
    <row r="2053" spans="14:17" ht="24.95" customHeight="1">
      <c r="N2053" s="362"/>
      <c r="O2053" s="362"/>
      <c r="P2053" s="362"/>
      <c r="Q2053" s="362"/>
    </row>
    <row r="2054" spans="14:17" ht="24.95" customHeight="1">
      <c r="N2054" s="362"/>
      <c r="O2054" s="362"/>
      <c r="P2054" s="362"/>
      <c r="Q2054" s="362"/>
    </row>
    <row r="2055" spans="14:17" ht="24.95" customHeight="1">
      <c r="N2055" s="362"/>
      <c r="O2055" s="362"/>
      <c r="P2055" s="362"/>
      <c r="Q2055" s="362"/>
    </row>
    <row r="2056" spans="14:17" ht="24.95" customHeight="1">
      <c r="N2056" s="362"/>
      <c r="O2056" s="362"/>
      <c r="P2056" s="362"/>
      <c r="Q2056" s="362"/>
    </row>
    <row r="2057" spans="14:17" ht="24.95" customHeight="1">
      <c r="N2057" s="362"/>
      <c r="O2057" s="362"/>
      <c r="P2057" s="362"/>
      <c r="Q2057" s="362"/>
    </row>
    <row r="2058" spans="14:17" ht="24.95" customHeight="1">
      <c r="N2058" s="362"/>
      <c r="O2058" s="362"/>
      <c r="P2058" s="362"/>
      <c r="Q2058" s="362"/>
    </row>
    <row r="2059" spans="14:17" ht="24.95" customHeight="1">
      <c r="N2059" s="362"/>
      <c r="O2059" s="362"/>
      <c r="P2059" s="362"/>
      <c r="Q2059" s="362"/>
    </row>
    <row r="2060" spans="14:17" ht="24.95" customHeight="1">
      <c r="N2060" s="362"/>
      <c r="O2060" s="362"/>
      <c r="P2060" s="362"/>
      <c r="Q2060" s="362"/>
    </row>
    <row r="2061" spans="14:17" ht="24.95" customHeight="1">
      <c r="N2061" s="362"/>
      <c r="O2061" s="362"/>
      <c r="P2061" s="362"/>
      <c r="Q2061" s="362"/>
    </row>
    <row r="2062" spans="14:17" ht="24.95" customHeight="1">
      <c r="N2062" s="362"/>
      <c r="O2062" s="362"/>
      <c r="P2062" s="362"/>
      <c r="Q2062" s="362"/>
    </row>
    <row r="2063" spans="14:17" ht="24.95" customHeight="1">
      <c r="N2063" s="362"/>
      <c r="O2063" s="362"/>
      <c r="P2063" s="362"/>
      <c r="Q2063" s="362"/>
    </row>
    <row r="2064" spans="14:17" ht="24.95" customHeight="1">
      <c r="N2064" s="362"/>
      <c r="O2064" s="362"/>
      <c r="P2064" s="362"/>
      <c r="Q2064" s="362"/>
    </row>
    <row r="2065" spans="14:17" ht="24.95" customHeight="1">
      <c r="N2065" s="362"/>
      <c r="O2065" s="362"/>
      <c r="P2065" s="362"/>
      <c r="Q2065" s="362"/>
    </row>
    <row r="2066" spans="14:17" ht="24.95" customHeight="1">
      <c r="N2066" s="362"/>
      <c r="O2066" s="362"/>
      <c r="P2066" s="362"/>
      <c r="Q2066" s="362"/>
    </row>
    <row r="2067" spans="14:17" ht="24.95" customHeight="1">
      <c r="N2067" s="362"/>
      <c r="O2067" s="362"/>
      <c r="P2067" s="362"/>
      <c r="Q2067" s="362"/>
    </row>
    <row r="2068" spans="14:17" ht="24.95" customHeight="1">
      <c r="N2068" s="362"/>
      <c r="O2068" s="362"/>
      <c r="P2068" s="362"/>
      <c r="Q2068" s="362"/>
    </row>
    <row r="2069" spans="14:17" ht="24.95" customHeight="1">
      <c r="N2069" s="362"/>
      <c r="O2069" s="362"/>
      <c r="P2069" s="362"/>
      <c r="Q2069" s="362"/>
    </row>
    <row r="2070" spans="14:17" ht="24.95" customHeight="1">
      <c r="N2070" s="362"/>
      <c r="O2070" s="362"/>
      <c r="P2070" s="362"/>
      <c r="Q2070" s="362"/>
    </row>
    <row r="2071" spans="14:17" ht="24.95" customHeight="1">
      <c r="N2071" s="362"/>
      <c r="O2071" s="362"/>
      <c r="P2071" s="362"/>
      <c r="Q2071" s="362"/>
    </row>
    <row r="2072" spans="14:17" ht="24.95" customHeight="1">
      <c r="N2072" s="362"/>
      <c r="O2072" s="362"/>
      <c r="P2072" s="362"/>
      <c r="Q2072" s="362"/>
    </row>
    <row r="2073" spans="14:17" ht="24.95" customHeight="1">
      <c r="N2073" s="362"/>
      <c r="O2073" s="362"/>
      <c r="P2073" s="362"/>
      <c r="Q2073" s="362"/>
    </row>
    <row r="2074" spans="14:17" ht="24.95" customHeight="1">
      <c r="N2074" s="362"/>
      <c r="O2074" s="362"/>
      <c r="P2074" s="362"/>
      <c r="Q2074" s="362"/>
    </row>
    <row r="2075" spans="14:17" ht="24.95" customHeight="1">
      <c r="N2075" s="362"/>
      <c r="O2075" s="362"/>
      <c r="P2075" s="362"/>
      <c r="Q2075" s="362"/>
    </row>
    <row r="2076" spans="14:17" ht="24.95" customHeight="1">
      <c r="N2076" s="362"/>
      <c r="O2076" s="362"/>
      <c r="P2076" s="362"/>
      <c r="Q2076" s="362"/>
    </row>
    <row r="2077" spans="14:17" ht="24.95" customHeight="1">
      <c r="N2077" s="362"/>
      <c r="O2077" s="362"/>
      <c r="P2077" s="362"/>
      <c r="Q2077" s="362"/>
    </row>
    <row r="2078" spans="14:17" ht="24.95" customHeight="1">
      <c r="N2078" s="362"/>
      <c r="O2078" s="362"/>
      <c r="P2078" s="362"/>
      <c r="Q2078" s="362"/>
    </row>
    <row r="2079" spans="14:17" ht="24.95" customHeight="1">
      <c r="N2079" s="362"/>
      <c r="O2079" s="362"/>
      <c r="P2079" s="362"/>
      <c r="Q2079" s="362"/>
    </row>
    <row r="2080" spans="14:17" ht="24.95" customHeight="1">
      <c r="N2080" s="362"/>
      <c r="O2080" s="362"/>
      <c r="P2080" s="362"/>
      <c r="Q2080" s="362"/>
    </row>
    <row r="2081" spans="14:17" ht="24.95" customHeight="1">
      <c r="N2081" s="362"/>
      <c r="O2081" s="362"/>
      <c r="P2081" s="362"/>
      <c r="Q2081" s="362"/>
    </row>
    <row r="2082" spans="14:17" ht="24.95" customHeight="1">
      <c r="N2082" s="362"/>
      <c r="O2082" s="362"/>
      <c r="P2082" s="362"/>
      <c r="Q2082" s="362"/>
    </row>
    <row r="2083" spans="14:17" ht="24.95" customHeight="1">
      <c r="N2083" s="362"/>
      <c r="O2083" s="362"/>
      <c r="P2083" s="362"/>
      <c r="Q2083" s="362"/>
    </row>
    <row r="2084" spans="14:17" ht="24.95" customHeight="1">
      <c r="N2084" s="362"/>
      <c r="O2084" s="362"/>
      <c r="P2084" s="362"/>
      <c r="Q2084" s="362"/>
    </row>
    <row r="2085" spans="14:17" ht="24.95" customHeight="1">
      <c r="N2085" s="362"/>
      <c r="O2085" s="362"/>
      <c r="P2085" s="362"/>
      <c r="Q2085" s="362"/>
    </row>
    <row r="2086" spans="14:17" ht="24.95" customHeight="1">
      <c r="N2086" s="362"/>
      <c r="O2086" s="362"/>
      <c r="P2086" s="362"/>
      <c r="Q2086" s="362"/>
    </row>
    <row r="2087" spans="14:17" ht="24.95" customHeight="1">
      <c r="N2087" s="362"/>
      <c r="O2087" s="362"/>
      <c r="P2087" s="362"/>
      <c r="Q2087" s="362"/>
    </row>
    <row r="2088" spans="14:17" ht="24.95" customHeight="1">
      <c r="N2088" s="362"/>
      <c r="O2088" s="362"/>
      <c r="P2088" s="362"/>
      <c r="Q2088" s="362"/>
    </row>
    <row r="2089" spans="14:17" ht="24.95" customHeight="1">
      <c r="N2089" s="362"/>
      <c r="O2089" s="362"/>
      <c r="P2089" s="362"/>
      <c r="Q2089" s="362"/>
    </row>
    <row r="2090" spans="14:17" ht="24.95" customHeight="1">
      <c r="N2090" s="362"/>
      <c r="O2090" s="362"/>
      <c r="P2090" s="362"/>
      <c r="Q2090" s="362"/>
    </row>
    <row r="2091" spans="14:17" ht="24.95" customHeight="1">
      <c r="N2091" s="362"/>
      <c r="O2091" s="362"/>
      <c r="P2091" s="362"/>
      <c r="Q2091" s="362"/>
    </row>
    <row r="2092" spans="14:17" ht="24.95" customHeight="1">
      <c r="N2092" s="362"/>
      <c r="O2092" s="362"/>
      <c r="P2092" s="362"/>
      <c r="Q2092" s="362"/>
    </row>
    <row r="2093" spans="14:17" ht="24.95" customHeight="1">
      <c r="N2093" s="362"/>
      <c r="O2093" s="362"/>
      <c r="P2093" s="362"/>
      <c r="Q2093" s="362"/>
    </row>
    <row r="2094" spans="14:17" ht="24.95" customHeight="1">
      <c r="N2094" s="362"/>
      <c r="O2094" s="362"/>
      <c r="P2094" s="362"/>
      <c r="Q2094" s="362"/>
    </row>
    <row r="2095" spans="14:17" ht="24.95" customHeight="1">
      <c r="N2095" s="362"/>
      <c r="O2095" s="362"/>
      <c r="P2095" s="362"/>
      <c r="Q2095" s="362"/>
    </row>
    <row r="2096" spans="14:17" ht="24.95" customHeight="1">
      <c r="N2096" s="362"/>
      <c r="O2096" s="362"/>
      <c r="P2096" s="362"/>
      <c r="Q2096" s="362"/>
    </row>
    <row r="2097" spans="14:17" ht="24.95" customHeight="1">
      <c r="N2097" s="362"/>
      <c r="O2097" s="362"/>
      <c r="P2097" s="362"/>
      <c r="Q2097" s="362"/>
    </row>
    <row r="2098" spans="14:17" ht="24.95" customHeight="1">
      <c r="N2098" s="362"/>
      <c r="O2098" s="362"/>
      <c r="P2098" s="362"/>
      <c r="Q2098" s="362"/>
    </row>
    <row r="2099" spans="14:17" ht="24.95" customHeight="1">
      <c r="N2099" s="362"/>
      <c r="O2099" s="362"/>
      <c r="P2099" s="362"/>
      <c r="Q2099" s="362"/>
    </row>
    <row r="2100" spans="14:17" ht="24.95" customHeight="1">
      <c r="N2100" s="362"/>
      <c r="O2100" s="362"/>
      <c r="P2100" s="362"/>
      <c r="Q2100" s="362"/>
    </row>
    <row r="2101" spans="14:17" ht="24.95" customHeight="1">
      <c r="N2101" s="362"/>
      <c r="O2101" s="362"/>
      <c r="P2101" s="362"/>
      <c r="Q2101" s="362"/>
    </row>
    <row r="2102" spans="14:17" ht="24.95" customHeight="1">
      <c r="N2102" s="362"/>
      <c r="O2102" s="362"/>
      <c r="P2102" s="362"/>
      <c r="Q2102" s="362"/>
    </row>
    <row r="2103" spans="14:17" ht="24.95" customHeight="1">
      <c r="N2103" s="362"/>
      <c r="O2103" s="362"/>
      <c r="P2103" s="362"/>
      <c r="Q2103" s="362"/>
    </row>
    <row r="2104" spans="14:17" ht="24.95" customHeight="1">
      <c r="N2104" s="362"/>
      <c r="O2104" s="362"/>
      <c r="P2104" s="362"/>
      <c r="Q2104" s="362"/>
    </row>
    <row r="2105" spans="14:17" ht="24.95" customHeight="1">
      <c r="N2105" s="362"/>
      <c r="O2105" s="362"/>
      <c r="P2105" s="362"/>
      <c r="Q2105" s="362"/>
    </row>
    <row r="2106" spans="14:17" ht="24.95" customHeight="1">
      <c r="N2106" s="362"/>
      <c r="O2106" s="362"/>
      <c r="P2106" s="362"/>
      <c r="Q2106" s="362"/>
    </row>
    <row r="2107" spans="14:17" ht="24.95" customHeight="1">
      <c r="N2107" s="362"/>
      <c r="O2107" s="362"/>
      <c r="P2107" s="362"/>
      <c r="Q2107" s="362"/>
    </row>
    <row r="2108" spans="14:17" ht="24.95" customHeight="1">
      <c r="N2108" s="362"/>
      <c r="O2108" s="362"/>
      <c r="P2108" s="362"/>
      <c r="Q2108" s="362"/>
    </row>
    <row r="2109" spans="14:17" ht="24.95" customHeight="1">
      <c r="N2109" s="362"/>
      <c r="O2109" s="362"/>
      <c r="P2109" s="362"/>
      <c r="Q2109" s="362"/>
    </row>
    <row r="2110" spans="14:17" ht="24.95" customHeight="1">
      <c r="N2110" s="362"/>
      <c r="O2110" s="362"/>
      <c r="P2110" s="362"/>
      <c r="Q2110" s="362"/>
    </row>
    <row r="2111" spans="14:17" ht="24.95" customHeight="1">
      <c r="N2111" s="362"/>
      <c r="O2111" s="362"/>
      <c r="P2111" s="362"/>
      <c r="Q2111" s="362"/>
    </row>
    <row r="2112" spans="14:17" ht="24.95" customHeight="1">
      <c r="N2112" s="362"/>
      <c r="O2112" s="362"/>
      <c r="P2112" s="362"/>
      <c r="Q2112" s="362"/>
    </row>
    <row r="2113" spans="14:17" ht="24.95" customHeight="1">
      <c r="N2113" s="362"/>
      <c r="O2113" s="362"/>
      <c r="P2113" s="362"/>
      <c r="Q2113" s="362"/>
    </row>
    <row r="2114" spans="14:17" ht="24.95" customHeight="1">
      <c r="N2114" s="362"/>
      <c r="O2114" s="362"/>
      <c r="P2114" s="362"/>
      <c r="Q2114" s="362"/>
    </row>
    <row r="2115" spans="14:17" ht="24.95" customHeight="1">
      <c r="N2115" s="362"/>
      <c r="O2115" s="362"/>
      <c r="P2115" s="362"/>
      <c r="Q2115" s="362"/>
    </row>
    <row r="2116" spans="14:17" ht="24.95" customHeight="1">
      <c r="N2116" s="362"/>
      <c r="O2116" s="362"/>
      <c r="P2116" s="362"/>
      <c r="Q2116" s="362"/>
    </row>
    <row r="2117" spans="14:17" ht="24.95" customHeight="1">
      <c r="N2117" s="362"/>
      <c r="O2117" s="362"/>
      <c r="P2117" s="362"/>
      <c r="Q2117" s="362"/>
    </row>
    <row r="2118" spans="14:17" ht="24.95" customHeight="1">
      <c r="N2118" s="362"/>
      <c r="O2118" s="362"/>
      <c r="P2118" s="362"/>
      <c r="Q2118" s="362"/>
    </row>
    <row r="2119" spans="14:17" ht="24.95" customHeight="1">
      <c r="N2119" s="362"/>
      <c r="O2119" s="362"/>
      <c r="P2119" s="362"/>
      <c r="Q2119" s="362"/>
    </row>
    <row r="2120" spans="14:17" ht="24.95" customHeight="1">
      <c r="N2120" s="362"/>
      <c r="O2120" s="362"/>
      <c r="P2120" s="362"/>
      <c r="Q2120" s="362"/>
    </row>
    <row r="2121" spans="14:17" ht="24.95" customHeight="1">
      <c r="N2121" s="362"/>
      <c r="O2121" s="362"/>
      <c r="P2121" s="362"/>
      <c r="Q2121" s="362"/>
    </row>
    <row r="2122" spans="14:17" ht="24.95" customHeight="1">
      <c r="N2122" s="362"/>
      <c r="O2122" s="362"/>
      <c r="P2122" s="362"/>
      <c r="Q2122" s="362"/>
    </row>
    <row r="2123" spans="14:17" ht="24.95" customHeight="1">
      <c r="N2123" s="362"/>
      <c r="O2123" s="362"/>
      <c r="P2123" s="362"/>
      <c r="Q2123" s="362"/>
    </row>
    <row r="2124" spans="14:17" ht="24.95" customHeight="1">
      <c r="N2124" s="362"/>
      <c r="O2124" s="362"/>
      <c r="P2124" s="362"/>
      <c r="Q2124" s="362"/>
    </row>
    <row r="2125" spans="14:17" ht="24.95" customHeight="1">
      <c r="N2125" s="362"/>
      <c r="O2125" s="362"/>
      <c r="P2125" s="362"/>
      <c r="Q2125" s="362"/>
    </row>
    <row r="2126" spans="14:17" ht="24.95" customHeight="1">
      <c r="N2126" s="362"/>
      <c r="O2126" s="362"/>
      <c r="P2126" s="362"/>
      <c r="Q2126" s="362"/>
    </row>
    <row r="2127" spans="14:17" ht="24.95" customHeight="1">
      <c r="N2127" s="362"/>
      <c r="O2127" s="362"/>
      <c r="P2127" s="362"/>
      <c r="Q2127" s="362"/>
    </row>
    <row r="2128" spans="14:17" ht="24.95" customHeight="1">
      <c r="N2128" s="362"/>
      <c r="O2128" s="362"/>
      <c r="P2128" s="362"/>
      <c r="Q2128" s="362"/>
    </row>
    <row r="2129" spans="14:17" ht="24.95" customHeight="1">
      <c r="N2129" s="362"/>
      <c r="O2129" s="362"/>
      <c r="P2129" s="362"/>
      <c r="Q2129" s="362"/>
    </row>
    <row r="2130" spans="14:17" ht="24.95" customHeight="1">
      <c r="N2130" s="362"/>
      <c r="O2130" s="362"/>
      <c r="P2130" s="362"/>
      <c r="Q2130" s="362"/>
    </row>
    <row r="2131" spans="14:17" ht="24.95" customHeight="1">
      <c r="N2131" s="362"/>
      <c r="O2131" s="362"/>
      <c r="P2131" s="362"/>
      <c r="Q2131" s="362"/>
    </row>
    <row r="2132" spans="14:17" ht="24.95" customHeight="1">
      <c r="N2132" s="362"/>
      <c r="O2132" s="362"/>
      <c r="P2132" s="362"/>
      <c r="Q2132" s="362"/>
    </row>
    <row r="2133" spans="14:17" ht="24.95" customHeight="1">
      <c r="N2133" s="362"/>
      <c r="O2133" s="362"/>
      <c r="P2133" s="362"/>
      <c r="Q2133" s="362"/>
    </row>
    <row r="2134" spans="14:17" ht="24.95" customHeight="1">
      <c r="N2134" s="362"/>
      <c r="O2134" s="362"/>
      <c r="P2134" s="362"/>
      <c r="Q2134" s="362"/>
    </row>
    <row r="2135" spans="14:17" ht="24.95" customHeight="1">
      <c r="N2135" s="362"/>
      <c r="O2135" s="362"/>
      <c r="P2135" s="362"/>
      <c r="Q2135" s="362"/>
    </row>
    <row r="2136" spans="14:17" ht="24.95" customHeight="1">
      <c r="N2136" s="362"/>
      <c r="O2136" s="362"/>
      <c r="P2136" s="362"/>
      <c r="Q2136" s="362"/>
    </row>
    <row r="2137" spans="14:17" ht="24.95" customHeight="1">
      <c r="N2137" s="362"/>
      <c r="O2137" s="362"/>
      <c r="P2137" s="362"/>
      <c r="Q2137" s="362"/>
    </row>
    <row r="2138" spans="14:17" ht="24.95" customHeight="1">
      <c r="N2138" s="362"/>
      <c r="O2138" s="362"/>
      <c r="P2138" s="362"/>
      <c r="Q2138" s="362"/>
    </row>
    <row r="2139" spans="14:17" ht="24.95" customHeight="1">
      <c r="N2139" s="362"/>
      <c r="O2139" s="362"/>
      <c r="P2139" s="362"/>
      <c r="Q2139" s="362"/>
    </row>
    <row r="2140" spans="14:17" ht="24.95" customHeight="1">
      <c r="N2140" s="362"/>
      <c r="O2140" s="362"/>
      <c r="P2140" s="362"/>
      <c r="Q2140" s="362"/>
    </row>
    <row r="2141" spans="14:17" ht="24.95" customHeight="1">
      <c r="N2141" s="362"/>
      <c r="O2141" s="362"/>
      <c r="P2141" s="362"/>
      <c r="Q2141" s="362"/>
    </row>
    <row r="2142" spans="14:17" ht="24.95" customHeight="1">
      <c r="N2142" s="362"/>
      <c r="O2142" s="362"/>
      <c r="P2142" s="362"/>
      <c r="Q2142" s="362"/>
    </row>
    <row r="2143" spans="14:17" ht="24.95" customHeight="1">
      <c r="N2143" s="362"/>
      <c r="O2143" s="362"/>
      <c r="P2143" s="362"/>
      <c r="Q2143" s="362"/>
    </row>
    <row r="2144" spans="14:17" ht="24.95" customHeight="1">
      <c r="N2144" s="362"/>
      <c r="O2144" s="362"/>
      <c r="P2144" s="362"/>
      <c r="Q2144" s="362"/>
    </row>
    <row r="2145" spans="14:17" ht="24.95" customHeight="1">
      <c r="N2145" s="362"/>
      <c r="O2145" s="362"/>
      <c r="P2145" s="362"/>
      <c r="Q2145" s="362"/>
    </row>
    <row r="2146" spans="14:17" ht="24.95" customHeight="1">
      <c r="N2146" s="362"/>
      <c r="O2146" s="362"/>
      <c r="P2146" s="362"/>
      <c r="Q2146" s="362"/>
    </row>
    <row r="2147" spans="14:17" ht="24.95" customHeight="1">
      <c r="N2147" s="362"/>
      <c r="O2147" s="362"/>
      <c r="P2147" s="362"/>
      <c r="Q2147" s="362"/>
    </row>
    <row r="2148" spans="14:17" ht="24.95" customHeight="1">
      <c r="N2148" s="362"/>
      <c r="O2148" s="362"/>
      <c r="P2148" s="362"/>
      <c r="Q2148" s="362"/>
    </row>
    <row r="2149" spans="14:17" ht="24.95" customHeight="1">
      <c r="N2149" s="362"/>
      <c r="O2149" s="362"/>
      <c r="P2149" s="362"/>
      <c r="Q2149" s="362"/>
    </row>
    <row r="2150" spans="14:17" ht="24.95" customHeight="1">
      <c r="N2150" s="362"/>
      <c r="O2150" s="362"/>
      <c r="P2150" s="362"/>
      <c r="Q2150" s="362"/>
    </row>
    <row r="2151" spans="14:17" ht="24.95" customHeight="1">
      <c r="N2151" s="362"/>
      <c r="O2151" s="362"/>
      <c r="P2151" s="362"/>
      <c r="Q2151" s="362"/>
    </row>
    <row r="2152" spans="14:17" ht="24.95" customHeight="1">
      <c r="N2152" s="362"/>
      <c r="O2152" s="362"/>
      <c r="P2152" s="362"/>
      <c r="Q2152" s="362"/>
    </row>
    <row r="2153" spans="14:17" ht="24.95" customHeight="1">
      <c r="N2153" s="362"/>
      <c r="O2153" s="362"/>
      <c r="P2153" s="362"/>
      <c r="Q2153" s="362"/>
    </row>
    <row r="2154" spans="14:17" ht="24.95" customHeight="1">
      <c r="N2154" s="362"/>
      <c r="O2154" s="362"/>
      <c r="P2154" s="362"/>
      <c r="Q2154" s="362"/>
    </row>
    <row r="2155" spans="14:17" ht="24.95" customHeight="1">
      <c r="N2155" s="362"/>
      <c r="O2155" s="362"/>
      <c r="P2155" s="362"/>
      <c r="Q2155" s="362"/>
    </row>
    <row r="2156" spans="14:17" ht="24.95" customHeight="1">
      <c r="N2156" s="362"/>
      <c r="O2156" s="362"/>
      <c r="P2156" s="362"/>
      <c r="Q2156" s="362"/>
    </row>
    <row r="2157" spans="14:17" ht="24.95" customHeight="1">
      <c r="N2157" s="362"/>
      <c r="O2157" s="362"/>
      <c r="P2157" s="362"/>
      <c r="Q2157" s="362"/>
    </row>
    <row r="2158" spans="14:17" ht="24.95" customHeight="1">
      <c r="N2158" s="362"/>
      <c r="O2158" s="362"/>
      <c r="P2158" s="362"/>
      <c r="Q2158" s="362"/>
    </row>
    <row r="2159" spans="14:17" ht="24.95" customHeight="1">
      <c r="N2159" s="362"/>
      <c r="O2159" s="362"/>
      <c r="P2159" s="362"/>
      <c r="Q2159" s="362"/>
    </row>
    <row r="2160" spans="14:17" ht="24.95" customHeight="1">
      <c r="N2160" s="362"/>
      <c r="O2160" s="362"/>
      <c r="P2160" s="362"/>
      <c r="Q2160" s="362"/>
    </row>
    <row r="2161" spans="14:17" ht="24.95" customHeight="1">
      <c r="N2161" s="362"/>
      <c r="O2161" s="362"/>
      <c r="P2161" s="362"/>
      <c r="Q2161" s="362"/>
    </row>
    <row r="2162" spans="14:17" ht="24.95" customHeight="1">
      <c r="N2162" s="362"/>
      <c r="O2162" s="362"/>
      <c r="P2162" s="362"/>
      <c r="Q2162" s="362"/>
    </row>
    <row r="2163" spans="14:17" ht="24.95" customHeight="1">
      <c r="N2163" s="362"/>
      <c r="O2163" s="362"/>
      <c r="P2163" s="362"/>
      <c r="Q2163" s="362"/>
    </row>
    <row r="2164" spans="14:17" ht="24.95" customHeight="1">
      <c r="N2164" s="362"/>
      <c r="O2164" s="362"/>
      <c r="P2164" s="362"/>
      <c r="Q2164" s="362"/>
    </row>
    <row r="2165" spans="14:17" ht="24.95" customHeight="1">
      <c r="N2165" s="362"/>
      <c r="O2165" s="362"/>
      <c r="P2165" s="362"/>
      <c r="Q2165" s="362"/>
    </row>
    <row r="2166" spans="14:17" ht="24.95" customHeight="1">
      <c r="N2166" s="362"/>
      <c r="O2166" s="362"/>
      <c r="P2166" s="362"/>
      <c r="Q2166" s="362"/>
    </row>
    <row r="2167" spans="14:17" ht="24.95" customHeight="1">
      <c r="N2167" s="362"/>
      <c r="O2167" s="362"/>
      <c r="P2167" s="362"/>
      <c r="Q2167" s="362"/>
    </row>
    <row r="2168" spans="14:17" ht="24.95" customHeight="1">
      <c r="N2168" s="362"/>
      <c r="O2168" s="362"/>
      <c r="P2168" s="362"/>
      <c r="Q2168" s="362"/>
    </row>
    <row r="2169" spans="14:17" ht="24.95" customHeight="1">
      <c r="N2169" s="362"/>
      <c r="O2169" s="362"/>
      <c r="P2169" s="362"/>
      <c r="Q2169" s="362"/>
    </row>
    <row r="2170" spans="14:17" ht="24.95" customHeight="1">
      <c r="N2170" s="362"/>
      <c r="O2170" s="362"/>
      <c r="P2170" s="362"/>
      <c r="Q2170" s="362"/>
    </row>
    <row r="2171" spans="14:17" ht="24.95" customHeight="1">
      <c r="N2171" s="362"/>
      <c r="O2171" s="362"/>
      <c r="P2171" s="362"/>
      <c r="Q2171" s="362"/>
    </row>
    <row r="2172" spans="14:17" ht="24.95" customHeight="1">
      <c r="N2172" s="362"/>
      <c r="O2172" s="362"/>
      <c r="P2172" s="362"/>
      <c r="Q2172" s="362"/>
    </row>
    <row r="2173" spans="14:17" ht="24.95" customHeight="1">
      <c r="N2173" s="362"/>
      <c r="O2173" s="362"/>
      <c r="P2173" s="362"/>
      <c r="Q2173" s="362"/>
    </row>
    <row r="2174" spans="14:17" ht="24.95" customHeight="1">
      <c r="N2174" s="362"/>
      <c r="O2174" s="362"/>
      <c r="P2174" s="362"/>
      <c r="Q2174" s="362"/>
    </row>
    <row r="2175" spans="14:17" ht="24.95" customHeight="1">
      <c r="N2175" s="362"/>
      <c r="O2175" s="362"/>
      <c r="P2175" s="362"/>
      <c r="Q2175" s="362"/>
    </row>
    <row r="2176" spans="14:17" ht="24.95" customHeight="1">
      <c r="N2176" s="362"/>
      <c r="O2176" s="362"/>
      <c r="P2176" s="362"/>
      <c r="Q2176" s="362"/>
    </row>
    <row r="2177" spans="14:17" ht="24.95" customHeight="1">
      <c r="N2177" s="362"/>
      <c r="O2177" s="362"/>
      <c r="P2177" s="362"/>
      <c r="Q2177" s="362"/>
    </row>
    <row r="2178" spans="14:17" ht="24.95" customHeight="1">
      <c r="N2178" s="362"/>
      <c r="O2178" s="362"/>
      <c r="P2178" s="362"/>
      <c r="Q2178" s="362"/>
    </row>
    <row r="2179" spans="14:17" ht="24.95" customHeight="1">
      <c r="N2179" s="362"/>
      <c r="O2179" s="362"/>
      <c r="P2179" s="362"/>
      <c r="Q2179" s="362"/>
    </row>
    <row r="2180" spans="14:17" ht="24.95" customHeight="1">
      <c r="N2180" s="362"/>
      <c r="O2180" s="362"/>
      <c r="P2180" s="362"/>
      <c r="Q2180" s="362"/>
    </row>
    <row r="2181" spans="14:17" ht="24.95" customHeight="1">
      <c r="N2181" s="362"/>
      <c r="O2181" s="362"/>
      <c r="P2181" s="362"/>
      <c r="Q2181" s="362"/>
    </row>
    <row r="2182" spans="14:17" ht="24.95" customHeight="1">
      <c r="N2182" s="362"/>
      <c r="O2182" s="362"/>
      <c r="P2182" s="362"/>
      <c r="Q2182" s="362"/>
    </row>
    <row r="2183" spans="14:17" ht="24.95" customHeight="1">
      <c r="N2183" s="362"/>
      <c r="O2183" s="362"/>
      <c r="P2183" s="362"/>
      <c r="Q2183" s="362"/>
    </row>
    <row r="2184" spans="14:17" ht="24.95" customHeight="1">
      <c r="N2184" s="362"/>
      <c r="O2184" s="362"/>
      <c r="P2184" s="362"/>
      <c r="Q2184" s="362"/>
    </row>
    <row r="2185" spans="14:17" ht="24.95" customHeight="1">
      <c r="N2185" s="362"/>
      <c r="O2185" s="362"/>
      <c r="P2185" s="362"/>
      <c r="Q2185" s="362"/>
    </row>
    <row r="2186" spans="14:17" ht="24.95" customHeight="1">
      <c r="N2186" s="362"/>
      <c r="O2186" s="362"/>
      <c r="P2186" s="362"/>
      <c r="Q2186" s="362"/>
    </row>
    <row r="2187" spans="14:17" ht="24.95" customHeight="1">
      <c r="N2187" s="362"/>
      <c r="O2187" s="362"/>
      <c r="P2187" s="362"/>
      <c r="Q2187" s="362"/>
    </row>
    <row r="2188" spans="14:17" ht="24.95" customHeight="1">
      <c r="N2188" s="362"/>
      <c r="O2188" s="362"/>
      <c r="P2188" s="362"/>
      <c r="Q2188" s="362"/>
    </row>
    <row r="2189" spans="14:17" ht="24.95" customHeight="1">
      <c r="N2189" s="362"/>
      <c r="O2189" s="362"/>
      <c r="P2189" s="362"/>
      <c r="Q2189" s="362"/>
    </row>
    <row r="2190" spans="14:17" ht="24.95" customHeight="1">
      <c r="N2190" s="362"/>
      <c r="O2190" s="362"/>
      <c r="P2190" s="362"/>
      <c r="Q2190" s="362"/>
    </row>
    <row r="2191" spans="14:17" ht="24.95" customHeight="1">
      <c r="N2191" s="362"/>
      <c r="O2191" s="362"/>
      <c r="P2191" s="362"/>
      <c r="Q2191" s="362"/>
    </row>
    <row r="2192" spans="14:17" ht="24.95" customHeight="1">
      <c r="N2192" s="362"/>
      <c r="O2192" s="362"/>
      <c r="P2192" s="362"/>
      <c r="Q2192" s="362"/>
    </row>
    <row r="2193" spans="14:17" ht="24.95" customHeight="1">
      <c r="N2193" s="362"/>
      <c r="O2193" s="362"/>
      <c r="P2193" s="362"/>
      <c r="Q2193" s="362"/>
    </row>
    <row r="2194" spans="14:17" ht="24.95" customHeight="1">
      <c r="N2194" s="362"/>
      <c r="O2194" s="362"/>
      <c r="P2194" s="362"/>
      <c r="Q2194" s="362"/>
    </row>
    <row r="2195" spans="14:17" ht="24.95" customHeight="1">
      <c r="N2195" s="362"/>
      <c r="O2195" s="362"/>
      <c r="P2195" s="362"/>
      <c r="Q2195" s="362"/>
    </row>
    <row r="2196" spans="14:17" ht="24.95" customHeight="1">
      <c r="N2196" s="362"/>
      <c r="O2196" s="362"/>
      <c r="P2196" s="362"/>
      <c r="Q2196" s="362"/>
    </row>
    <row r="2197" spans="14:17" ht="24.95" customHeight="1">
      <c r="N2197" s="362"/>
      <c r="O2197" s="362"/>
      <c r="P2197" s="362"/>
      <c r="Q2197" s="362"/>
    </row>
    <row r="2198" spans="14:17" ht="24.95" customHeight="1">
      <c r="N2198" s="362"/>
      <c r="O2198" s="362"/>
      <c r="P2198" s="362"/>
      <c r="Q2198" s="362"/>
    </row>
    <row r="2199" spans="14:17" ht="24.95" customHeight="1">
      <c r="N2199" s="362"/>
      <c r="O2199" s="362"/>
      <c r="P2199" s="362"/>
      <c r="Q2199" s="362"/>
    </row>
    <row r="2200" spans="14:17" ht="24.95" customHeight="1">
      <c r="N2200" s="362"/>
      <c r="O2200" s="362"/>
      <c r="P2200" s="362"/>
      <c r="Q2200" s="362"/>
    </row>
    <row r="2201" spans="14:17" ht="24.95" customHeight="1">
      <c r="N2201" s="362"/>
      <c r="O2201" s="362"/>
      <c r="P2201" s="362"/>
      <c r="Q2201" s="362"/>
    </row>
    <row r="2202" spans="14:17" ht="24.95" customHeight="1">
      <c r="N2202" s="362"/>
      <c r="O2202" s="362"/>
      <c r="P2202" s="362"/>
      <c r="Q2202" s="362"/>
    </row>
    <row r="2203" spans="14:17" ht="24.95" customHeight="1">
      <c r="N2203" s="362"/>
      <c r="O2203" s="362"/>
      <c r="P2203" s="362"/>
      <c r="Q2203" s="362"/>
    </row>
    <row r="2204" spans="14:17" ht="24.95" customHeight="1">
      <c r="N2204" s="362"/>
      <c r="O2204" s="362"/>
      <c r="P2204" s="362"/>
      <c r="Q2204" s="362"/>
    </row>
    <row r="2205" spans="14:17" ht="24.95" customHeight="1">
      <c r="N2205" s="362"/>
      <c r="O2205" s="362"/>
      <c r="P2205" s="362"/>
      <c r="Q2205" s="362"/>
    </row>
    <row r="2206" spans="14:17" ht="24.95" customHeight="1">
      <c r="N2206" s="362"/>
      <c r="O2206" s="362"/>
      <c r="P2206" s="362"/>
      <c r="Q2206" s="362"/>
    </row>
    <row r="2207" spans="14:17" ht="24.95" customHeight="1">
      <c r="N2207" s="362"/>
      <c r="O2207" s="362"/>
      <c r="P2207" s="362"/>
      <c r="Q2207" s="362"/>
    </row>
    <row r="2208" spans="14:17" ht="24.95" customHeight="1">
      <c r="N2208" s="362"/>
      <c r="O2208" s="362"/>
      <c r="P2208" s="362"/>
      <c r="Q2208" s="362"/>
    </row>
    <row r="2209" spans="14:17" ht="24.95" customHeight="1">
      <c r="N2209" s="362"/>
      <c r="O2209" s="362"/>
      <c r="P2209" s="362"/>
      <c r="Q2209" s="362"/>
    </row>
    <row r="2210" spans="14:17" ht="24.95" customHeight="1">
      <c r="N2210" s="362"/>
      <c r="O2210" s="362"/>
      <c r="P2210" s="362"/>
      <c r="Q2210" s="362"/>
    </row>
    <row r="2211" spans="14:17" ht="24.95" customHeight="1">
      <c r="N2211" s="362"/>
      <c r="O2211" s="362"/>
      <c r="P2211" s="362"/>
      <c r="Q2211" s="362"/>
    </row>
    <row r="2212" spans="14:17" ht="24.95" customHeight="1">
      <c r="N2212" s="362"/>
      <c r="O2212" s="362"/>
      <c r="P2212" s="362"/>
      <c r="Q2212" s="362"/>
    </row>
    <row r="2213" spans="14:17" ht="24.95" customHeight="1">
      <c r="N2213" s="362"/>
      <c r="O2213" s="362"/>
      <c r="P2213" s="362"/>
      <c r="Q2213" s="362"/>
    </row>
    <row r="2214" spans="14:17" ht="24.95" customHeight="1">
      <c r="N2214" s="362"/>
      <c r="O2214" s="362"/>
      <c r="P2214" s="362"/>
      <c r="Q2214" s="362"/>
    </row>
    <row r="2215" spans="14:17" ht="24.95" customHeight="1">
      <c r="N2215" s="362"/>
      <c r="O2215" s="362"/>
      <c r="P2215" s="362"/>
      <c r="Q2215" s="362"/>
    </row>
    <row r="2216" spans="14:17" ht="24.95" customHeight="1">
      <c r="N2216" s="362"/>
      <c r="O2216" s="362"/>
      <c r="P2216" s="362"/>
      <c r="Q2216" s="362"/>
    </row>
    <row r="2217" spans="14:17" ht="24.95" customHeight="1">
      <c r="N2217" s="362"/>
      <c r="O2217" s="362"/>
      <c r="P2217" s="362"/>
      <c r="Q2217" s="362"/>
    </row>
    <row r="2218" spans="14:17" ht="24.95" customHeight="1">
      <c r="N2218" s="362"/>
      <c r="O2218" s="362"/>
      <c r="P2218" s="362"/>
      <c r="Q2218" s="362"/>
    </row>
    <row r="2219" spans="14:17" ht="24.95" customHeight="1">
      <c r="N2219" s="362"/>
      <c r="O2219" s="362"/>
      <c r="P2219" s="362"/>
      <c r="Q2219" s="362"/>
    </row>
    <row r="2220" spans="14:17" ht="24.95" customHeight="1">
      <c r="N2220" s="362"/>
      <c r="O2220" s="362"/>
      <c r="P2220" s="362"/>
      <c r="Q2220" s="362"/>
    </row>
    <row r="2221" spans="14:17" ht="24.95" customHeight="1">
      <c r="N2221" s="362"/>
      <c r="O2221" s="362"/>
      <c r="P2221" s="362"/>
      <c r="Q2221" s="362"/>
    </row>
    <row r="2222" spans="14:17" ht="24.95" customHeight="1">
      <c r="N2222" s="362"/>
      <c r="O2222" s="362"/>
      <c r="P2222" s="362"/>
      <c r="Q2222" s="362"/>
    </row>
    <row r="2223" spans="14:17" ht="24.95" customHeight="1">
      <c r="N2223" s="362"/>
      <c r="O2223" s="362"/>
      <c r="P2223" s="362"/>
      <c r="Q2223" s="362"/>
    </row>
    <row r="2224" spans="14:17" ht="24.95" customHeight="1">
      <c r="N2224" s="362"/>
      <c r="O2224" s="362"/>
      <c r="P2224" s="362"/>
      <c r="Q2224" s="362"/>
    </row>
    <row r="2225" spans="14:17" ht="24.95" customHeight="1">
      <c r="N2225" s="362"/>
      <c r="O2225" s="362"/>
      <c r="P2225" s="362"/>
      <c r="Q2225" s="362"/>
    </row>
    <row r="2226" spans="14:17" ht="24.95" customHeight="1">
      <c r="N2226" s="362"/>
      <c r="O2226" s="362"/>
      <c r="P2226" s="362"/>
      <c r="Q2226" s="362"/>
    </row>
    <row r="2227" spans="14:17" ht="24.95" customHeight="1">
      <c r="N2227" s="362"/>
      <c r="O2227" s="362"/>
      <c r="P2227" s="362"/>
      <c r="Q2227" s="362"/>
    </row>
    <row r="2228" spans="14:17" ht="24.95" customHeight="1">
      <c r="N2228" s="362"/>
      <c r="O2228" s="362"/>
      <c r="P2228" s="362"/>
      <c r="Q2228" s="362"/>
    </row>
    <row r="2229" spans="14:17" ht="24.95" customHeight="1">
      <c r="N2229" s="362"/>
      <c r="O2229" s="362"/>
      <c r="P2229" s="362"/>
      <c r="Q2229" s="362"/>
    </row>
    <row r="2230" spans="14:17" ht="24.95" customHeight="1">
      <c r="N2230" s="362"/>
      <c r="O2230" s="362"/>
      <c r="P2230" s="362"/>
      <c r="Q2230" s="362"/>
    </row>
    <row r="2231" spans="14:17" ht="24.95" customHeight="1">
      <c r="N2231" s="362"/>
      <c r="O2231" s="362"/>
      <c r="P2231" s="362"/>
      <c r="Q2231" s="362"/>
    </row>
    <row r="2232" spans="14:17" ht="24.95" customHeight="1">
      <c r="N2232" s="362"/>
      <c r="O2232" s="362"/>
      <c r="P2232" s="362"/>
      <c r="Q2232" s="362"/>
    </row>
    <row r="2233" spans="14:17" ht="24.95" customHeight="1">
      <c r="N2233" s="362"/>
      <c r="O2233" s="362"/>
      <c r="P2233" s="362"/>
      <c r="Q2233" s="362"/>
    </row>
    <row r="2234" spans="14:17" ht="24.95" customHeight="1">
      <c r="N2234" s="362"/>
      <c r="O2234" s="362"/>
      <c r="P2234" s="362"/>
      <c r="Q2234" s="362"/>
    </row>
  </sheetData>
  <autoFilter ref="B1:B47"/>
  <phoneticPr fontId="0" type="noConversion"/>
  <printOptions gridLines="1"/>
  <pageMargins left="0.52" right="0.26" top="0.81" bottom="0.5" header="0.31" footer="0.2"/>
  <pageSetup scale="65" orientation="portrait" r:id="rId1"/>
  <headerFooter alignWithMargins="0">
    <oddHeader>&amp;C&amp;"Algerian,Bold"&amp;36HAY'ADDA MIINOSAARKA QARANKA</oddHeader>
    <oddFooter>&amp;R&amp;"Times New Roman,Bold"&amp;14 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62" zoomScaleSheetLayoutView="62" workbookViewId="0">
      <selection activeCell="P13" sqref="P13"/>
    </sheetView>
  </sheetViews>
  <sheetFormatPr defaultRowHeight="29.1" customHeight="1"/>
  <cols>
    <col min="1" max="1" width="15.1640625" style="364" bestFit="1" customWidth="1"/>
    <col min="2" max="2" width="74" style="363" customWidth="1"/>
    <col min="3" max="9" width="9.33203125" style="363" hidden="1" customWidth="1"/>
    <col min="10" max="10" width="0.1640625" style="363" hidden="1" customWidth="1"/>
    <col min="11" max="11" width="27.5" style="363" hidden="1" customWidth="1"/>
    <col min="12" max="13" width="27.5" style="366" hidden="1" customWidth="1"/>
    <col min="14" max="15" width="30" style="366" bestFit="1" customWidth="1"/>
    <col min="16" max="16" width="28.83203125" style="363" customWidth="1"/>
    <col min="17" max="16384" width="9.33203125" style="363"/>
  </cols>
  <sheetData>
    <row r="1" spans="1:16" ht="29.1" customHeight="1">
      <c r="A1" s="353" t="s">
        <v>20</v>
      </c>
      <c r="B1" s="354" t="s">
        <v>780</v>
      </c>
      <c r="C1" s="251"/>
      <c r="D1" s="251"/>
      <c r="E1" s="251"/>
      <c r="F1" s="251"/>
      <c r="G1" s="251"/>
      <c r="H1" s="251"/>
      <c r="I1" s="251"/>
      <c r="J1" s="251"/>
      <c r="K1" s="251"/>
      <c r="L1" s="106"/>
      <c r="M1" s="106"/>
      <c r="N1" s="106"/>
      <c r="O1" s="106"/>
      <c r="P1" s="118"/>
    </row>
    <row r="2" spans="1:16" ht="29.1" customHeight="1">
      <c r="A2" s="249" t="s">
        <v>6</v>
      </c>
      <c r="B2" s="130" t="s">
        <v>7</v>
      </c>
      <c r="C2" s="256" t="s">
        <v>24</v>
      </c>
      <c r="D2" s="256" t="s">
        <v>28</v>
      </c>
      <c r="E2" s="256" t="s">
        <v>33</v>
      </c>
      <c r="F2" s="256" t="s">
        <v>40</v>
      </c>
      <c r="G2" s="256" t="s">
        <v>64</v>
      </c>
      <c r="H2" s="256" t="s">
        <v>69</v>
      </c>
      <c r="I2" s="256" t="s">
        <v>78</v>
      </c>
      <c r="J2" s="256" t="s">
        <v>110</v>
      </c>
      <c r="K2" s="256" t="s">
        <v>166</v>
      </c>
      <c r="L2" s="112" t="s">
        <v>318</v>
      </c>
      <c r="M2" s="112" t="s">
        <v>530</v>
      </c>
      <c r="N2" s="112" t="s">
        <v>605</v>
      </c>
      <c r="O2" s="112" t="s">
        <v>722</v>
      </c>
      <c r="P2" s="112" t="s">
        <v>34</v>
      </c>
    </row>
    <row r="3" spans="1:16" ht="29.1" customHeight="1">
      <c r="A3" s="249">
        <v>210</v>
      </c>
      <c r="B3" s="106" t="s">
        <v>95</v>
      </c>
      <c r="C3" s="251"/>
      <c r="D3" s="251"/>
      <c r="E3" s="251"/>
      <c r="F3" s="251"/>
      <c r="G3" s="251"/>
      <c r="H3" s="251"/>
      <c r="I3" s="251"/>
      <c r="J3" s="251"/>
      <c r="K3" s="251"/>
      <c r="L3" s="66"/>
      <c r="M3" s="66"/>
      <c r="N3" s="66"/>
      <c r="O3" s="66"/>
      <c r="P3" s="118"/>
    </row>
    <row r="4" spans="1:16" ht="29.1" customHeight="1">
      <c r="A4" s="249">
        <v>2110</v>
      </c>
      <c r="B4" s="106" t="s">
        <v>155</v>
      </c>
      <c r="C4" s="100">
        <v>0</v>
      </c>
      <c r="D4" s="100">
        <v>45168000</v>
      </c>
      <c r="E4" s="100">
        <v>82272000</v>
      </c>
      <c r="F4" s="100">
        <v>82272000</v>
      </c>
      <c r="G4" s="100">
        <v>167590800</v>
      </c>
      <c r="H4" s="100">
        <f>135236400+4149600+27000000+3000000</f>
        <v>169386000</v>
      </c>
      <c r="I4" s="100">
        <f>169386000+6000000+4149600</f>
        <v>179535600</v>
      </c>
      <c r="J4" s="100"/>
      <c r="K4" s="100"/>
      <c r="L4" s="66"/>
      <c r="M4" s="66"/>
      <c r="N4" s="66"/>
      <c r="O4" s="66"/>
      <c r="P4" s="118"/>
    </row>
    <row r="5" spans="1:16" ht="29.1" customHeight="1">
      <c r="A5" s="169">
        <v>21101</v>
      </c>
      <c r="B5" s="66" t="s">
        <v>295</v>
      </c>
      <c r="C5" s="100">
        <v>0</v>
      </c>
      <c r="D5" s="100">
        <v>24500000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f>530400000</f>
        <v>530400000</v>
      </c>
      <c r="K5" s="100">
        <v>1031097600</v>
      </c>
      <c r="L5" s="66">
        <v>1190217600</v>
      </c>
      <c r="M5" s="66">
        <v>1190217600</v>
      </c>
      <c r="N5" s="66">
        <v>1428261120</v>
      </c>
      <c r="O5" s="66">
        <v>2033268480</v>
      </c>
      <c r="P5" s="100">
        <f>O5-N5</f>
        <v>605007360</v>
      </c>
    </row>
    <row r="6" spans="1:16" ht="29.1" customHeight="1">
      <c r="A6" s="169">
        <v>22102</v>
      </c>
      <c r="B6" s="66" t="s">
        <v>266</v>
      </c>
      <c r="C6" s="66">
        <v>0</v>
      </c>
      <c r="D6" s="66">
        <v>10800000</v>
      </c>
      <c r="E6" s="66">
        <v>14400000</v>
      </c>
      <c r="F6" s="66">
        <v>14400000</v>
      </c>
      <c r="G6" s="66">
        <v>14400000</v>
      </c>
      <c r="H6" s="66">
        <f>14400000+16200000+720000</f>
        <v>31320000</v>
      </c>
      <c r="I6" s="66">
        <f>31320000+720000+3960000</f>
        <v>36000000</v>
      </c>
      <c r="J6" s="66">
        <v>30000000</v>
      </c>
      <c r="K6" s="66">
        <v>30000000</v>
      </c>
      <c r="L6" s="66">
        <v>0</v>
      </c>
      <c r="M6" s="66">
        <v>0</v>
      </c>
      <c r="N6" s="66">
        <v>0</v>
      </c>
      <c r="O6" s="66">
        <v>0</v>
      </c>
      <c r="P6" s="100">
        <f t="shared" ref="P6:P45" si="0">O6-N6</f>
        <v>0</v>
      </c>
    </row>
    <row r="7" spans="1:16" ht="29.1" customHeight="1">
      <c r="A7" s="169">
        <v>21103</v>
      </c>
      <c r="B7" s="66" t="s">
        <v>246</v>
      </c>
      <c r="C7" s="106">
        <v>0</v>
      </c>
      <c r="D7" s="106">
        <f>SUM(D4:D6)</f>
        <v>80468000</v>
      </c>
      <c r="E7" s="106">
        <f>SUM(E4:E6)</f>
        <v>96672000</v>
      </c>
      <c r="F7" s="106">
        <f>SUM(F4:F6)</f>
        <v>96672000</v>
      </c>
      <c r="G7" s="106">
        <f>SUM(G4:G6)</f>
        <v>181990800</v>
      </c>
      <c r="H7" s="106">
        <f>SUM(H4:H6)</f>
        <v>200706000</v>
      </c>
      <c r="I7" s="66">
        <v>0</v>
      </c>
      <c r="J7" s="66">
        <v>166800000</v>
      </c>
      <c r="K7" s="66">
        <v>166800000</v>
      </c>
      <c r="L7" s="66">
        <v>166800000</v>
      </c>
      <c r="M7" s="66">
        <v>166800000</v>
      </c>
      <c r="N7" s="66">
        <v>0</v>
      </c>
      <c r="O7" s="66">
        <v>166800000</v>
      </c>
      <c r="P7" s="100">
        <f t="shared" si="0"/>
        <v>166800000</v>
      </c>
    </row>
    <row r="8" spans="1:16" ht="29.1" customHeight="1">
      <c r="A8" s="169">
        <v>21105</v>
      </c>
      <c r="B8" s="66" t="s">
        <v>399</v>
      </c>
      <c r="C8" s="106"/>
      <c r="D8" s="106"/>
      <c r="E8" s="106"/>
      <c r="F8" s="106"/>
      <c r="G8" s="106"/>
      <c r="H8" s="106"/>
      <c r="I8" s="66"/>
      <c r="J8" s="66"/>
      <c r="K8" s="66">
        <v>180000000</v>
      </c>
      <c r="L8" s="66">
        <v>500000000</v>
      </c>
      <c r="M8" s="66">
        <v>500000000</v>
      </c>
      <c r="N8" s="66">
        <v>500000000</v>
      </c>
      <c r="O8" s="66">
        <v>500000000</v>
      </c>
      <c r="P8" s="100">
        <f t="shared" si="0"/>
        <v>0</v>
      </c>
    </row>
    <row r="9" spans="1:16" ht="29.1" customHeight="1">
      <c r="A9" s="169"/>
      <c r="B9" s="106" t="s">
        <v>59</v>
      </c>
      <c r="C9" s="106">
        <v>0</v>
      </c>
      <c r="D9" s="106" t="e">
        <f>SUM(#REF!)</f>
        <v>#REF!</v>
      </c>
      <c r="E9" s="106" t="e">
        <f>SUM(#REF!)</f>
        <v>#REF!</v>
      </c>
      <c r="F9" s="106" t="e">
        <f>SUM(#REF!)</f>
        <v>#REF!</v>
      </c>
      <c r="G9" s="106" t="e">
        <f>SUM(#REF!)</f>
        <v>#REF!</v>
      </c>
      <c r="H9" s="106" t="e">
        <f>SUM(#REF!)</f>
        <v>#REF!</v>
      </c>
      <c r="I9" s="66">
        <v>0</v>
      </c>
      <c r="J9" s="106">
        <f>SUM(J5:J7)</f>
        <v>727200000</v>
      </c>
      <c r="K9" s="106">
        <f>SUM(K5:K8)</f>
        <v>1407897600</v>
      </c>
      <c r="L9" s="106">
        <f>SUM(L5:L8)</f>
        <v>1857017600</v>
      </c>
      <c r="M9" s="106">
        <f>SUM(M5:M8)</f>
        <v>1857017600</v>
      </c>
      <c r="N9" s="106">
        <f>SUM(N5:N8)</f>
        <v>1928261120</v>
      </c>
      <c r="O9" s="106">
        <f>SUM(O5:O8)</f>
        <v>2700068480</v>
      </c>
      <c r="P9" s="105">
        <f t="shared" si="0"/>
        <v>771807360</v>
      </c>
    </row>
    <row r="10" spans="1:16" ht="29.1" customHeight="1">
      <c r="A10" s="249">
        <v>220</v>
      </c>
      <c r="B10" s="106" t="s">
        <v>159</v>
      </c>
      <c r="C10" s="66" t="s">
        <v>4</v>
      </c>
      <c r="D10" s="66"/>
      <c r="E10" s="66"/>
      <c r="F10" s="66"/>
      <c r="G10" s="66"/>
      <c r="H10" s="66"/>
      <c r="I10" s="66">
        <v>0</v>
      </c>
      <c r="J10" s="66"/>
      <c r="K10" s="66"/>
      <c r="L10" s="66"/>
      <c r="M10" s="66"/>
      <c r="N10" s="66"/>
      <c r="O10" s="66"/>
      <c r="P10" s="100">
        <f t="shared" si="0"/>
        <v>0</v>
      </c>
    </row>
    <row r="11" spans="1:16" ht="29.1" customHeight="1">
      <c r="A11" s="249">
        <v>2210</v>
      </c>
      <c r="B11" s="106" t="s">
        <v>160</v>
      </c>
      <c r="C11" s="66">
        <v>0</v>
      </c>
      <c r="D11" s="66">
        <v>22600000</v>
      </c>
      <c r="E11" s="66">
        <v>0</v>
      </c>
      <c r="F11" s="66">
        <v>0</v>
      </c>
      <c r="G11" s="66">
        <v>0</v>
      </c>
      <c r="H11" s="66">
        <v>0</v>
      </c>
      <c r="I11" s="66">
        <v>7448000</v>
      </c>
      <c r="J11" s="66"/>
      <c r="K11" s="66"/>
      <c r="L11" s="66"/>
      <c r="M11" s="66"/>
      <c r="N11" s="66"/>
      <c r="O11" s="66"/>
      <c r="P11" s="100">
        <f t="shared" si="0"/>
        <v>0</v>
      </c>
    </row>
    <row r="12" spans="1:16" ht="29.1" customHeight="1">
      <c r="A12" s="169">
        <v>22101</v>
      </c>
      <c r="B12" s="66" t="s">
        <v>14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7448000</v>
      </c>
      <c r="J12" s="66">
        <f>40000000/2</f>
        <v>20000000</v>
      </c>
      <c r="K12" s="66">
        <f>40000000/2*70%</f>
        <v>14000000</v>
      </c>
      <c r="L12" s="66">
        <f>40000000/2*70%</f>
        <v>14000000</v>
      </c>
      <c r="M12" s="66">
        <v>14000000</v>
      </c>
      <c r="N12" s="66">
        <v>35000000</v>
      </c>
      <c r="O12" s="66">
        <v>35000000</v>
      </c>
      <c r="P12" s="100">
        <f t="shared" si="0"/>
        <v>0</v>
      </c>
    </row>
    <row r="13" spans="1:16" ht="29.1" customHeight="1">
      <c r="A13" s="169">
        <v>22102</v>
      </c>
      <c r="B13" s="66" t="s">
        <v>249</v>
      </c>
      <c r="C13" s="66"/>
      <c r="D13" s="66"/>
      <c r="E13" s="66"/>
      <c r="F13" s="66"/>
      <c r="G13" s="66"/>
      <c r="H13" s="66"/>
      <c r="I13" s="66"/>
      <c r="J13" s="66">
        <v>30000000</v>
      </c>
      <c r="K13" s="66">
        <f>30000000*70%</f>
        <v>21000000</v>
      </c>
      <c r="L13" s="66">
        <f>30000000*70%</f>
        <v>21000000</v>
      </c>
      <c r="M13" s="66">
        <v>21000000</v>
      </c>
      <c r="N13" s="66">
        <v>0</v>
      </c>
      <c r="O13" s="66">
        <v>0</v>
      </c>
      <c r="P13" s="100">
        <f t="shared" si="0"/>
        <v>0</v>
      </c>
    </row>
    <row r="14" spans="1:16" ht="29.1" customHeight="1">
      <c r="A14" s="169">
        <v>22103</v>
      </c>
      <c r="B14" s="66" t="s">
        <v>83</v>
      </c>
      <c r="C14" s="66"/>
      <c r="D14" s="66"/>
      <c r="E14" s="66"/>
      <c r="F14" s="66"/>
      <c r="G14" s="66"/>
      <c r="H14" s="66"/>
      <c r="I14" s="66"/>
      <c r="J14" s="66">
        <v>20000000</v>
      </c>
      <c r="K14" s="66">
        <f>20000000*70%</f>
        <v>14000000</v>
      </c>
      <c r="L14" s="66"/>
      <c r="M14" s="66"/>
      <c r="N14" s="66"/>
      <c r="O14" s="66"/>
      <c r="P14" s="100">
        <f t="shared" si="0"/>
        <v>0</v>
      </c>
    </row>
    <row r="15" spans="1:16" ht="29.1" customHeight="1">
      <c r="A15" s="169">
        <v>22104</v>
      </c>
      <c r="B15" s="66" t="s">
        <v>116</v>
      </c>
      <c r="C15" s="66"/>
      <c r="D15" s="66"/>
      <c r="E15" s="66"/>
      <c r="F15" s="66"/>
      <c r="G15" s="66"/>
      <c r="H15" s="66"/>
      <c r="I15" s="66">
        <v>37240000</v>
      </c>
      <c r="J15" s="66">
        <v>20000000</v>
      </c>
      <c r="K15" s="66">
        <f>20000000*70%</f>
        <v>14000000</v>
      </c>
      <c r="L15" s="66">
        <f>20000000*70%</f>
        <v>14000000</v>
      </c>
      <c r="M15" s="66">
        <v>14000000</v>
      </c>
      <c r="N15" s="66">
        <v>14000000</v>
      </c>
      <c r="O15" s="66">
        <v>14000000</v>
      </c>
      <c r="P15" s="100">
        <f t="shared" si="0"/>
        <v>0</v>
      </c>
    </row>
    <row r="16" spans="1:16" ht="29.1" customHeight="1">
      <c r="A16" s="169">
        <v>22105</v>
      </c>
      <c r="B16" s="66" t="s">
        <v>250</v>
      </c>
      <c r="C16" s="66"/>
      <c r="D16" s="66"/>
      <c r="E16" s="66"/>
      <c r="F16" s="66"/>
      <c r="G16" s="66"/>
      <c r="H16" s="66"/>
      <c r="I16" s="66"/>
      <c r="J16" s="66">
        <v>15000000</v>
      </c>
      <c r="K16" s="66">
        <f>15000000*70%</f>
        <v>10500000</v>
      </c>
      <c r="L16" s="66">
        <v>72000000</v>
      </c>
      <c r="M16" s="66">
        <v>72000000</v>
      </c>
      <c r="N16" s="66">
        <v>72000000</v>
      </c>
      <c r="O16" s="66">
        <v>72000000</v>
      </c>
      <c r="P16" s="100">
        <f t="shared" si="0"/>
        <v>0</v>
      </c>
    </row>
    <row r="17" spans="1:16" ht="29.1" customHeight="1">
      <c r="A17" s="169">
        <v>22107</v>
      </c>
      <c r="B17" s="66" t="s">
        <v>30</v>
      </c>
      <c r="C17" s="66">
        <v>0</v>
      </c>
      <c r="D17" s="66">
        <v>4000000</v>
      </c>
      <c r="E17" s="66">
        <v>8000000</v>
      </c>
      <c r="F17" s="66">
        <v>17000000</v>
      </c>
      <c r="G17" s="66">
        <v>12661600</v>
      </c>
      <c r="H17" s="66">
        <v>25000000</v>
      </c>
      <c r="I17" s="106">
        <f>SUM(I9:I15)</f>
        <v>52136000</v>
      </c>
      <c r="J17" s="66">
        <f>20000000/2</f>
        <v>10000000</v>
      </c>
      <c r="K17" s="66">
        <f>20000000/2*70%</f>
        <v>7000000</v>
      </c>
      <c r="L17" s="66">
        <f>K17*70%</f>
        <v>4900000</v>
      </c>
      <c r="M17" s="66">
        <v>4900000</v>
      </c>
      <c r="N17" s="66">
        <v>4900000</v>
      </c>
      <c r="O17" s="66">
        <v>4900000</v>
      </c>
      <c r="P17" s="100">
        <f t="shared" si="0"/>
        <v>0</v>
      </c>
    </row>
    <row r="18" spans="1:16" ht="29.1" customHeight="1">
      <c r="A18" s="169">
        <v>22109</v>
      </c>
      <c r="B18" s="66" t="s">
        <v>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/>
      <c r="J18" s="66">
        <f>20000000/2</f>
        <v>10000000</v>
      </c>
      <c r="K18" s="66">
        <f>20000000/2*70%</f>
        <v>7000000</v>
      </c>
      <c r="L18" s="66">
        <f>20000000/2*70%</f>
        <v>7000000</v>
      </c>
      <c r="M18" s="66">
        <v>7000000</v>
      </c>
      <c r="N18" s="66">
        <v>7000000</v>
      </c>
      <c r="O18" s="66">
        <v>7000000</v>
      </c>
      <c r="P18" s="100">
        <f t="shared" si="0"/>
        <v>0</v>
      </c>
    </row>
    <row r="19" spans="1:16" ht="29.1" customHeight="1">
      <c r="A19" s="169">
        <v>22112</v>
      </c>
      <c r="B19" s="66" t="s">
        <v>16</v>
      </c>
      <c r="C19" s="66" t="s">
        <v>4</v>
      </c>
      <c r="D19" s="66">
        <v>0</v>
      </c>
      <c r="E19" s="66">
        <v>0</v>
      </c>
      <c r="F19" s="66">
        <v>3000000</v>
      </c>
      <c r="G19" s="66">
        <v>2234400</v>
      </c>
      <c r="H19" s="66">
        <v>2234400</v>
      </c>
      <c r="I19" s="66">
        <v>0</v>
      </c>
      <c r="J19" s="66">
        <v>10000000</v>
      </c>
      <c r="K19" s="66">
        <f>10000000*70%</f>
        <v>7000000</v>
      </c>
      <c r="L19" s="66">
        <f>10000000*70%</f>
        <v>7000000</v>
      </c>
      <c r="M19" s="66">
        <v>7000000</v>
      </c>
      <c r="N19" s="66">
        <v>7000000</v>
      </c>
      <c r="O19" s="66">
        <v>7000000</v>
      </c>
      <c r="P19" s="100">
        <f t="shared" si="0"/>
        <v>0</v>
      </c>
    </row>
    <row r="20" spans="1:16" ht="29.1" customHeight="1">
      <c r="A20" s="169">
        <v>22113</v>
      </c>
      <c r="B20" s="66" t="s">
        <v>289</v>
      </c>
      <c r="C20" s="66"/>
      <c r="D20" s="66"/>
      <c r="E20" s="66"/>
      <c r="F20" s="66"/>
      <c r="G20" s="66"/>
      <c r="H20" s="66"/>
      <c r="I20" s="66"/>
      <c r="J20" s="66">
        <v>20000000</v>
      </c>
      <c r="K20" s="66">
        <f>20000000*70%</f>
        <v>14000000</v>
      </c>
      <c r="L20" s="66">
        <f>20000000*70%</f>
        <v>14000000</v>
      </c>
      <c r="M20" s="66">
        <v>14000000</v>
      </c>
      <c r="N20" s="66">
        <v>14000000</v>
      </c>
      <c r="O20" s="66">
        <v>14000000</v>
      </c>
      <c r="P20" s="100">
        <f t="shared" si="0"/>
        <v>0</v>
      </c>
    </row>
    <row r="21" spans="1:16" ht="29.1" customHeight="1">
      <c r="A21" s="169">
        <v>22116</v>
      </c>
      <c r="B21" s="66" t="s">
        <v>251</v>
      </c>
      <c r="C21" s="66"/>
      <c r="D21" s="66"/>
      <c r="E21" s="66"/>
      <c r="F21" s="66"/>
      <c r="G21" s="66"/>
      <c r="H21" s="66"/>
      <c r="I21" s="66"/>
      <c r="J21" s="66">
        <v>80000000</v>
      </c>
      <c r="K21" s="66">
        <f>80000000*70%</f>
        <v>56000000</v>
      </c>
      <c r="L21" s="66">
        <f>80000000*70%</f>
        <v>56000000</v>
      </c>
      <c r="M21" s="66">
        <v>56000000</v>
      </c>
      <c r="N21" s="66">
        <v>56000000</v>
      </c>
      <c r="O21" s="66">
        <v>56000000</v>
      </c>
      <c r="P21" s="100">
        <f t="shared" si="0"/>
        <v>0</v>
      </c>
    </row>
    <row r="22" spans="1:16" ht="29.1" customHeight="1">
      <c r="A22" s="169">
        <v>22132</v>
      </c>
      <c r="B22" s="66" t="s">
        <v>144</v>
      </c>
      <c r="C22" s="106">
        <v>0</v>
      </c>
      <c r="D22" s="106">
        <f>SUM(D17:D19)</f>
        <v>4000000</v>
      </c>
      <c r="E22" s="106">
        <f>SUM(E17:E19)</f>
        <v>8000000</v>
      </c>
      <c r="F22" s="106">
        <f>SUM(F17:F19)</f>
        <v>20000000</v>
      </c>
      <c r="G22" s="106">
        <f>SUM(G17:G19)</f>
        <v>14896000</v>
      </c>
      <c r="H22" s="106">
        <f>SUM(H17:H19)</f>
        <v>27234400</v>
      </c>
      <c r="I22" s="66">
        <v>11172000</v>
      </c>
      <c r="J22" s="66">
        <v>100000000</v>
      </c>
      <c r="K22" s="66">
        <f>100000000*70%</f>
        <v>70000000</v>
      </c>
      <c r="L22" s="66">
        <v>0</v>
      </c>
      <c r="M22" s="66">
        <v>0</v>
      </c>
      <c r="N22" s="66">
        <v>0</v>
      </c>
      <c r="O22" s="66">
        <v>0</v>
      </c>
      <c r="P22" s="100">
        <f t="shared" si="0"/>
        <v>0</v>
      </c>
    </row>
    <row r="23" spans="1:16" ht="29.1" customHeight="1">
      <c r="A23" s="169">
        <v>22137</v>
      </c>
      <c r="B23" s="66" t="s">
        <v>841</v>
      </c>
      <c r="C23" s="106"/>
      <c r="D23" s="106"/>
      <c r="E23" s="106"/>
      <c r="F23" s="106"/>
      <c r="G23" s="106"/>
      <c r="H23" s="106"/>
      <c r="I23" s="66"/>
      <c r="J23" s="66"/>
      <c r="K23" s="66"/>
      <c r="L23" s="66"/>
      <c r="M23" s="66"/>
      <c r="N23" s="66"/>
      <c r="O23" s="66">
        <v>400000000</v>
      </c>
      <c r="P23" s="100">
        <f t="shared" si="0"/>
        <v>400000000</v>
      </c>
    </row>
    <row r="24" spans="1:16" ht="29.1" customHeight="1">
      <c r="A24" s="169"/>
      <c r="B24" s="106" t="s">
        <v>59</v>
      </c>
      <c r="C24" s="66" t="s">
        <v>4</v>
      </c>
      <c r="D24" s="66"/>
      <c r="E24" s="66"/>
      <c r="F24" s="66"/>
      <c r="G24" s="66"/>
      <c r="H24" s="66"/>
      <c r="I24" s="66">
        <v>3724000</v>
      </c>
      <c r="J24" s="106">
        <f t="shared" ref="J24:N24" si="1">SUM(J12:J22)</f>
        <v>335000000</v>
      </c>
      <c r="K24" s="106">
        <f t="shared" si="1"/>
        <v>234500000</v>
      </c>
      <c r="L24" s="106">
        <f t="shared" si="1"/>
        <v>209900000</v>
      </c>
      <c r="M24" s="106">
        <f t="shared" si="1"/>
        <v>209900000</v>
      </c>
      <c r="N24" s="106">
        <f t="shared" si="1"/>
        <v>209900000</v>
      </c>
      <c r="O24" s="106">
        <f>SUM(O12:O23)</f>
        <v>609900000</v>
      </c>
      <c r="P24" s="105">
        <f t="shared" si="0"/>
        <v>400000000</v>
      </c>
    </row>
    <row r="25" spans="1:16" ht="29.1" customHeight="1">
      <c r="A25" s="249">
        <v>2220</v>
      </c>
      <c r="B25" s="106" t="s">
        <v>161</v>
      </c>
      <c r="C25" s="66">
        <v>0</v>
      </c>
      <c r="D25" s="66">
        <v>6000000</v>
      </c>
      <c r="E25" s="66">
        <v>7200000</v>
      </c>
      <c r="F25" s="66">
        <v>10000000</v>
      </c>
      <c r="G25" s="66">
        <v>11172000</v>
      </c>
      <c r="H25" s="66">
        <v>11172000</v>
      </c>
      <c r="I25" s="106">
        <f>SUM(I19:I24)</f>
        <v>14896000</v>
      </c>
      <c r="J25" s="106"/>
      <c r="K25" s="106"/>
      <c r="L25" s="106"/>
      <c r="M25" s="106"/>
      <c r="N25" s="106"/>
      <c r="O25" s="106"/>
      <c r="P25" s="100">
        <f t="shared" si="0"/>
        <v>0</v>
      </c>
    </row>
    <row r="26" spans="1:16" ht="29.1" customHeight="1">
      <c r="A26" s="169">
        <v>22201</v>
      </c>
      <c r="B26" s="66" t="s">
        <v>252</v>
      </c>
      <c r="C26" s="66"/>
      <c r="D26" s="66"/>
      <c r="E26" s="66"/>
      <c r="F26" s="66"/>
      <c r="G26" s="66"/>
      <c r="H26" s="66"/>
      <c r="I26" s="106"/>
      <c r="J26" s="66">
        <f>40000000/2</f>
        <v>20000000</v>
      </c>
      <c r="K26" s="66">
        <f>40000000/2*70%</f>
        <v>14000000</v>
      </c>
      <c r="L26" s="66">
        <f>40000000/2*70%</f>
        <v>14000000</v>
      </c>
      <c r="M26" s="66">
        <v>14000000</v>
      </c>
      <c r="N26" s="66">
        <v>14000000</v>
      </c>
      <c r="O26" s="66">
        <v>14000000</v>
      </c>
      <c r="P26" s="100">
        <f t="shared" si="0"/>
        <v>0</v>
      </c>
    </row>
    <row r="27" spans="1:16" ht="29.1" customHeight="1">
      <c r="A27" s="169">
        <v>22202</v>
      </c>
      <c r="B27" s="66" t="s">
        <v>91</v>
      </c>
      <c r="C27" s="66">
        <v>0</v>
      </c>
      <c r="D27" s="66">
        <v>17000000</v>
      </c>
      <c r="E27" s="66">
        <v>9734400</v>
      </c>
      <c r="F27" s="66">
        <v>20000000</v>
      </c>
      <c r="G27" s="66">
        <v>18620000</v>
      </c>
      <c r="H27" s="66">
        <v>30000000</v>
      </c>
      <c r="I27" s="66"/>
      <c r="J27" s="66">
        <v>100000000</v>
      </c>
      <c r="K27" s="66">
        <f>100000000*70%</f>
        <v>70000000</v>
      </c>
      <c r="L27" s="66">
        <f>K27</f>
        <v>70000000</v>
      </c>
      <c r="M27" s="66">
        <v>90000000</v>
      </c>
      <c r="N27" s="66">
        <v>110000000</v>
      </c>
      <c r="O27" s="66">
        <v>200000000</v>
      </c>
      <c r="P27" s="100">
        <f t="shared" si="0"/>
        <v>90000000</v>
      </c>
    </row>
    <row r="28" spans="1:16" ht="29.1" customHeight="1">
      <c r="A28" s="169">
        <v>22203</v>
      </c>
      <c r="B28" s="66" t="s">
        <v>85</v>
      </c>
      <c r="C28" s="66">
        <v>0</v>
      </c>
      <c r="D28" s="66">
        <v>0</v>
      </c>
      <c r="E28" s="66">
        <v>14592000</v>
      </c>
      <c r="F28" s="66">
        <v>0</v>
      </c>
      <c r="G28" s="66">
        <v>0</v>
      </c>
      <c r="H28" s="66">
        <v>10000000</v>
      </c>
      <c r="I28" s="66">
        <v>0</v>
      </c>
      <c r="J28" s="66">
        <f>40000000*70%/2</f>
        <v>14000000</v>
      </c>
      <c r="K28" s="66">
        <f>40000000*70%/2</f>
        <v>14000000</v>
      </c>
      <c r="L28" s="66">
        <f>40000000*70%/2</f>
        <v>14000000</v>
      </c>
      <c r="M28" s="66">
        <v>14000000</v>
      </c>
      <c r="N28" s="66">
        <v>14000000</v>
      </c>
      <c r="O28" s="66">
        <v>14000000</v>
      </c>
      <c r="P28" s="100">
        <f t="shared" si="0"/>
        <v>0</v>
      </c>
    </row>
    <row r="29" spans="1:16" ht="29.1" customHeight="1">
      <c r="A29" s="169">
        <v>22204</v>
      </c>
      <c r="B29" s="66" t="s">
        <v>86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100000000</v>
      </c>
      <c r="K29" s="66">
        <f>100000000*70%</f>
        <v>70000000</v>
      </c>
      <c r="L29" s="66">
        <f>100000000*70%</f>
        <v>70000000</v>
      </c>
      <c r="M29" s="66">
        <v>70000000</v>
      </c>
      <c r="N29" s="66">
        <v>70000000</v>
      </c>
      <c r="O29" s="66">
        <v>70000000</v>
      </c>
      <c r="P29" s="100">
        <f t="shared" si="0"/>
        <v>0</v>
      </c>
    </row>
    <row r="30" spans="1:16" ht="29.1" customHeight="1">
      <c r="A30" s="169">
        <v>22208</v>
      </c>
      <c r="B30" s="66" t="s">
        <v>317</v>
      </c>
      <c r="C30" s="66"/>
      <c r="D30" s="66"/>
      <c r="E30" s="66"/>
      <c r="F30" s="66"/>
      <c r="G30" s="66"/>
      <c r="H30" s="66"/>
      <c r="I30" s="66"/>
      <c r="J30" s="66">
        <f>295356000/2</f>
        <v>147678000</v>
      </c>
      <c r="K30" s="66">
        <v>665105246</v>
      </c>
      <c r="L30" s="66">
        <v>747216926</v>
      </c>
      <c r="M30" s="66">
        <v>747216926</v>
      </c>
      <c r="N30" s="66">
        <v>747216926</v>
      </c>
      <c r="O30" s="66">
        <v>891066172</v>
      </c>
      <c r="P30" s="100">
        <f t="shared" si="0"/>
        <v>143849246</v>
      </c>
    </row>
    <row r="31" spans="1:16" ht="29.1" customHeight="1">
      <c r="A31" s="169">
        <v>22209</v>
      </c>
      <c r="B31" s="66" t="s">
        <v>145</v>
      </c>
      <c r="C31" s="66">
        <v>0</v>
      </c>
      <c r="D31" s="66">
        <v>3000000</v>
      </c>
      <c r="E31" s="66">
        <v>8000000</v>
      </c>
      <c r="F31" s="66">
        <v>10000000</v>
      </c>
      <c r="G31" s="66">
        <v>7448000</v>
      </c>
      <c r="H31" s="66">
        <v>7448000</v>
      </c>
      <c r="I31" s="66">
        <v>2979200</v>
      </c>
      <c r="J31" s="66">
        <f>20000000/2</f>
        <v>10000000</v>
      </c>
      <c r="K31" s="66">
        <f>20000000/2*70%</f>
        <v>7000000</v>
      </c>
      <c r="L31" s="66">
        <f>20000000/2*70%</f>
        <v>7000000</v>
      </c>
      <c r="M31" s="66">
        <v>7000000</v>
      </c>
      <c r="N31" s="66">
        <v>7000000</v>
      </c>
      <c r="O31" s="66">
        <v>7000000</v>
      </c>
      <c r="P31" s="100">
        <f t="shared" si="0"/>
        <v>0</v>
      </c>
    </row>
    <row r="32" spans="1:16" ht="29.1" customHeight="1">
      <c r="A32" s="169">
        <v>22210</v>
      </c>
      <c r="B32" s="66" t="s">
        <v>234</v>
      </c>
      <c r="C32" s="66"/>
      <c r="D32" s="66"/>
      <c r="E32" s="66"/>
      <c r="F32" s="66"/>
      <c r="G32" s="66"/>
      <c r="H32" s="66"/>
      <c r="I32" s="66"/>
      <c r="J32" s="66">
        <f>20000000/2</f>
        <v>10000000</v>
      </c>
      <c r="K32" s="66">
        <f>20000000/2*70%</f>
        <v>7000000</v>
      </c>
      <c r="L32" s="66">
        <f>20000000/2*70%</f>
        <v>7000000</v>
      </c>
      <c r="M32" s="66">
        <v>7000000</v>
      </c>
      <c r="N32" s="66">
        <v>7000000</v>
      </c>
      <c r="O32" s="66">
        <v>7000000</v>
      </c>
      <c r="P32" s="100">
        <f t="shared" si="0"/>
        <v>0</v>
      </c>
    </row>
    <row r="33" spans="1:16" ht="29.1" customHeight="1">
      <c r="A33" s="169"/>
      <c r="B33" s="106" t="s">
        <v>59</v>
      </c>
      <c r="C33" s="66">
        <v>0</v>
      </c>
      <c r="D33" s="66">
        <v>0</v>
      </c>
      <c r="E33" s="66"/>
      <c r="F33" s="66">
        <v>0</v>
      </c>
      <c r="G33" s="66">
        <v>0</v>
      </c>
      <c r="H33" s="66">
        <v>0</v>
      </c>
      <c r="I33" s="66">
        <v>4468800</v>
      </c>
      <c r="J33" s="106">
        <f t="shared" ref="J33:N33" si="2">SUM(J26:J32)</f>
        <v>401678000</v>
      </c>
      <c r="K33" s="106">
        <f t="shared" si="2"/>
        <v>847105246</v>
      </c>
      <c r="L33" s="106">
        <f t="shared" si="2"/>
        <v>929216926</v>
      </c>
      <c r="M33" s="106">
        <f t="shared" si="2"/>
        <v>949216926</v>
      </c>
      <c r="N33" s="106">
        <f t="shared" si="2"/>
        <v>969216926</v>
      </c>
      <c r="O33" s="106">
        <f>SUM(O26:O32)</f>
        <v>1203066172</v>
      </c>
      <c r="P33" s="105">
        <f t="shared" si="0"/>
        <v>233849246</v>
      </c>
    </row>
    <row r="34" spans="1:16" ht="29.1" customHeight="1">
      <c r="A34" s="249">
        <v>2230</v>
      </c>
      <c r="B34" s="106" t="s">
        <v>88</v>
      </c>
      <c r="C34" s="66">
        <v>0</v>
      </c>
      <c r="D34" s="66">
        <v>0</v>
      </c>
      <c r="E34" s="66"/>
      <c r="F34" s="66">
        <v>0</v>
      </c>
      <c r="G34" s="66">
        <v>0</v>
      </c>
      <c r="H34" s="66">
        <v>0</v>
      </c>
      <c r="I34" s="106">
        <f>SUM(I28:I33)</f>
        <v>7448000</v>
      </c>
      <c r="J34" s="106"/>
      <c r="K34" s="106"/>
      <c r="L34" s="106"/>
      <c r="M34" s="106"/>
      <c r="N34" s="106"/>
      <c r="O34" s="106"/>
      <c r="P34" s="100">
        <f t="shared" si="0"/>
        <v>0</v>
      </c>
    </row>
    <row r="35" spans="1:16" ht="29.1" customHeight="1">
      <c r="A35" s="169">
        <v>22301</v>
      </c>
      <c r="B35" s="66" t="s">
        <v>31</v>
      </c>
      <c r="C35" s="66">
        <v>0</v>
      </c>
      <c r="D35" s="66">
        <v>0</v>
      </c>
      <c r="E35" s="66"/>
      <c r="F35" s="66">
        <v>0</v>
      </c>
      <c r="G35" s="66">
        <v>0</v>
      </c>
      <c r="H35" s="66">
        <v>0</v>
      </c>
      <c r="I35" s="66">
        <v>0</v>
      </c>
      <c r="J35" s="66">
        <f>20000000*70%/2</f>
        <v>7000000</v>
      </c>
      <c r="K35" s="66">
        <f>20000000*70%/2*70%</f>
        <v>4900000</v>
      </c>
      <c r="L35" s="66">
        <f>20000000*70%/2*70%</f>
        <v>4900000</v>
      </c>
      <c r="M35" s="66">
        <v>4900000</v>
      </c>
      <c r="N35" s="66">
        <v>4900000</v>
      </c>
      <c r="O35" s="66">
        <v>4900000</v>
      </c>
      <c r="P35" s="100">
        <f t="shared" si="0"/>
        <v>0</v>
      </c>
    </row>
    <row r="36" spans="1:16" ht="29.1" customHeight="1">
      <c r="A36" s="169">
        <v>22302</v>
      </c>
      <c r="B36" s="66" t="s">
        <v>162</v>
      </c>
      <c r="C36" s="66">
        <v>0</v>
      </c>
      <c r="D36" s="66">
        <v>5000000</v>
      </c>
      <c r="E36" s="66">
        <v>6400000</v>
      </c>
      <c r="F36" s="66">
        <v>10000000</v>
      </c>
      <c r="G36" s="66">
        <v>7448000</v>
      </c>
      <c r="H36" s="66">
        <v>7448000</v>
      </c>
      <c r="I36" s="66">
        <v>12661600</v>
      </c>
      <c r="J36" s="66">
        <f>10000000/2</f>
        <v>5000000</v>
      </c>
      <c r="K36" s="66">
        <f>10000000/2*70%</f>
        <v>3500000</v>
      </c>
      <c r="L36" s="66">
        <f>10000000/2*70%</f>
        <v>3500000</v>
      </c>
      <c r="M36" s="66">
        <v>3500000</v>
      </c>
      <c r="N36" s="66">
        <v>3500000</v>
      </c>
      <c r="O36" s="66">
        <v>3500000</v>
      </c>
      <c r="P36" s="100">
        <f t="shared" si="0"/>
        <v>0</v>
      </c>
    </row>
    <row r="37" spans="1:16" ht="29.1" customHeight="1">
      <c r="A37" s="169"/>
      <c r="B37" s="106" t="s">
        <v>59</v>
      </c>
      <c r="C37" s="66"/>
      <c r="D37" s="66"/>
      <c r="E37" s="66"/>
      <c r="F37" s="66">
        <v>0</v>
      </c>
      <c r="G37" s="66">
        <v>0</v>
      </c>
      <c r="H37" s="66">
        <v>0</v>
      </c>
      <c r="I37" s="106">
        <f t="shared" ref="I37:N37" si="3">SUM(I35:I36)</f>
        <v>12661600</v>
      </c>
      <c r="J37" s="106">
        <f t="shared" si="3"/>
        <v>12000000</v>
      </c>
      <c r="K37" s="106">
        <f t="shared" si="3"/>
        <v>8400000</v>
      </c>
      <c r="L37" s="106">
        <f t="shared" si="3"/>
        <v>8400000</v>
      </c>
      <c r="M37" s="106">
        <f t="shared" si="3"/>
        <v>8400000</v>
      </c>
      <c r="N37" s="106">
        <f t="shared" si="3"/>
        <v>8400000</v>
      </c>
      <c r="O37" s="106">
        <f>SUM(O35:O36)</f>
        <v>8400000</v>
      </c>
      <c r="P37" s="105">
        <f t="shared" si="0"/>
        <v>0</v>
      </c>
    </row>
    <row r="38" spans="1:16" ht="29.1" customHeight="1">
      <c r="A38" s="249">
        <v>230</v>
      </c>
      <c r="B38" s="106" t="s">
        <v>165</v>
      </c>
      <c r="C38" s="106">
        <v>0</v>
      </c>
      <c r="D38" s="106">
        <f>SUM(D25:D36)</f>
        <v>31000000</v>
      </c>
      <c r="E38" s="106">
        <f>SUM(E25:E36)</f>
        <v>45926400</v>
      </c>
      <c r="F38" s="106">
        <f>SUM(F25:F37)</f>
        <v>50000000</v>
      </c>
      <c r="G38" s="106">
        <f>SUM(G25:G37)</f>
        <v>44688000</v>
      </c>
      <c r="H38" s="106">
        <f>SUM(H25:H37)</f>
        <v>66068000</v>
      </c>
      <c r="I38" s="106" t="e">
        <f>I37+I34+I25+I17+#REF!</f>
        <v>#REF!</v>
      </c>
      <c r="J38" s="106"/>
      <c r="K38" s="106"/>
      <c r="L38" s="106"/>
      <c r="M38" s="106"/>
      <c r="N38" s="106"/>
      <c r="O38" s="106"/>
      <c r="P38" s="100">
        <f t="shared" si="0"/>
        <v>0</v>
      </c>
    </row>
    <row r="39" spans="1:16" ht="29.1" customHeight="1">
      <c r="A39" s="249">
        <v>2310</v>
      </c>
      <c r="B39" s="106" t="s">
        <v>164</v>
      </c>
      <c r="C39" s="66"/>
      <c r="D39" s="66">
        <v>0</v>
      </c>
      <c r="E39" s="66"/>
      <c r="F39" s="66"/>
      <c r="G39" s="66"/>
      <c r="H39" s="66"/>
      <c r="I39" s="66"/>
      <c r="J39" s="133"/>
      <c r="K39" s="133"/>
      <c r="L39" s="66"/>
      <c r="M39" s="66"/>
      <c r="N39" s="66"/>
      <c r="O39" s="66"/>
      <c r="P39" s="100">
        <f t="shared" si="0"/>
        <v>0</v>
      </c>
    </row>
    <row r="40" spans="1:16" ht="29.1" customHeight="1">
      <c r="A40" s="169">
        <v>23101</v>
      </c>
      <c r="B40" s="66" t="s">
        <v>172</v>
      </c>
      <c r="C40" s="66"/>
      <c r="D40" s="66" t="e">
        <f>#REF!-D39</f>
        <v>#REF!</v>
      </c>
      <c r="E40" s="66"/>
      <c r="F40" s="66"/>
      <c r="G40" s="66"/>
      <c r="H40" s="66"/>
      <c r="I40" s="66"/>
      <c r="J40" s="66">
        <v>30000000</v>
      </c>
      <c r="K40" s="66">
        <f>30000000*70%</f>
        <v>21000000</v>
      </c>
      <c r="L40" s="66">
        <v>0</v>
      </c>
      <c r="M40" s="66">
        <v>24000000</v>
      </c>
      <c r="N40" s="66">
        <v>24000000</v>
      </c>
      <c r="O40" s="66">
        <v>24000000</v>
      </c>
      <c r="P40" s="100">
        <f t="shared" si="0"/>
        <v>0</v>
      </c>
    </row>
    <row r="41" spans="1:16" ht="29.1" customHeight="1">
      <c r="A41" s="169">
        <v>23102</v>
      </c>
      <c r="B41" s="66" t="s">
        <v>173</v>
      </c>
      <c r="C41" s="118"/>
      <c r="D41" s="118"/>
      <c r="E41" s="118"/>
      <c r="F41" s="118"/>
      <c r="G41" s="118"/>
      <c r="H41" s="118"/>
      <c r="I41" s="118"/>
      <c r="J41" s="66">
        <f>216380000/2</f>
        <v>108190000</v>
      </c>
      <c r="K41" s="66">
        <f>216380000/2*70%</f>
        <v>75733000</v>
      </c>
      <c r="L41" s="66">
        <v>210000000</v>
      </c>
      <c r="M41" s="66"/>
      <c r="N41" s="66">
        <v>150000000</v>
      </c>
      <c r="O41" s="66">
        <v>0</v>
      </c>
      <c r="P41" s="100">
        <f t="shared" si="0"/>
        <v>-150000000</v>
      </c>
    </row>
    <row r="42" spans="1:16" ht="29.1" customHeight="1">
      <c r="A42" s="169">
        <v>23103</v>
      </c>
      <c r="B42" s="66" t="s">
        <v>106</v>
      </c>
      <c r="C42" s="118"/>
      <c r="D42" s="118"/>
      <c r="E42" s="118"/>
      <c r="F42" s="118"/>
      <c r="G42" s="118"/>
      <c r="H42" s="118"/>
      <c r="I42" s="118"/>
      <c r="J42" s="116">
        <f>5000000/2</f>
        <v>2500000</v>
      </c>
      <c r="K42" s="116">
        <f>5000000/2*70%</f>
        <v>1750000</v>
      </c>
      <c r="L42" s="66">
        <v>0</v>
      </c>
      <c r="M42" s="66">
        <v>0</v>
      </c>
      <c r="N42" s="66">
        <v>0</v>
      </c>
      <c r="O42" s="66">
        <v>0</v>
      </c>
      <c r="P42" s="100">
        <f t="shared" si="0"/>
        <v>0</v>
      </c>
    </row>
    <row r="43" spans="1:16" ht="29.1" customHeight="1">
      <c r="A43" s="169">
        <v>23104</v>
      </c>
      <c r="B43" s="66" t="s">
        <v>107</v>
      </c>
      <c r="C43" s="118"/>
      <c r="D43" s="118"/>
      <c r="E43" s="118"/>
      <c r="F43" s="118"/>
      <c r="G43" s="118"/>
      <c r="H43" s="118"/>
      <c r="I43" s="118"/>
      <c r="J43" s="116">
        <f>5000000/2</f>
        <v>2500000</v>
      </c>
      <c r="K43" s="116">
        <f>5000000/2*70%</f>
        <v>1750000</v>
      </c>
      <c r="L43" s="66">
        <v>0</v>
      </c>
      <c r="M43" s="66">
        <v>0</v>
      </c>
      <c r="N43" s="66">
        <v>0</v>
      </c>
      <c r="O43" s="66">
        <v>0</v>
      </c>
      <c r="P43" s="100">
        <f t="shared" si="0"/>
        <v>0</v>
      </c>
    </row>
    <row r="44" spans="1:16" ht="29.1" customHeight="1">
      <c r="A44" s="169"/>
      <c r="B44" s="106" t="s">
        <v>59</v>
      </c>
      <c r="C44" s="118"/>
      <c r="D44" s="118"/>
      <c r="E44" s="118"/>
      <c r="F44" s="118"/>
      <c r="G44" s="118"/>
      <c r="H44" s="118"/>
      <c r="I44" s="118"/>
      <c r="J44" s="117">
        <f t="shared" ref="J44:N44" si="4">SUM(J40:J43)</f>
        <v>143190000</v>
      </c>
      <c r="K44" s="117">
        <f t="shared" si="4"/>
        <v>100233000</v>
      </c>
      <c r="L44" s="106">
        <f t="shared" si="4"/>
        <v>210000000</v>
      </c>
      <c r="M44" s="106">
        <f t="shared" si="4"/>
        <v>24000000</v>
      </c>
      <c r="N44" s="106">
        <f t="shared" si="4"/>
        <v>174000000</v>
      </c>
      <c r="O44" s="106">
        <f>SUM(O40:O43)</f>
        <v>24000000</v>
      </c>
      <c r="P44" s="105">
        <f t="shared" si="0"/>
        <v>-150000000</v>
      </c>
    </row>
    <row r="45" spans="1:16" ht="29.1" customHeight="1">
      <c r="A45" s="169"/>
      <c r="B45" s="106" t="s">
        <v>18</v>
      </c>
      <c r="C45" s="118"/>
      <c r="D45" s="118"/>
      <c r="E45" s="118"/>
      <c r="F45" s="118"/>
      <c r="G45" s="118"/>
      <c r="H45" s="118"/>
      <c r="I45" s="118"/>
      <c r="J45" s="117">
        <f t="shared" ref="J45:N45" si="5">J44+J37+J33+J24+J9</f>
        <v>1619068000</v>
      </c>
      <c r="K45" s="117">
        <f t="shared" si="5"/>
        <v>2598135846</v>
      </c>
      <c r="L45" s="106">
        <f t="shared" si="5"/>
        <v>3214534526</v>
      </c>
      <c r="M45" s="106">
        <f t="shared" si="5"/>
        <v>3048534526</v>
      </c>
      <c r="N45" s="106">
        <f t="shared" si="5"/>
        <v>3289778046</v>
      </c>
      <c r="O45" s="106">
        <f>O44+O37+O33+O24+O9</f>
        <v>4545434652</v>
      </c>
      <c r="P45" s="105">
        <f t="shared" si="0"/>
        <v>1255656606</v>
      </c>
    </row>
    <row r="47" spans="1:16" ht="29.1" customHeight="1">
      <c r="L47" s="365"/>
      <c r="M47" s="365"/>
      <c r="N47" s="365"/>
      <c r="O47" s="365"/>
    </row>
  </sheetData>
  <pageMargins left="0.7" right="0.42" top="0.48" bottom="0.26" header="0.17" footer="0.17"/>
  <pageSetup scale="55" orientation="portrait" r:id="rId1"/>
  <headerFooter>
    <oddHeader>&amp;C&amp;"Algerian,Bold"&amp;36LAANTA SOCDAALKA</oddHeader>
    <oddFooter>&amp;R&amp;"Times New Roman,Bold"&amp;12 24</oddFooter>
  </headerFooter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topLeftCell="A130" zoomScale="58" zoomScaleNormal="100" zoomScaleSheetLayoutView="58" workbookViewId="0">
      <selection activeCell="K27" sqref="K27"/>
    </sheetView>
  </sheetViews>
  <sheetFormatPr defaultColWidth="35.33203125" defaultRowHeight="23.1" customHeight="1"/>
  <cols>
    <col min="1" max="1" width="14" style="201" customWidth="1"/>
    <col min="2" max="2" width="11.83203125" style="190" customWidth="1"/>
    <col min="3" max="10" width="35.33203125" style="190"/>
    <col min="11" max="11" width="35.33203125" style="190" customWidth="1"/>
    <col min="12" max="12" width="41.5" style="190" customWidth="1"/>
    <col min="13" max="16384" width="35.33203125" style="190"/>
  </cols>
  <sheetData>
    <row r="1" spans="1:12" ht="23.1" customHeight="1">
      <c r="A1" s="186" t="s">
        <v>877</v>
      </c>
      <c r="B1" s="187" t="s">
        <v>21</v>
      </c>
      <c r="C1" s="188"/>
      <c r="D1" s="189">
        <v>210</v>
      </c>
      <c r="E1" s="189">
        <v>2210</v>
      </c>
      <c r="F1" s="189">
        <v>2220</v>
      </c>
      <c r="G1" s="189">
        <v>2230</v>
      </c>
      <c r="H1" s="189">
        <v>2310</v>
      </c>
      <c r="I1" s="189">
        <v>2320</v>
      </c>
      <c r="J1" s="189">
        <v>2630</v>
      </c>
      <c r="K1" s="189">
        <v>27400</v>
      </c>
      <c r="L1" s="189" t="s">
        <v>37</v>
      </c>
    </row>
    <row r="2" spans="1:12" ht="23.1" customHeight="1">
      <c r="A2" s="191">
        <v>1</v>
      </c>
      <c r="B2" s="192" t="s">
        <v>819</v>
      </c>
      <c r="C2" s="144" t="s">
        <v>58</v>
      </c>
      <c r="D2" s="145">
        <f>'011-012'!L7</f>
        <v>819000000</v>
      </c>
      <c r="E2" s="145"/>
      <c r="F2" s="145"/>
      <c r="G2" s="145"/>
      <c r="H2" s="145"/>
      <c r="I2" s="145"/>
      <c r="J2" s="145"/>
      <c r="K2" s="145"/>
      <c r="L2" s="145">
        <f>SUM(D2:K2)</f>
        <v>819000000</v>
      </c>
    </row>
    <row r="3" spans="1:12" ht="23.1" customHeight="1">
      <c r="A3" s="191">
        <v>1</v>
      </c>
      <c r="B3" s="192" t="s">
        <v>820</v>
      </c>
      <c r="C3" s="144" t="s">
        <v>57</v>
      </c>
      <c r="D3" s="145">
        <f>'011-012'!L21</f>
        <v>585000000</v>
      </c>
      <c r="E3" s="145"/>
      <c r="F3" s="145"/>
      <c r="G3" s="145"/>
      <c r="H3" s="145"/>
      <c r="I3" s="145"/>
      <c r="J3" s="145"/>
      <c r="K3" s="145"/>
      <c r="L3" s="145">
        <f t="shared" ref="L3:L60" si="0">SUM(D3:K3)</f>
        <v>585000000</v>
      </c>
    </row>
    <row r="4" spans="1:12" ht="23.1" customHeight="1">
      <c r="A4" s="191">
        <v>2</v>
      </c>
      <c r="B4" s="192" t="s">
        <v>823</v>
      </c>
      <c r="C4" s="144" t="s">
        <v>705</v>
      </c>
      <c r="D4" s="145">
        <f>'013'!M10</f>
        <v>751812480</v>
      </c>
      <c r="E4" s="145">
        <f>'013'!M23</f>
        <v>462583832</v>
      </c>
      <c r="F4" s="145">
        <f>'013'!M29</f>
        <v>247752140.19999999</v>
      </c>
      <c r="G4" s="145">
        <f>'013'!M34</f>
        <v>45000000</v>
      </c>
      <c r="H4" s="145"/>
      <c r="I4" s="145"/>
      <c r="J4" s="145"/>
      <c r="K4" s="145"/>
      <c r="L4" s="145">
        <f t="shared" si="0"/>
        <v>1507148452.2</v>
      </c>
    </row>
    <row r="5" spans="1:12" ht="23.1" customHeight="1">
      <c r="A5" s="191">
        <v>3</v>
      </c>
      <c r="B5" s="192" t="s">
        <v>824</v>
      </c>
      <c r="C5" s="144" t="s">
        <v>55</v>
      </c>
      <c r="D5" s="145">
        <f>'021'!Q12</f>
        <v>17232178720</v>
      </c>
      <c r="E5" s="145">
        <f>'021'!Q30</f>
        <v>2151000000</v>
      </c>
      <c r="F5" s="145">
        <f>'021'!Q37</f>
        <v>320000000</v>
      </c>
      <c r="G5" s="145">
        <f>'021'!Q42</f>
        <v>100000000</v>
      </c>
      <c r="H5" s="145">
        <f>'021'!Q47</f>
        <v>396000000</v>
      </c>
      <c r="I5" s="145"/>
      <c r="J5" s="145"/>
      <c r="K5" s="145"/>
      <c r="L5" s="145">
        <f t="shared" si="0"/>
        <v>20199178720</v>
      </c>
    </row>
    <row r="6" spans="1:12" ht="23.1" customHeight="1">
      <c r="A6" s="191">
        <v>4</v>
      </c>
      <c r="B6" s="192" t="s">
        <v>822</v>
      </c>
      <c r="C6" s="144" t="s">
        <v>56</v>
      </c>
      <c r="D6" s="145">
        <f>'031'!P13</f>
        <v>17342124320</v>
      </c>
      <c r="E6" s="145">
        <f>'031'!P31</f>
        <v>1015700000</v>
      </c>
      <c r="F6" s="145">
        <f>'031'!P38</f>
        <v>320000000</v>
      </c>
      <c r="G6" s="145">
        <f>'031'!P43</f>
        <v>50000000</v>
      </c>
      <c r="H6" s="145"/>
      <c r="I6" s="145"/>
      <c r="J6" s="145"/>
      <c r="K6" s="145"/>
      <c r="L6" s="145">
        <f t="shared" si="0"/>
        <v>18727824320</v>
      </c>
    </row>
    <row r="7" spans="1:12" ht="23.1" customHeight="1">
      <c r="A7" s="191">
        <v>5</v>
      </c>
      <c r="B7" s="192" t="s">
        <v>825</v>
      </c>
      <c r="C7" s="144" t="s">
        <v>153</v>
      </c>
      <c r="D7" s="145">
        <f>'041'!P10</f>
        <v>1733677440</v>
      </c>
      <c r="E7" s="145">
        <f>'041'!P27</f>
        <v>323971280</v>
      </c>
      <c r="F7" s="145">
        <f>'041'!P35</f>
        <v>278274240</v>
      </c>
      <c r="G7" s="145">
        <f>'041'!P40</f>
        <v>35827200</v>
      </c>
      <c r="H7" s="145">
        <f>'041'!P48</f>
        <v>135000000</v>
      </c>
      <c r="I7" s="145"/>
      <c r="J7" s="145"/>
      <c r="K7" s="145"/>
      <c r="L7" s="145">
        <f t="shared" si="0"/>
        <v>2506750160</v>
      </c>
    </row>
    <row r="8" spans="1:12" ht="23.1" customHeight="1">
      <c r="A8" s="191">
        <v>6</v>
      </c>
      <c r="B8" s="192" t="s">
        <v>826</v>
      </c>
      <c r="C8" s="144" t="s">
        <v>303</v>
      </c>
      <c r="D8" s="145">
        <f>'051'!P11</f>
        <v>2935137600</v>
      </c>
      <c r="E8" s="145">
        <f>'051'!P28</f>
        <v>254450000</v>
      </c>
      <c r="F8" s="145">
        <f>'051'!P36</f>
        <v>343000000</v>
      </c>
      <c r="G8" s="145">
        <f>'051'!P41</f>
        <v>57000000</v>
      </c>
      <c r="H8" s="145"/>
      <c r="I8" s="145"/>
      <c r="J8" s="145"/>
      <c r="K8" s="145"/>
      <c r="L8" s="145">
        <f t="shared" si="0"/>
        <v>3589587600</v>
      </c>
    </row>
    <row r="9" spans="1:12" ht="23.1" customHeight="1">
      <c r="A9" s="191">
        <v>7</v>
      </c>
      <c r="B9" s="192" t="s">
        <v>827</v>
      </c>
      <c r="C9" s="144" t="s">
        <v>53</v>
      </c>
      <c r="D9" s="145">
        <f>'061'!P13</f>
        <v>3940686080</v>
      </c>
      <c r="E9" s="145">
        <f>'061'!P26</f>
        <v>880150120</v>
      </c>
      <c r="F9" s="145">
        <f>'061'!P34</f>
        <v>114588560</v>
      </c>
      <c r="G9" s="145">
        <f>'061'!P39</f>
        <v>3890685.4</v>
      </c>
      <c r="H9" s="145"/>
      <c r="I9" s="145">
        <f>'061'!P49</f>
        <v>1790000000</v>
      </c>
      <c r="J9" s="145">
        <f>'061'!P52</f>
        <v>1761665200</v>
      </c>
      <c r="K9" s="145"/>
      <c r="L9" s="145">
        <f t="shared" si="0"/>
        <v>8490980645.3999996</v>
      </c>
    </row>
    <row r="10" spans="1:12" ht="23.1" customHeight="1">
      <c r="A10" s="191">
        <v>8</v>
      </c>
      <c r="B10" s="192" t="s">
        <v>828</v>
      </c>
      <c r="C10" s="144" t="s">
        <v>52</v>
      </c>
      <c r="D10" s="145">
        <f>'071'!Q11</f>
        <v>2254618560</v>
      </c>
      <c r="E10" s="145">
        <f>'071'!Q28</f>
        <v>450778344</v>
      </c>
      <c r="F10" s="145">
        <f>'071'!Q36</f>
        <v>239921920</v>
      </c>
      <c r="G10" s="145">
        <f>'071'!Q41</f>
        <v>46623360</v>
      </c>
      <c r="H10" s="145">
        <f>'071'!Q48</f>
        <v>300000000</v>
      </c>
      <c r="I10" s="145">
        <f>'071'!Q51</f>
        <v>702000000</v>
      </c>
      <c r="J10" s="145"/>
      <c r="K10" s="145"/>
      <c r="L10" s="145">
        <f t="shared" si="0"/>
        <v>3993942184</v>
      </c>
    </row>
    <row r="11" spans="1:12" ht="23.1" customHeight="1">
      <c r="A11" s="191">
        <v>9</v>
      </c>
      <c r="B11" s="192" t="s">
        <v>829</v>
      </c>
      <c r="C11" s="144" t="s">
        <v>703</v>
      </c>
      <c r="D11" s="145">
        <f>'081'!O12</f>
        <v>4469842320</v>
      </c>
      <c r="E11" s="145">
        <f>'081'!O31</f>
        <v>31619318105</v>
      </c>
      <c r="F11" s="145">
        <f>'081'!O39</f>
        <v>1976175500</v>
      </c>
      <c r="G11" s="145">
        <f>'081'!O43</f>
        <v>142557645</v>
      </c>
      <c r="H11" s="145">
        <f>'081'!O50</f>
        <v>308147000</v>
      </c>
      <c r="I11" s="145"/>
      <c r="J11" s="145"/>
      <c r="K11" s="145"/>
      <c r="L11" s="145">
        <f t="shared" si="0"/>
        <v>38516040570</v>
      </c>
    </row>
    <row r="12" spans="1:12" ht="23.1" customHeight="1">
      <c r="A12" s="191">
        <v>10</v>
      </c>
      <c r="B12" s="192" t="s">
        <v>830</v>
      </c>
      <c r="C12" s="144" t="s">
        <v>146</v>
      </c>
      <c r="D12" s="145">
        <f>'082'!Q11</f>
        <v>4802713080</v>
      </c>
      <c r="E12" s="145">
        <f>'082'!Q25</f>
        <v>1220534999</v>
      </c>
      <c r="F12" s="145">
        <f>'082'!Q35</f>
        <v>8105661223</v>
      </c>
      <c r="G12" s="145">
        <f>'082'!Q40</f>
        <v>253412500</v>
      </c>
      <c r="H12" s="145">
        <f>'082'!Q48</f>
        <v>170000000</v>
      </c>
      <c r="I12" s="145">
        <f>'082'!Q51</f>
        <v>800000000</v>
      </c>
      <c r="J12" s="145"/>
      <c r="K12" s="145"/>
      <c r="L12" s="145">
        <f t="shared" si="0"/>
        <v>15352321802</v>
      </c>
    </row>
    <row r="13" spans="1:12" ht="23.1" customHeight="1">
      <c r="A13" s="191">
        <v>11</v>
      </c>
      <c r="B13" s="192" t="s">
        <v>831</v>
      </c>
      <c r="C13" s="144" t="s">
        <v>361</v>
      </c>
      <c r="D13" s="145">
        <f>'083'!G7</f>
        <v>325979520</v>
      </c>
      <c r="E13" s="145">
        <f>'083'!G23</f>
        <v>184150000</v>
      </c>
      <c r="F13" s="145">
        <f>'083'!G31</f>
        <v>121600000</v>
      </c>
      <c r="G13" s="145">
        <f>'083'!G35</f>
        <v>26500000</v>
      </c>
      <c r="H13" s="145"/>
      <c r="I13" s="145"/>
      <c r="J13" s="145"/>
      <c r="K13" s="145"/>
      <c r="L13" s="145">
        <f t="shared" si="0"/>
        <v>658229520</v>
      </c>
    </row>
    <row r="14" spans="1:12" ht="23.1" customHeight="1">
      <c r="A14" s="191">
        <v>12</v>
      </c>
      <c r="B14" s="192" t="s">
        <v>832</v>
      </c>
      <c r="C14" s="144" t="s">
        <v>573</v>
      </c>
      <c r="D14" s="145">
        <f>'084'!Q6</f>
        <v>4866798720</v>
      </c>
      <c r="E14" s="145">
        <f>'084'!Q21</f>
        <v>1330000000</v>
      </c>
      <c r="F14" s="145">
        <f>'084'!Q30</f>
        <v>1966825380</v>
      </c>
      <c r="G14" s="145">
        <f>'084'!Q35</f>
        <v>330000000</v>
      </c>
      <c r="H14" s="145">
        <f>'084'!Q42</f>
        <v>195000000</v>
      </c>
      <c r="I14" s="145"/>
      <c r="J14" s="145"/>
      <c r="K14" s="145"/>
      <c r="L14" s="145">
        <f t="shared" si="0"/>
        <v>8688624100</v>
      </c>
    </row>
    <row r="15" spans="1:12" ht="23.1" customHeight="1">
      <c r="A15" s="191">
        <v>13</v>
      </c>
      <c r="B15" s="192" t="s">
        <v>833</v>
      </c>
      <c r="C15" s="144" t="s">
        <v>574</v>
      </c>
      <c r="D15" s="145">
        <f>'085'!S8</f>
        <v>600000000</v>
      </c>
      <c r="E15" s="145">
        <f>'085'!S19</f>
        <v>995550000</v>
      </c>
      <c r="F15" s="145"/>
      <c r="G15" s="145"/>
      <c r="H15" s="145"/>
      <c r="I15" s="145"/>
      <c r="J15" s="145"/>
      <c r="K15" s="145"/>
      <c r="L15" s="145">
        <f t="shared" si="0"/>
        <v>1595550000</v>
      </c>
    </row>
    <row r="16" spans="1:12" ht="23.1" customHeight="1">
      <c r="A16" s="191">
        <v>14</v>
      </c>
      <c r="B16" s="192" t="s">
        <v>834</v>
      </c>
      <c r="C16" s="144" t="s">
        <v>81</v>
      </c>
      <c r="D16" s="145">
        <f>'091'!Q10</f>
        <v>1287201600</v>
      </c>
      <c r="E16" s="145">
        <f>'091'!Q31</f>
        <v>13507330288</v>
      </c>
      <c r="F16" s="145">
        <f>'091'!Q37</f>
        <v>334315600</v>
      </c>
      <c r="G16" s="145">
        <f>'091'!Q42</f>
        <v>110000000</v>
      </c>
      <c r="H16" s="145">
        <f>'091'!Q49</f>
        <v>450000000</v>
      </c>
      <c r="I16" s="145">
        <f>'091'!Q52</f>
        <v>522000000</v>
      </c>
      <c r="J16" s="145"/>
      <c r="K16" s="145"/>
      <c r="L16" s="145">
        <f t="shared" si="0"/>
        <v>16210847488</v>
      </c>
    </row>
    <row r="17" spans="1:12" ht="23.1" customHeight="1">
      <c r="A17" s="191">
        <v>15</v>
      </c>
      <c r="B17" s="193">
        <v>101</v>
      </c>
      <c r="C17" s="144" t="s">
        <v>228</v>
      </c>
      <c r="D17" s="145">
        <f>'101'!Q13</f>
        <v>3135313920</v>
      </c>
      <c r="E17" s="145">
        <f>'101'!Q27</f>
        <v>356072000</v>
      </c>
      <c r="F17" s="145">
        <f>'101'!Q33</f>
        <v>284040000</v>
      </c>
      <c r="G17" s="145">
        <f>'101'!Q37</f>
        <v>33500000</v>
      </c>
      <c r="H17" s="145">
        <f>'101'!Q44</f>
        <v>120000000</v>
      </c>
      <c r="I17" s="145">
        <f>'101'!Q47</f>
        <v>182808000</v>
      </c>
      <c r="J17" s="145"/>
      <c r="K17" s="145"/>
      <c r="L17" s="145">
        <f t="shared" si="0"/>
        <v>4111733920</v>
      </c>
    </row>
    <row r="18" spans="1:12" ht="23.1" customHeight="1">
      <c r="A18" s="191">
        <v>16</v>
      </c>
      <c r="B18" s="193">
        <v>102</v>
      </c>
      <c r="C18" s="144" t="s">
        <v>152</v>
      </c>
      <c r="D18" s="145">
        <f>'102'!Q11</f>
        <v>19544071040</v>
      </c>
      <c r="E18" s="145">
        <f>'102'!Q26</f>
        <v>867400000</v>
      </c>
      <c r="F18" s="145">
        <f>'102'!Q36</f>
        <v>14365851126</v>
      </c>
      <c r="G18" s="145">
        <f>'102'!Q40</f>
        <v>418596470</v>
      </c>
      <c r="H18" s="145">
        <f>'102'!Q46</f>
        <v>21000000</v>
      </c>
      <c r="I18" s="145">
        <f>'102'!Q49</f>
        <v>1800000000</v>
      </c>
      <c r="J18" s="145"/>
      <c r="K18" s="145"/>
      <c r="L18" s="145">
        <f t="shared" si="0"/>
        <v>37016918636</v>
      </c>
    </row>
    <row r="19" spans="1:12" ht="23.1" customHeight="1">
      <c r="A19" s="191">
        <v>17</v>
      </c>
      <c r="B19" s="193">
        <v>103</v>
      </c>
      <c r="C19" s="144" t="s">
        <v>151</v>
      </c>
      <c r="D19" s="145">
        <f>'103'!P13</f>
        <v>9566464800</v>
      </c>
      <c r="E19" s="145">
        <f>'103'!P28</f>
        <v>299149800</v>
      </c>
      <c r="F19" s="145">
        <f>'103'!P34</f>
        <v>386500000</v>
      </c>
      <c r="G19" s="145">
        <f>'103'!P39</f>
        <v>31500000</v>
      </c>
      <c r="H19" s="145">
        <f>'103'!P46</f>
        <v>480000000</v>
      </c>
      <c r="I19" s="145">
        <f>'103'!P49</f>
        <v>528000000</v>
      </c>
      <c r="J19" s="145"/>
      <c r="K19" s="145"/>
      <c r="L19" s="145">
        <f t="shared" si="0"/>
        <v>11291614600</v>
      </c>
    </row>
    <row r="20" spans="1:12" ht="23.1" customHeight="1">
      <c r="A20" s="191">
        <v>18</v>
      </c>
      <c r="B20" s="193">
        <v>104</v>
      </c>
      <c r="C20" s="144" t="s">
        <v>147</v>
      </c>
      <c r="D20" s="145">
        <f>'104'!Q11</f>
        <v>1580136960</v>
      </c>
      <c r="E20" s="145">
        <f>'104'!Q26</f>
        <v>415200000</v>
      </c>
      <c r="F20" s="145">
        <f>'104'!Q33</f>
        <v>163600000</v>
      </c>
      <c r="G20" s="145">
        <f>'104'!Q38</f>
        <v>50000000</v>
      </c>
      <c r="H20" s="145">
        <f>'104'!Q42</f>
        <v>15000000</v>
      </c>
      <c r="I20" s="145"/>
      <c r="J20" s="145"/>
      <c r="K20" s="145"/>
      <c r="L20" s="145">
        <f t="shared" si="0"/>
        <v>2223936960</v>
      </c>
    </row>
    <row r="21" spans="1:12" ht="23.1" customHeight="1">
      <c r="A21" s="191">
        <v>19</v>
      </c>
      <c r="B21" s="193">
        <v>105</v>
      </c>
      <c r="C21" s="144" t="s">
        <v>148</v>
      </c>
      <c r="D21" s="145">
        <f>'105'!R10</f>
        <v>514780800</v>
      </c>
      <c r="E21" s="145">
        <f>'105'!R19</f>
        <v>290200000</v>
      </c>
      <c r="F21" s="145">
        <f>'105'!R24</f>
        <v>63400000</v>
      </c>
      <c r="G21" s="145">
        <f>'105'!R29</f>
        <v>22000000</v>
      </c>
      <c r="H21" s="145"/>
      <c r="I21" s="145"/>
      <c r="J21" s="145"/>
      <c r="K21" s="145"/>
      <c r="L21" s="145">
        <f t="shared" si="0"/>
        <v>890380800</v>
      </c>
    </row>
    <row r="22" spans="1:12" ht="23.1" customHeight="1">
      <c r="A22" s="191">
        <v>21</v>
      </c>
      <c r="B22" s="193">
        <v>111</v>
      </c>
      <c r="C22" s="144" t="s">
        <v>73</v>
      </c>
      <c r="D22" s="145">
        <f>'111'!Q9</f>
        <v>8180696640</v>
      </c>
      <c r="E22" s="145">
        <f>'111'!Q26</f>
        <v>10086346231</v>
      </c>
      <c r="F22" s="145">
        <f>'111'!Q33</f>
        <v>895723680</v>
      </c>
      <c r="G22" s="145">
        <f>'111'!Q38</f>
        <v>50030745</v>
      </c>
      <c r="H22" s="145">
        <f>'111'!Q45</f>
        <v>50000000</v>
      </c>
      <c r="I22" s="145"/>
      <c r="J22" s="145"/>
      <c r="K22" s="145"/>
      <c r="L22" s="145">
        <f t="shared" si="0"/>
        <v>19262797296</v>
      </c>
    </row>
    <row r="23" spans="1:12" ht="23.1" customHeight="1">
      <c r="A23" s="191">
        <v>22</v>
      </c>
      <c r="B23" s="193">
        <v>112</v>
      </c>
      <c r="C23" s="144" t="s">
        <v>149</v>
      </c>
      <c r="D23" s="145">
        <f>'112'!S6</f>
        <v>56071153600</v>
      </c>
      <c r="E23" s="145">
        <f>'112'!S24</f>
        <v>2007138363</v>
      </c>
      <c r="F23" s="145">
        <f>'112'!S34</f>
        <v>17816018091</v>
      </c>
      <c r="G23" s="145">
        <f>'112'!S39</f>
        <v>860000000</v>
      </c>
      <c r="H23" s="145"/>
      <c r="I23" s="145"/>
      <c r="J23" s="145"/>
      <c r="K23" s="145"/>
      <c r="L23" s="145">
        <f t="shared" si="0"/>
        <v>76754310054</v>
      </c>
    </row>
    <row r="24" spans="1:12" ht="23.1" customHeight="1">
      <c r="A24" s="191">
        <v>23</v>
      </c>
      <c r="B24" s="193">
        <v>113</v>
      </c>
      <c r="C24" s="144" t="s">
        <v>46</v>
      </c>
      <c r="D24" s="145">
        <f>'113'!M9</f>
        <v>5891181240</v>
      </c>
      <c r="E24" s="145">
        <f>'113'!M22</f>
        <v>230342187</v>
      </c>
      <c r="F24" s="145">
        <f>'113'!M30</f>
        <v>2063165680</v>
      </c>
      <c r="G24" s="145">
        <f>'113'!M34</f>
        <v>57385066.399999999</v>
      </c>
      <c r="H24" s="145"/>
      <c r="I24" s="145"/>
      <c r="J24" s="145"/>
      <c r="K24" s="145"/>
      <c r="L24" s="145">
        <f t="shared" si="0"/>
        <v>8242074173.3999996</v>
      </c>
    </row>
    <row r="25" spans="1:12" ht="23.1" customHeight="1">
      <c r="A25" s="191">
        <v>24</v>
      </c>
      <c r="B25" s="193">
        <v>114</v>
      </c>
      <c r="C25" s="144" t="s">
        <v>51</v>
      </c>
      <c r="D25" s="194">
        <f>'114'!P8</f>
        <v>564521280</v>
      </c>
      <c r="E25" s="145">
        <f>'114'!P24</f>
        <v>140000000</v>
      </c>
      <c r="F25" s="145">
        <f>'114'!P31</f>
        <v>159384480</v>
      </c>
      <c r="G25" s="145">
        <f>'114'!P35</f>
        <v>37968250</v>
      </c>
      <c r="H25" s="145"/>
      <c r="I25" s="145"/>
      <c r="J25" s="145"/>
      <c r="K25" s="145"/>
      <c r="L25" s="145">
        <f t="shared" si="0"/>
        <v>901874010</v>
      </c>
    </row>
    <row r="26" spans="1:12" ht="23.1" customHeight="1">
      <c r="A26" s="191">
        <v>25</v>
      </c>
      <c r="B26" s="193">
        <v>115</v>
      </c>
      <c r="C26" s="144" t="s">
        <v>97</v>
      </c>
      <c r="D26" s="145">
        <f>'115'!O9</f>
        <v>2700068480</v>
      </c>
      <c r="E26" s="145">
        <f>'115'!O24</f>
        <v>609900000</v>
      </c>
      <c r="F26" s="145">
        <f>'115'!O33</f>
        <v>1203066172</v>
      </c>
      <c r="G26" s="145">
        <f>'115'!O37</f>
        <v>8400000</v>
      </c>
      <c r="H26" s="145">
        <f>'115'!O44</f>
        <v>24000000</v>
      </c>
      <c r="I26" s="145"/>
      <c r="J26" s="145"/>
      <c r="K26" s="145"/>
      <c r="L26" s="145">
        <f t="shared" si="0"/>
        <v>4545434652</v>
      </c>
    </row>
    <row r="27" spans="1:12" ht="23.1" customHeight="1">
      <c r="A27" s="191">
        <v>26</v>
      </c>
      <c r="B27" s="193">
        <v>121</v>
      </c>
      <c r="C27" s="144" t="s">
        <v>598</v>
      </c>
      <c r="D27" s="145">
        <f>'121'!Q11</f>
        <v>9052322480</v>
      </c>
      <c r="E27" s="145">
        <f>'121'!Q29</f>
        <v>10444750672</v>
      </c>
      <c r="F27" s="145">
        <f>'121'!Q37</f>
        <v>1636495200</v>
      </c>
      <c r="G27" s="145">
        <f>'121'!Q41</f>
        <v>300000000</v>
      </c>
      <c r="H27" s="145">
        <f>'121'!Q49</f>
        <v>2235764000</v>
      </c>
      <c r="I27" s="145">
        <f>'121'!Q53</f>
        <v>100000000</v>
      </c>
      <c r="J27" s="145">
        <f>'121'!Q56</f>
        <v>1298125600</v>
      </c>
      <c r="K27" s="145"/>
      <c r="L27" s="145">
        <f t="shared" si="0"/>
        <v>25067457952</v>
      </c>
    </row>
    <row r="28" spans="1:12" ht="23.1" customHeight="1">
      <c r="A28" s="191">
        <v>27</v>
      </c>
      <c r="B28" s="193">
        <v>131</v>
      </c>
      <c r="C28" s="144" t="s">
        <v>150</v>
      </c>
      <c r="D28" s="145">
        <f>'131'!Q10</f>
        <v>1340703360</v>
      </c>
      <c r="E28" s="145">
        <f>'131'!Q24</f>
        <v>399138080</v>
      </c>
      <c r="F28" s="145">
        <f>'131'!Q31</f>
        <v>234115590</v>
      </c>
      <c r="G28" s="145">
        <f>'131'!Q35</f>
        <v>67416080</v>
      </c>
      <c r="H28" s="145">
        <f>'131'!Q41</f>
        <v>43000000</v>
      </c>
      <c r="I28" s="145">
        <f>'131'!Q44</f>
        <v>192000000</v>
      </c>
      <c r="J28" s="145"/>
      <c r="K28" s="145"/>
      <c r="L28" s="145">
        <f t="shared" si="0"/>
        <v>2276373110</v>
      </c>
    </row>
    <row r="29" spans="1:12" ht="23.1" customHeight="1">
      <c r="A29" s="191">
        <v>28</v>
      </c>
      <c r="B29" s="193">
        <v>132</v>
      </c>
      <c r="C29" s="144" t="s">
        <v>38</v>
      </c>
      <c r="D29" s="145">
        <f>'132'!Q7</f>
        <v>139746676080</v>
      </c>
      <c r="E29" s="145">
        <f>'132'!Q21</f>
        <v>4517586417.0100002</v>
      </c>
      <c r="F29" s="145">
        <f>'132'!Q31</f>
        <v>34928122970.699997</v>
      </c>
      <c r="G29" s="145">
        <f>'132'!Q36</f>
        <v>1142000000</v>
      </c>
      <c r="H29" s="145"/>
      <c r="I29" s="145"/>
      <c r="J29" s="145">
        <f>'132'!Q46</f>
        <v>500000000</v>
      </c>
      <c r="K29" s="145"/>
      <c r="L29" s="145">
        <f t="shared" si="0"/>
        <v>180834385467.71002</v>
      </c>
    </row>
    <row r="30" spans="1:12" ht="23.1" customHeight="1">
      <c r="A30" s="191">
        <v>29</v>
      </c>
      <c r="B30" s="193">
        <v>141</v>
      </c>
      <c r="C30" s="144" t="s">
        <v>225</v>
      </c>
      <c r="D30" s="145">
        <f>'141'!Q8</f>
        <v>1953232320</v>
      </c>
      <c r="E30" s="145">
        <f>'141'!Q26</f>
        <v>960002880</v>
      </c>
      <c r="F30" s="145">
        <f>'141'!Q32</f>
        <v>533708800</v>
      </c>
      <c r="G30" s="145">
        <f>'141'!Q37</f>
        <v>38500000</v>
      </c>
      <c r="H30" s="145"/>
      <c r="I30" s="145"/>
      <c r="J30" s="145"/>
      <c r="K30" s="145"/>
      <c r="L30" s="145">
        <f t="shared" si="0"/>
        <v>3485444000</v>
      </c>
    </row>
    <row r="31" spans="1:12" ht="23.1" customHeight="1">
      <c r="A31" s="191">
        <v>30</v>
      </c>
      <c r="B31" s="193">
        <v>151</v>
      </c>
      <c r="C31" s="144" t="s">
        <v>50</v>
      </c>
      <c r="D31" s="145">
        <f>'151'!Q11</f>
        <v>34778917120</v>
      </c>
      <c r="E31" s="145">
        <f>'151'!Q38</f>
        <v>14195376000</v>
      </c>
      <c r="F31" s="145">
        <f>'151'!Q49</f>
        <v>3785000000</v>
      </c>
      <c r="G31" s="145">
        <f>'151'!Q54</f>
        <v>500000000</v>
      </c>
      <c r="H31" s="145">
        <f>'151'!Q62</f>
        <v>380000000</v>
      </c>
      <c r="I31" s="145"/>
      <c r="J31" s="145"/>
      <c r="K31" s="145"/>
      <c r="L31" s="145">
        <f t="shared" si="0"/>
        <v>53639293120</v>
      </c>
    </row>
    <row r="32" spans="1:12" ht="23.1" customHeight="1">
      <c r="A32" s="191">
        <v>31</v>
      </c>
      <c r="B32" s="193">
        <v>152</v>
      </c>
      <c r="C32" s="144" t="s">
        <v>600</v>
      </c>
      <c r="D32" s="145">
        <f>'152'!S6</f>
        <v>3098049760</v>
      </c>
      <c r="E32" s="145">
        <f>'152'!S25</f>
        <v>97214211306</v>
      </c>
      <c r="F32" s="145">
        <f>'152'!S33</f>
        <v>10271520000</v>
      </c>
      <c r="G32" s="145"/>
      <c r="H32" s="145">
        <f>'152'!S41</f>
        <v>5880000000</v>
      </c>
      <c r="I32" s="145">
        <f>'152'!S48</f>
        <v>40630000000</v>
      </c>
      <c r="J32" s="145">
        <f>'152'!S57</f>
        <v>9792000000</v>
      </c>
      <c r="K32" s="145">
        <f>'152'!S63</f>
        <v>69367057180</v>
      </c>
      <c r="L32" s="145">
        <f t="shared" si="0"/>
        <v>236252838246</v>
      </c>
    </row>
    <row r="33" spans="1:12" ht="23.1" customHeight="1">
      <c r="A33" s="191">
        <v>32</v>
      </c>
      <c r="B33" s="193">
        <v>161</v>
      </c>
      <c r="C33" s="144" t="s">
        <v>706</v>
      </c>
      <c r="D33" s="145">
        <f>'161'!Q8</f>
        <v>3515493600</v>
      </c>
      <c r="E33" s="145">
        <f>'161'!Q23</f>
        <v>827827606</v>
      </c>
      <c r="F33" s="145">
        <f>'161'!Q30</f>
        <v>448571020</v>
      </c>
      <c r="G33" s="145">
        <f>'161'!Q34</f>
        <v>70000000</v>
      </c>
      <c r="H33" s="145">
        <f>'161'!Q39</f>
        <v>10000000</v>
      </c>
      <c r="I33" s="145">
        <f>'161'!Q42</f>
        <v>400000000</v>
      </c>
      <c r="J33" s="145"/>
      <c r="K33" s="145"/>
      <c r="L33" s="145">
        <f t="shared" si="0"/>
        <v>5271892226</v>
      </c>
    </row>
    <row r="34" spans="1:12" ht="23.1" customHeight="1">
      <c r="A34" s="191">
        <v>33</v>
      </c>
      <c r="B34" s="193">
        <v>171</v>
      </c>
      <c r="C34" s="144" t="s">
        <v>602</v>
      </c>
      <c r="D34" s="145">
        <f>'171'!R9</f>
        <v>1351336320</v>
      </c>
      <c r="E34" s="145">
        <f>'171'!R29</f>
        <v>801687555.10000002</v>
      </c>
      <c r="F34" s="145">
        <f>'171'!R36</f>
        <v>191155940.5</v>
      </c>
      <c r="G34" s="145">
        <f>'171'!R41</f>
        <v>78897120</v>
      </c>
      <c r="H34" s="145"/>
      <c r="I34" s="145"/>
      <c r="J34" s="145"/>
      <c r="K34" s="145"/>
      <c r="L34" s="145">
        <f t="shared" si="0"/>
        <v>2423076935.5999999</v>
      </c>
    </row>
    <row r="35" spans="1:12" ht="23.1" customHeight="1">
      <c r="A35" s="191">
        <v>34</v>
      </c>
      <c r="B35" s="193">
        <v>181</v>
      </c>
      <c r="C35" s="144" t="s">
        <v>704</v>
      </c>
      <c r="D35" s="145">
        <f>'181'!Q9</f>
        <v>1526799360</v>
      </c>
      <c r="E35" s="145">
        <f>'181'!Q23</f>
        <v>624148788</v>
      </c>
      <c r="F35" s="145">
        <f>'181'!Q28</f>
        <v>356862514</v>
      </c>
      <c r="G35" s="145">
        <f>'181'!Q33</f>
        <v>174213600</v>
      </c>
      <c r="H35" s="145">
        <f>'181'!Q41</f>
        <v>135000000</v>
      </c>
      <c r="I35" s="145"/>
      <c r="J35" s="145"/>
      <c r="K35" s="145"/>
      <c r="L35" s="145">
        <f t="shared" si="0"/>
        <v>2817024262</v>
      </c>
    </row>
    <row r="36" spans="1:12" ht="23.1" customHeight="1">
      <c r="A36" s="191">
        <v>35</v>
      </c>
      <c r="B36" s="193">
        <v>191</v>
      </c>
      <c r="C36" s="144" t="s">
        <v>63</v>
      </c>
      <c r="D36" s="145">
        <f>'191'!Q8</f>
        <v>2831558400</v>
      </c>
      <c r="E36" s="145">
        <f>'191'!Q25</f>
        <v>799299613</v>
      </c>
      <c r="F36" s="145">
        <f>'191'!Q33</f>
        <v>531988560</v>
      </c>
      <c r="G36" s="145">
        <f>'191'!Q38</f>
        <v>185000000</v>
      </c>
      <c r="H36" s="145">
        <f>'191'!Q45</f>
        <v>147085440</v>
      </c>
      <c r="I36" s="145"/>
      <c r="J36" s="145"/>
      <c r="K36" s="145"/>
      <c r="L36" s="145">
        <f t="shared" si="0"/>
        <v>4494932013</v>
      </c>
    </row>
    <row r="37" spans="1:12" ht="23.1" customHeight="1">
      <c r="A37" s="191">
        <v>36</v>
      </c>
      <c r="B37" s="193">
        <v>201</v>
      </c>
      <c r="C37" s="144" t="s">
        <v>329</v>
      </c>
      <c r="D37" s="145">
        <f>'201'!Q8</f>
        <v>4065773760</v>
      </c>
      <c r="E37" s="145">
        <f>'201'!Q26</f>
        <v>1507176200</v>
      </c>
      <c r="F37" s="145">
        <f>'201'!Q33</f>
        <v>894507901</v>
      </c>
      <c r="G37" s="145">
        <f>'201'!Q39</f>
        <v>155854400</v>
      </c>
      <c r="H37" s="145">
        <f>'201'!Q46</f>
        <v>165000000</v>
      </c>
      <c r="I37" s="145"/>
      <c r="J37" s="145">
        <f>'201'!Q52</f>
        <v>100000000</v>
      </c>
      <c r="K37" s="145"/>
      <c r="L37" s="145">
        <f t="shared" si="0"/>
        <v>6888312261</v>
      </c>
    </row>
    <row r="38" spans="1:12" ht="23.1" customHeight="1">
      <c r="A38" s="191">
        <v>37</v>
      </c>
      <c r="B38" s="193">
        <v>211</v>
      </c>
      <c r="C38" s="144" t="s">
        <v>54</v>
      </c>
      <c r="D38" s="145">
        <f>'211'!Q9</f>
        <v>1642831680</v>
      </c>
      <c r="E38" s="145">
        <f>'211'!Q23</f>
        <v>779320000</v>
      </c>
      <c r="F38" s="145">
        <f>'211'!Q31</f>
        <v>286292240</v>
      </c>
      <c r="G38" s="145">
        <f>'211'!Q36</f>
        <v>50000000</v>
      </c>
      <c r="H38" s="145">
        <f>'211'!Q43</f>
        <v>4183910200</v>
      </c>
      <c r="I38" s="145"/>
      <c r="J38" s="145"/>
      <c r="K38" s="145"/>
      <c r="L38" s="145">
        <f t="shared" si="0"/>
        <v>6942354120</v>
      </c>
    </row>
    <row r="39" spans="1:12" ht="23.1" customHeight="1">
      <c r="A39" s="191">
        <v>38</v>
      </c>
      <c r="B39" s="193">
        <v>221</v>
      </c>
      <c r="C39" s="144" t="s">
        <v>226</v>
      </c>
      <c r="D39" s="145">
        <f>'221'!O9</f>
        <v>61668904320</v>
      </c>
      <c r="E39" s="145">
        <f>'221'!O26</f>
        <v>3310687658</v>
      </c>
      <c r="F39" s="145">
        <f>'221'!O36</f>
        <v>992427200</v>
      </c>
      <c r="G39" s="145">
        <f>'221'!O42</f>
        <v>2598606800</v>
      </c>
      <c r="H39" s="145">
        <f>'221'!O49</f>
        <v>81564080</v>
      </c>
      <c r="I39" s="145">
        <f>'221'!O63</f>
        <v>480000000</v>
      </c>
      <c r="J39" s="145">
        <f>'221'!O71</f>
        <v>3470000000</v>
      </c>
      <c r="K39" s="145"/>
      <c r="L39" s="145">
        <f t="shared" si="0"/>
        <v>72602190058</v>
      </c>
    </row>
    <row r="40" spans="1:12" ht="23.1" customHeight="1">
      <c r="A40" s="191">
        <v>39</v>
      </c>
      <c r="B40" s="193">
        <v>222</v>
      </c>
      <c r="C40" s="144" t="s">
        <v>346</v>
      </c>
      <c r="D40" s="145">
        <f>'222'!F9</f>
        <v>336588800</v>
      </c>
      <c r="E40" s="145">
        <f>'222'!F22</f>
        <v>104300000</v>
      </c>
      <c r="F40" s="145">
        <f>'222'!F29</f>
        <v>131000000</v>
      </c>
      <c r="G40" s="145">
        <f>'222'!F34</f>
        <v>60000000</v>
      </c>
      <c r="H40" s="145"/>
      <c r="I40" s="145"/>
      <c r="J40" s="145">
        <f>'222'!F46</f>
        <v>2600000000</v>
      </c>
      <c r="K40" s="145"/>
      <c r="L40" s="145">
        <f t="shared" si="0"/>
        <v>3231888800</v>
      </c>
    </row>
    <row r="41" spans="1:12" ht="23.1" customHeight="1">
      <c r="A41" s="191">
        <v>40</v>
      </c>
      <c r="B41" s="193">
        <v>223</v>
      </c>
      <c r="C41" s="144" t="s">
        <v>402</v>
      </c>
      <c r="D41" s="145">
        <f>'223'!F9</f>
        <v>840042240</v>
      </c>
      <c r="E41" s="145">
        <f>'223'!F23</f>
        <v>214420000</v>
      </c>
      <c r="F41" s="145">
        <f>'223'!F30</f>
        <v>82000000</v>
      </c>
      <c r="G41" s="145">
        <f>'223'!F36</f>
        <v>10000000</v>
      </c>
      <c r="H41" s="145"/>
      <c r="I41" s="145"/>
      <c r="J41" s="145"/>
      <c r="K41" s="145"/>
      <c r="L41" s="145">
        <f t="shared" si="0"/>
        <v>1146462240</v>
      </c>
    </row>
    <row r="42" spans="1:12" ht="23.1" customHeight="1">
      <c r="A42" s="191">
        <v>41</v>
      </c>
      <c r="B42" s="193">
        <v>231</v>
      </c>
      <c r="C42" s="144" t="s">
        <v>227</v>
      </c>
      <c r="D42" s="145">
        <f>'231'!N9</f>
        <v>24096204480</v>
      </c>
      <c r="E42" s="145">
        <f>'231'!N24</f>
        <v>4984793888</v>
      </c>
      <c r="F42" s="145">
        <f>'231'!N33</f>
        <v>1754780366</v>
      </c>
      <c r="G42" s="145">
        <f>'231'!N38</f>
        <v>267695200</v>
      </c>
      <c r="H42" s="145">
        <f>'231'!N44</f>
        <v>1020000000</v>
      </c>
      <c r="I42" s="145">
        <f>'231'!N64</f>
        <v>2329570000</v>
      </c>
      <c r="J42" s="145">
        <f>'231'!N54</f>
        <v>1247000000</v>
      </c>
      <c r="K42" s="145"/>
      <c r="L42" s="145">
        <f t="shared" si="0"/>
        <v>35700043934</v>
      </c>
    </row>
    <row r="43" spans="1:12" ht="23.1" customHeight="1">
      <c r="A43" s="191">
        <v>42</v>
      </c>
      <c r="B43" s="193">
        <v>232</v>
      </c>
      <c r="C43" s="144" t="s">
        <v>882</v>
      </c>
      <c r="D43" s="145">
        <f>'232'!F9</f>
        <v>415445760</v>
      </c>
      <c r="E43" s="145">
        <f>'232'!F23</f>
        <v>80100000</v>
      </c>
      <c r="F43" s="145">
        <f>'232'!F30</f>
        <v>63000000</v>
      </c>
      <c r="G43" s="145">
        <f>'232'!F36</f>
        <v>18000000</v>
      </c>
      <c r="H43" s="145">
        <f>'232'!F43</f>
        <v>125000000</v>
      </c>
      <c r="I43" s="145"/>
      <c r="J43" s="145"/>
      <c r="K43" s="145"/>
      <c r="L43" s="145">
        <f t="shared" si="0"/>
        <v>701545760</v>
      </c>
    </row>
    <row r="44" spans="1:12" ht="23.1" customHeight="1">
      <c r="A44" s="191">
        <v>43</v>
      </c>
      <c r="B44" s="193">
        <v>241</v>
      </c>
      <c r="C44" s="144" t="s">
        <v>902</v>
      </c>
      <c r="D44" s="145">
        <f>'241'!O9</f>
        <v>1321798400</v>
      </c>
      <c r="E44" s="145">
        <f>'241'!O26</f>
        <v>1290770000</v>
      </c>
      <c r="F44" s="145">
        <f>'241'!O32</f>
        <v>169000000</v>
      </c>
      <c r="G44" s="145">
        <f>'241'!O38</f>
        <v>93606800</v>
      </c>
      <c r="H44" s="145"/>
      <c r="I44" s="145">
        <f>'241'!O47</f>
        <v>2000000000</v>
      </c>
      <c r="J44" s="145"/>
      <c r="K44" s="145"/>
      <c r="L44" s="145">
        <f t="shared" si="0"/>
        <v>4875175200</v>
      </c>
    </row>
    <row r="45" spans="1:12" ht="23.1" customHeight="1">
      <c r="A45" s="191">
        <v>44</v>
      </c>
      <c r="B45" s="193">
        <v>251</v>
      </c>
      <c r="C45" s="144" t="s">
        <v>903</v>
      </c>
      <c r="D45" s="145">
        <f>'251'!P9</f>
        <v>3345408960</v>
      </c>
      <c r="E45" s="145">
        <f>'251'!P20</f>
        <v>714714584</v>
      </c>
      <c r="F45" s="145">
        <f>'251'!P26</f>
        <v>393193920</v>
      </c>
      <c r="G45" s="145">
        <f>'251'!P31</f>
        <v>55213600</v>
      </c>
      <c r="H45" s="145">
        <f>'251'!P38</f>
        <v>180000000</v>
      </c>
      <c r="I45" s="145">
        <f>'251'!P41</f>
        <v>180000000</v>
      </c>
      <c r="J45" s="145"/>
      <c r="K45" s="145"/>
      <c r="L45" s="145">
        <f t="shared" si="0"/>
        <v>4868531064</v>
      </c>
    </row>
    <row r="46" spans="1:12" ht="23.1" customHeight="1">
      <c r="A46" s="191">
        <v>45</v>
      </c>
      <c r="B46" s="193">
        <v>261</v>
      </c>
      <c r="C46" s="144" t="s">
        <v>230</v>
      </c>
      <c r="D46" s="145">
        <f>'261'!P11</f>
        <v>3786032640</v>
      </c>
      <c r="E46" s="145">
        <f>'261'!P28</f>
        <v>8044076961</v>
      </c>
      <c r="F46" s="145">
        <f>'261'!P35</f>
        <v>1126831200</v>
      </c>
      <c r="G46" s="145">
        <f>'261'!P41</f>
        <v>169742800</v>
      </c>
      <c r="H46" s="145">
        <f>'261'!P47</f>
        <v>60000000</v>
      </c>
      <c r="I46" s="145"/>
      <c r="J46" s="145">
        <f>'261'!P50</f>
        <v>20000000</v>
      </c>
      <c r="K46" s="145"/>
      <c r="L46" s="145">
        <f t="shared" si="0"/>
        <v>13206683601</v>
      </c>
    </row>
    <row r="47" spans="1:12" ht="23.1" customHeight="1">
      <c r="A47" s="191">
        <v>46</v>
      </c>
      <c r="B47" s="193">
        <v>271</v>
      </c>
      <c r="C47" s="144" t="s">
        <v>707</v>
      </c>
      <c r="D47" s="195">
        <f>'271'!P11</f>
        <v>24906819200</v>
      </c>
      <c r="E47" s="145">
        <f>'271'!P27</f>
        <v>185460871</v>
      </c>
      <c r="F47" s="145">
        <f>'271'!P36</f>
        <v>6986831205</v>
      </c>
      <c r="G47" s="145">
        <f>'271'!P42</f>
        <v>44205000</v>
      </c>
      <c r="H47" s="145">
        <f>'271'!P49</f>
        <v>10000000</v>
      </c>
      <c r="I47" s="145"/>
      <c r="J47" s="145"/>
      <c r="K47" s="145"/>
      <c r="L47" s="145">
        <f t="shared" si="0"/>
        <v>32133316276</v>
      </c>
    </row>
    <row r="48" spans="1:12" ht="23.1" customHeight="1">
      <c r="A48" s="191">
        <v>47</v>
      </c>
      <c r="B48" s="193">
        <v>291</v>
      </c>
      <c r="C48" s="144" t="s">
        <v>603</v>
      </c>
      <c r="D48" s="145">
        <f>'291'!P9</f>
        <v>883540800</v>
      </c>
      <c r="E48" s="145">
        <f>'291'!P25</f>
        <v>338427200</v>
      </c>
      <c r="F48" s="145">
        <f>'291'!P32</f>
        <v>218979424</v>
      </c>
      <c r="G48" s="145">
        <f>'291'!P37</f>
        <v>50869600</v>
      </c>
      <c r="H48" s="145">
        <f>'291'!P44</f>
        <v>90000000</v>
      </c>
      <c r="I48" s="145"/>
      <c r="J48" s="145"/>
      <c r="K48" s="145"/>
      <c r="L48" s="145">
        <f t="shared" si="0"/>
        <v>1581817024</v>
      </c>
    </row>
    <row r="49" spans="1:12" ht="23.1" customHeight="1">
      <c r="A49" s="191">
        <v>48</v>
      </c>
      <c r="B49" s="196">
        <v>301</v>
      </c>
      <c r="C49" s="144" t="s">
        <v>224</v>
      </c>
      <c r="D49" s="145">
        <f>'301'!N8</f>
        <v>2092872960</v>
      </c>
      <c r="E49" s="145">
        <f>'301'!N20</f>
        <v>343054354.39999998</v>
      </c>
      <c r="F49" s="145">
        <f>'301'!N27</f>
        <v>760798240</v>
      </c>
      <c r="G49" s="145">
        <f>'301'!N32</f>
        <v>56749423.700000003</v>
      </c>
      <c r="H49" s="145"/>
      <c r="I49" s="145">
        <f>'301'!N42</f>
        <v>800000000</v>
      </c>
      <c r="J49" s="145">
        <f>'301'!N45</f>
        <v>50000000</v>
      </c>
      <c r="K49" s="145"/>
      <c r="L49" s="145">
        <f t="shared" si="0"/>
        <v>4103474978.0999999</v>
      </c>
    </row>
    <row r="50" spans="1:12" ht="23.1" customHeight="1">
      <c r="A50" s="191">
        <v>49</v>
      </c>
      <c r="B50" s="193">
        <v>311</v>
      </c>
      <c r="C50" s="144" t="s">
        <v>597</v>
      </c>
      <c r="D50" s="145">
        <f>'311'!P9</f>
        <v>2374944480</v>
      </c>
      <c r="E50" s="145">
        <f>'311'!P25</f>
        <v>1269537810</v>
      </c>
      <c r="F50" s="145">
        <f>'311'!P32</f>
        <v>431496320</v>
      </c>
      <c r="G50" s="145">
        <f>'311'!P36</f>
        <v>49747040</v>
      </c>
      <c r="H50" s="145">
        <f>'311'!P44</f>
        <v>915000000</v>
      </c>
      <c r="I50" s="145">
        <f>'311'!P47</f>
        <v>600000000</v>
      </c>
      <c r="J50" s="145"/>
      <c r="K50" s="145"/>
      <c r="L50" s="145">
        <f t="shared" si="0"/>
        <v>5640725650</v>
      </c>
    </row>
    <row r="51" spans="1:12" ht="23.1" customHeight="1">
      <c r="A51" s="191">
        <v>50</v>
      </c>
      <c r="B51" s="193">
        <v>321</v>
      </c>
      <c r="C51" s="144" t="s">
        <v>48</v>
      </c>
      <c r="D51" s="145">
        <f>'321'!Q8</f>
        <v>1585324800</v>
      </c>
      <c r="E51" s="145">
        <f>'321'!Q26</f>
        <v>36233133254</v>
      </c>
      <c r="F51" s="145">
        <f>'321'!Q32</f>
        <v>187819830</v>
      </c>
      <c r="G51" s="145">
        <f>'321'!Q36</f>
        <v>99736800</v>
      </c>
      <c r="H51" s="145">
        <f>'321'!Q42</f>
        <v>120000000</v>
      </c>
      <c r="I51" s="145"/>
      <c r="J51" s="145"/>
      <c r="K51" s="145"/>
      <c r="L51" s="145">
        <f t="shared" si="0"/>
        <v>38226014684</v>
      </c>
    </row>
    <row r="52" spans="1:12" ht="23.1" customHeight="1">
      <c r="A52" s="191">
        <v>51</v>
      </c>
      <c r="B52" s="197">
        <v>331</v>
      </c>
      <c r="C52" s="144" t="s">
        <v>49</v>
      </c>
      <c r="D52" s="145">
        <f>'331'!P8</f>
        <v>954386880</v>
      </c>
      <c r="E52" s="145">
        <f>'331'!P19</f>
        <v>150328831.19999999</v>
      </c>
      <c r="F52" s="145">
        <f>'331'!P26</f>
        <v>127124160</v>
      </c>
      <c r="G52" s="145">
        <f>'331'!P31</f>
        <v>23500000</v>
      </c>
      <c r="H52" s="145">
        <f>'331'!P38</f>
        <v>120000000</v>
      </c>
      <c r="I52" s="145"/>
      <c r="J52" s="145"/>
      <c r="K52" s="145"/>
      <c r="L52" s="145">
        <f t="shared" si="0"/>
        <v>1375339871.2</v>
      </c>
    </row>
    <row r="53" spans="1:12" ht="23.1" customHeight="1">
      <c r="A53" s="191">
        <v>52</v>
      </c>
      <c r="B53" s="197">
        <v>341</v>
      </c>
      <c r="C53" s="144" t="s">
        <v>708</v>
      </c>
      <c r="D53" s="145">
        <f>'341'!Q7</f>
        <v>582539040</v>
      </c>
      <c r="E53" s="145">
        <f>'341'!Q17</f>
        <v>381968632</v>
      </c>
      <c r="F53" s="145">
        <f>'341'!Q23</f>
        <v>178427200</v>
      </c>
      <c r="G53" s="145">
        <f>'341'!Q27</f>
        <v>30420400</v>
      </c>
      <c r="H53" s="145"/>
      <c r="I53" s="145"/>
      <c r="J53" s="145"/>
      <c r="K53" s="145"/>
      <c r="L53" s="145">
        <f t="shared" si="0"/>
        <v>1173355272</v>
      </c>
    </row>
    <row r="54" spans="1:12" ht="23.1" customHeight="1">
      <c r="A54" s="191">
        <v>53</v>
      </c>
      <c r="B54" s="198">
        <v>381</v>
      </c>
      <c r="C54" s="199" t="s">
        <v>691</v>
      </c>
      <c r="D54" s="145">
        <f>'381'!G8</f>
        <v>1027890240</v>
      </c>
      <c r="E54" s="145">
        <f>'381'!G24</f>
        <v>492420000</v>
      </c>
      <c r="F54" s="145">
        <f>'381'!G32</f>
        <v>198620000</v>
      </c>
      <c r="G54" s="145">
        <f>'381'!G37</f>
        <v>32680000</v>
      </c>
      <c r="H54" s="145">
        <f>'381'!G44</f>
        <v>62000000</v>
      </c>
      <c r="I54" s="145"/>
      <c r="J54" s="145"/>
      <c r="K54" s="145"/>
      <c r="L54" s="145">
        <f t="shared" si="0"/>
        <v>1813610240</v>
      </c>
    </row>
    <row r="55" spans="1:12" ht="23.1" customHeight="1">
      <c r="A55" s="191">
        <v>54</v>
      </c>
      <c r="B55" s="198">
        <v>391</v>
      </c>
      <c r="C55" s="199" t="s">
        <v>693</v>
      </c>
      <c r="D55" s="145">
        <f>'391'!N9</f>
        <v>1198893600</v>
      </c>
      <c r="E55" s="145">
        <f>'391'!N24</f>
        <v>553230400</v>
      </c>
      <c r="F55" s="145">
        <f>'391'!N31</f>
        <v>230500000</v>
      </c>
      <c r="G55" s="145">
        <f>'391'!N36</f>
        <v>25000000</v>
      </c>
      <c r="H55" s="145"/>
      <c r="I55" s="145"/>
      <c r="J55" s="145"/>
      <c r="K55" s="145"/>
      <c r="L55" s="145">
        <f t="shared" si="0"/>
        <v>2007624000</v>
      </c>
    </row>
    <row r="56" spans="1:12" ht="23.1" customHeight="1">
      <c r="A56" s="191">
        <v>55</v>
      </c>
      <c r="B56" s="198">
        <v>401</v>
      </c>
      <c r="C56" s="199" t="s">
        <v>325</v>
      </c>
      <c r="D56" s="145">
        <f>'401'!P10</f>
        <v>1363422720</v>
      </c>
      <c r="E56" s="145">
        <f>'401'!P26</f>
        <v>1166919580</v>
      </c>
      <c r="F56" s="145">
        <f>'401'!P34</f>
        <v>314458000</v>
      </c>
      <c r="G56" s="145">
        <f>'401'!P39</f>
        <v>54586876</v>
      </c>
      <c r="H56" s="145"/>
      <c r="I56" s="145"/>
      <c r="J56" s="145"/>
      <c r="K56" s="145"/>
      <c r="L56" s="145">
        <f t="shared" si="0"/>
        <v>2899387176</v>
      </c>
    </row>
    <row r="57" spans="1:12" ht="23.1" customHeight="1">
      <c r="A57" s="191">
        <v>57</v>
      </c>
      <c r="B57" s="198">
        <v>411</v>
      </c>
      <c r="C57" s="199" t="s">
        <v>527</v>
      </c>
      <c r="D57" s="145">
        <f>'411'!F7</f>
        <v>3137552640</v>
      </c>
      <c r="E57" s="145">
        <f>'411'!F25</f>
        <v>756575300</v>
      </c>
      <c r="F57" s="145">
        <f>'411'!F32</f>
        <v>365213600</v>
      </c>
      <c r="G57" s="145">
        <f>'411'!F37</f>
        <v>64877680</v>
      </c>
      <c r="H57" s="145"/>
      <c r="I57" s="145">
        <f>'411'!F47</f>
        <v>910000000</v>
      </c>
      <c r="J57" s="145"/>
      <c r="K57" s="145"/>
      <c r="L57" s="145">
        <f t="shared" si="0"/>
        <v>5234219220</v>
      </c>
    </row>
    <row r="58" spans="1:12" ht="23.1" customHeight="1">
      <c r="A58" s="191">
        <v>58</v>
      </c>
      <c r="B58" s="198">
        <v>421</v>
      </c>
      <c r="C58" s="199" t="s">
        <v>393</v>
      </c>
      <c r="D58" s="145">
        <f>'421'!F7</f>
        <v>1515600000</v>
      </c>
      <c r="E58" s="145">
        <f>'421'!F23</f>
        <v>447584000</v>
      </c>
      <c r="F58" s="145">
        <f>'421'!F33</f>
        <v>245000000</v>
      </c>
      <c r="G58" s="145">
        <f>'421'!F38</f>
        <v>50000000</v>
      </c>
      <c r="H58" s="145">
        <f>'421'!F45</f>
        <v>11941000</v>
      </c>
      <c r="I58" s="145"/>
      <c r="J58" s="145"/>
      <c r="K58" s="145"/>
      <c r="L58" s="145">
        <f t="shared" si="0"/>
        <v>2270125000</v>
      </c>
    </row>
    <row r="59" spans="1:12" ht="23.1" customHeight="1">
      <c r="A59" s="191">
        <v>59</v>
      </c>
      <c r="B59" s="198">
        <v>431</v>
      </c>
      <c r="C59" s="199" t="s">
        <v>551</v>
      </c>
      <c r="D59" s="145">
        <f>'431'!R8</f>
        <v>1838610240</v>
      </c>
      <c r="E59" s="145">
        <f>'431'!R21</f>
        <v>429000000</v>
      </c>
      <c r="F59" s="145">
        <f>'431'!R27</f>
        <v>495000000</v>
      </c>
      <c r="G59" s="145">
        <f>'431'!R32</f>
        <v>280000000</v>
      </c>
      <c r="H59" s="145">
        <f>'431'!R41</f>
        <v>350000000</v>
      </c>
      <c r="I59" s="145"/>
      <c r="J59" s="145"/>
      <c r="K59" s="145"/>
      <c r="L59" s="145">
        <f t="shared" si="0"/>
        <v>3392610240</v>
      </c>
    </row>
    <row r="60" spans="1:12" ht="23.1" customHeight="1">
      <c r="A60" s="191">
        <v>60</v>
      </c>
      <c r="B60" s="198">
        <v>441</v>
      </c>
      <c r="C60" s="199" t="s">
        <v>601</v>
      </c>
      <c r="D60" s="145">
        <f>'441'!E9</f>
        <v>1510902720</v>
      </c>
      <c r="E60" s="145">
        <f>'441'!E26</f>
        <v>547419555</v>
      </c>
      <c r="F60" s="145">
        <f>'441'!E33</f>
        <v>221155940.5</v>
      </c>
      <c r="G60" s="145">
        <f>'441'!E41</f>
        <v>1060897120</v>
      </c>
      <c r="H60" s="145"/>
      <c r="I60" s="145">
        <f>'441'!E49</f>
        <v>1400000000</v>
      </c>
      <c r="J60" s="145"/>
      <c r="K60" s="145"/>
      <c r="L60" s="145">
        <f t="shared" si="0"/>
        <v>4740375335.5</v>
      </c>
    </row>
    <row r="61" spans="1:12" ht="23.1" customHeight="1">
      <c r="A61" s="191"/>
      <c r="B61" s="200"/>
      <c r="C61" s="200" t="s">
        <v>411</v>
      </c>
      <c r="D61" s="145">
        <f>SUM(D2:D60)</f>
        <v>517382579360</v>
      </c>
      <c r="E61" s="145">
        <f t="shared" ref="E61:K61" si="1">SUM(E2:E60)</f>
        <v>264806713544.71002</v>
      </c>
      <c r="F61" s="145">
        <f t="shared" si="1"/>
        <v>121540861133.89999</v>
      </c>
      <c r="G61" s="145">
        <f t="shared" si="1"/>
        <v>10728208261.5</v>
      </c>
      <c r="H61" s="145">
        <f t="shared" si="1"/>
        <v>18989411720</v>
      </c>
      <c r="I61" s="145">
        <f t="shared" si="1"/>
        <v>56346378000</v>
      </c>
      <c r="J61" s="145">
        <f>SUM(J2:J60)</f>
        <v>20838790800</v>
      </c>
      <c r="K61" s="145">
        <f t="shared" si="1"/>
        <v>69367057180</v>
      </c>
      <c r="L61" s="145">
        <f>SUM(L2:L60)</f>
        <v>1080000000000.1099</v>
      </c>
    </row>
  </sheetData>
  <pageMargins left="0.24" right="0.21" top="0.75" bottom="0.75" header="0.3" footer="0.3"/>
  <pageSetup scale="35" orientation="landscape" r:id="rId1"/>
  <headerFooter>
    <oddHeader xml:space="preserve">&amp;C&amp;"Agency FB,Bold"&amp;36SOO KOOBIDA GUUD EE MADAX-XIGEENADA KHARASHKA MIISAANIYADDA 2015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="60" workbookViewId="0">
      <selection activeCell="Q6" sqref="Q6"/>
    </sheetView>
  </sheetViews>
  <sheetFormatPr defaultRowHeight="24.95" customHeight="1"/>
  <cols>
    <col min="1" max="1" width="18.1640625" style="181" bestFit="1" customWidth="1"/>
    <col min="2" max="2" width="93.1640625" style="181" customWidth="1"/>
    <col min="3" max="3" width="0.1640625" style="181" hidden="1" customWidth="1"/>
    <col min="4" max="8" width="9.33203125" style="181" hidden="1" customWidth="1"/>
    <col min="9" max="9" width="0.1640625" style="181" hidden="1" customWidth="1"/>
    <col min="10" max="11" width="9.33203125" style="181" hidden="1" customWidth="1"/>
    <col min="12" max="13" width="25.33203125" style="181" hidden="1" customWidth="1"/>
    <col min="14" max="14" width="35" style="371" hidden="1" customWidth="1"/>
    <col min="15" max="15" width="0.33203125" style="371" customWidth="1"/>
    <col min="16" max="16" width="35" style="371" bestFit="1" customWidth="1"/>
    <col min="17" max="17" width="35" style="371" customWidth="1"/>
    <col min="18" max="18" width="32.5" style="181" bestFit="1" customWidth="1"/>
    <col min="19" max="16384" width="9.33203125" style="181"/>
  </cols>
  <sheetData>
    <row r="1" spans="1:18" ht="24.95" customHeight="1">
      <c r="A1" s="251" t="s">
        <v>21</v>
      </c>
      <c r="B1" s="354" t="s">
        <v>781</v>
      </c>
      <c r="C1" s="118"/>
      <c r="D1" s="118"/>
      <c r="E1" s="118"/>
      <c r="F1" s="66"/>
      <c r="G1" s="118"/>
      <c r="H1" s="118"/>
      <c r="I1" s="118"/>
      <c r="J1" s="118"/>
      <c r="K1" s="118"/>
      <c r="L1" s="118"/>
      <c r="M1" s="118"/>
      <c r="N1" s="66"/>
      <c r="O1" s="66"/>
      <c r="P1" s="66"/>
      <c r="Q1" s="66"/>
      <c r="R1" s="367"/>
    </row>
    <row r="2" spans="1:18" ht="24.95" customHeight="1">
      <c r="A2" s="251" t="s">
        <v>6</v>
      </c>
      <c r="B2" s="251" t="s">
        <v>7</v>
      </c>
      <c r="C2" s="251" t="s">
        <v>19</v>
      </c>
      <c r="D2" s="256" t="s">
        <v>2</v>
      </c>
      <c r="E2" s="256" t="s">
        <v>24</v>
      </c>
      <c r="F2" s="10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76</v>
      </c>
      <c r="L2" s="256" t="s">
        <v>110</v>
      </c>
      <c r="M2" s="256" t="s">
        <v>166</v>
      </c>
      <c r="N2" s="112" t="s">
        <v>322</v>
      </c>
      <c r="O2" s="112" t="s">
        <v>538</v>
      </c>
      <c r="P2" s="112" t="s">
        <v>607</v>
      </c>
      <c r="Q2" s="112" t="s">
        <v>722</v>
      </c>
      <c r="R2" s="112" t="s">
        <v>34</v>
      </c>
    </row>
    <row r="3" spans="1:18" ht="24.95" customHeight="1">
      <c r="A3" s="249">
        <v>210</v>
      </c>
      <c r="B3" s="106" t="s">
        <v>95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18"/>
    </row>
    <row r="4" spans="1:18" ht="24.95" customHeight="1">
      <c r="A4" s="249">
        <v>2110</v>
      </c>
      <c r="B4" s="106" t="s">
        <v>155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118"/>
    </row>
    <row r="5" spans="1:18" ht="24.95" customHeight="1">
      <c r="A5" s="169">
        <v>21101</v>
      </c>
      <c r="B5" s="66" t="s">
        <v>211</v>
      </c>
      <c r="C5" s="66"/>
      <c r="D5" s="66"/>
      <c r="E5" s="66"/>
      <c r="F5" s="66"/>
      <c r="G5" s="66"/>
      <c r="H5" s="66"/>
      <c r="I5" s="66"/>
      <c r="J5" s="66"/>
      <c r="K5" s="66"/>
      <c r="L5" s="66">
        <v>348915600</v>
      </c>
      <c r="M5" s="66">
        <v>1636809600</v>
      </c>
      <c r="N5" s="66">
        <v>1633382400</v>
      </c>
      <c r="O5" s="66">
        <v>2301873600</v>
      </c>
      <c r="P5" s="66">
        <v>3255782400</v>
      </c>
      <c r="Q5" s="66">
        <v>3352377600</v>
      </c>
      <c r="R5" s="100">
        <f>Q5-P5</f>
        <v>96595200</v>
      </c>
    </row>
    <row r="6" spans="1:18" ht="24.95" customHeight="1">
      <c r="A6" s="169" t="s">
        <v>726</v>
      </c>
      <c r="B6" s="66" t="s">
        <v>961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>
        <v>0</v>
      </c>
      <c r="Q6" s="66">
        <v>1939504320</v>
      </c>
      <c r="R6" s="100">
        <f>Q6-P6</f>
        <v>1939504320</v>
      </c>
    </row>
    <row r="7" spans="1:18" ht="24.95" customHeight="1">
      <c r="A7" s="169">
        <v>21102</v>
      </c>
      <c r="B7" s="66" t="s">
        <v>418</v>
      </c>
      <c r="C7" s="66"/>
      <c r="D7" s="66"/>
      <c r="E7" s="66"/>
      <c r="F7" s="66"/>
      <c r="G7" s="66"/>
      <c r="H7" s="66"/>
      <c r="I7" s="66"/>
      <c r="J7" s="66"/>
      <c r="K7" s="66"/>
      <c r="L7" s="66">
        <v>532020000</v>
      </c>
      <c r="M7" s="66">
        <v>0</v>
      </c>
      <c r="N7" s="66">
        <v>97200000</v>
      </c>
      <c r="O7" s="66">
        <v>194400000</v>
      </c>
      <c r="P7" s="66">
        <v>194400000</v>
      </c>
      <c r="Q7" s="66">
        <v>308400000</v>
      </c>
      <c r="R7" s="100">
        <f t="shared" ref="R7:R57" si="0">Q7-P7</f>
        <v>114000000</v>
      </c>
    </row>
    <row r="8" spans="1:18" ht="24.95" customHeight="1">
      <c r="A8" s="169">
        <v>21103</v>
      </c>
      <c r="B8" s="66" t="s">
        <v>246</v>
      </c>
      <c r="C8" s="66"/>
      <c r="D8" s="66"/>
      <c r="E8" s="66"/>
      <c r="F8" s="66"/>
      <c r="G8" s="66"/>
      <c r="H8" s="66"/>
      <c r="I8" s="66"/>
      <c r="J8" s="66"/>
      <c r="K8" s="66"/>
      <c r="L8" s="66">
        <v>108314400</v>
      </c>
      <c r="M8" s="66">
        <f>108314400+263131200+40000000+40000000</f>
        <v>451445600</v>
      </c>
      <c r="N8" s="66">
        <v>494645600</v>
      </c>
      <c r="O8" s="66">
        <v>649445600</v>
      </c>
      <c r="P8" s="66">
        <v>324000000</v>
      </c>
      <c r="Q8" s="66">
        <v>396000000</v>
      </c>
      <c r="R8" s="100">
        <f t="shared" si="0"/>
        <v>72000000</v>
      </c>
    </row>
    <row r="9" spans="1:18" ht="24.95" customHeight="1">
      <c r="A9" s="169">
        <v>21105</v>
      </c>
      <c r="B9" s="66" t="s">
        <v>610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>
        <v>0</v>
      </c>
      <c r="P9" s="66">
        <v>637045600</v>
      </c>
      <c r="Q9" s="66">
        <v>637045600</v>
      </c>
      <c r="R9" s="100">
        <f t="shared" si="0"/>
        <v>0</v>
      </c>
    </row>
    <row r="10" spans="1:18" ht="24.95" customHeight="1">
      <c r="A10" s="169" t="s">
        <v>884</v>
      </c>
      <c r="B10" s="66" t="s">
        <v>962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>
        <v>0</v>
      </c>
      <c r="Q10" s="66">
        <v>2418994960</v>
      </c>
      <c r="R10" s="100">
        <f t="shared" si="0"/>
        <v>2418994960</v>
      </c>
    </row>
    <row r="11" spans="1:18" ht="24.95" customHeight="1">
      <c r="A11" s="169"/>
      <c r="B11" s="106" t="s">
        <v>59</v>
      </c>
      <c r="C11" s="66"/>
      <c r="D11" s="66"/>
      <c r="E11" s="66"/>
      <c r="F11" s="66"/>
      <c r="G11" s="66"/>
      <c r="H11" s="66"/>
      <c r="I11" s="66"/>
      <c r="J11" s="66"/>
      <c r="K11" s="66"/>
      <c r="L11" s="106">
        <f>SUM(L5:L8)</f>
        <v>989250000</v>
      </c>
      <c r="M11" s="106">
        <f>SUM(M5:M8)</f>
        <v>2088255200</v>
      </c>
      <c r="N11" s="106">
        <f>SUM(N5:N8)</f>
        <v>2225228000</v>
      </c>
      <c r="O11" s="106">
        <f>SUM(O5:O9)</f>
        <v>3145719200</v>
      </c>
      <c r="P11" s="106">
        <f>SUM(P5:P10)</f>
        <v>4411228000</v>
      </c>
      <c r="Q11" s="106">
        <f>SUM(Q5:Q10)</f>
        <v>9052322480</v>
      </c>
      <c r="R11" s="105">
        <f t="shared" si="0"/>
        <v>4641094480</v>
      </c>
    </row>
    <row r="12" spans="1:18" ht="24.95" customHeight="1">
      <c r="A12" s="249">
        <v>220</v>
      </c>
      <c r="B12" s="106" t="s">
        <v>159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00">
        <f t="shared" si="0"/>
        <v>0</v>
      </c>
    </row>
    <row r="13" spans="1:18" ht="24.95" customHeight="1">
      <c r="A13" s="249">
        <v>2210</v>
      </c>
      <c r="B13" s="106" t="s">
        <v>160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00">
        <f t="shared" si="0"/>
        <v>0</v>
      </c>
    </row>
    <row r="14" spans="1:18" ht="24.95" customHeight="1">
      <c r="A14" s="169">
        <v>22101</v>
      </c>
      <c r="B14" s="66" t="s">
        <v>14</v>
      </c>
      <c r="C14" s="66"/>
      <c r="D14" s="66"/>
      <c r="E14" s="66"/>
      <c r="F14" s="66"/>
      <c r="G14" s="66"/>
      <c r="H14" s="66"/>
      <c r="I14" s="66"/>
      <c r="J14" s="66"/>
      <c r="K14" s="66"/>
      <c r="L14" s="66">
        <v>22344000</v>
      </c>
      <c r="M14" s="66">
        <f>22344000*70%</f>
        <v>15640799.999999998</v>
      </c>
      <c r="N14" s="66">
        <f>22344000*70%</f>
        <v>15640799.999999998</v>
      </c>
      <c r="O14" s="66">
        <v>15640799.999999998</v>
      </c>
      <c r="P14" s="66">
        <v>15640799.999999998</v>
      </c>
      <c r="Q14" s="66">
        <v>15640799.999999998</v>
      </c>
      <c r="R14" s="100">
        <f t="shared" si="0"/>
        <v>0</v>
      </c>
    </row>
    <row r="15" spans="1:18" ht="24.95" customHeight="1">
      <c r="A15" s="169">
        <v>22102</v>
      </c>
      <c r="B15" s="66" t="s">
        <v>82</v>
      </c>
      <c r="C15" s="66"/>
      <c r="D15" s="66"/>
      <c r="E15" s="66"/>
      <c r="F15" s="66"/>
      <c r="G15" s="66"/>
      <c r="H15" s="66"/>
      <c r="I15" s="66"/>
      <c r="J15" s="66"/>
      <c r="K15" s="66"/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100">
        <f t="shared" si="0"/>
        <v>0</v>
      </c>
    </row>
    <row r="16" spans="1:18" ht="24.95" customHeight="1">
      <c r="A16" s="169">
        <v>22103</v>
      </c>
      <c r="B16" s="66" t="s">
        <v>83</v>
      </c>
      <c r="C16" s="66"/>
      <c r="D16" s="66"/>
      <c r="E16" s="66"/>
      <c r="F16" s="66"/>
      <c r="G16" s="66"/>
      <c r="H16" s="66"/>
      <c r="I16" s="66"/>
      <c r="J16" s="66"/>
      <c r="K16" s="66"/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100">
        <f t="shared" si="0"/>
        <v>0</v>
      </c>
    </row>
    <row r="17" spans="1:18" ht="24.95" customHeight="1">
      <c r="A17" s="169">
        <v>22104</v>
      </c>
      <c r="B17" s="66" t="s">
        <v>116</v>
      </c>
      <c r="C17" s="66"/>
      <c r="D17" s="66"/>
      <c r="E17" s="66"/>
      <c r="F17" s="66"/>
      <c r="G17" s="66"/>
      <c r="H17" s="66"/>
      <c r="I17" s="66"/>
      <c r="J17" s="66"/>
      <c r="K17" s="66"/>
      <c r="L17" s="66">
        <v>74480000</v>
      </c>
      <c r="M17" s="66">
        <f>74480000*70%</f>
        <v>52136000</v>
      </c>
      <c r="N17" s="66">
        <f>74480000*70%</f>
        <v>52136000</v>
      </c>
      <c r="O17" s="66">
        <v>52136000</v>
      </c>
      <c r="P17" s="66">
        <v>52136000</v>
      </c>
      <c r="Q17" s="66">
        <v>52136000</v>
      </c>
      <c r="R17" s="100">
        <f t="shared" si="0"/>
        <v>0</v>
      </c>
    </row>
    <row r="18" spans="1:18" ht="24.95" customHeight="1">
      <c r="A18" s="169">
        <v>22106</v>
      </c>
      <c r="B18" s="66" t="s">
        <v>431</v>
      </c>
      <c r="C18" s="66"/>
      <c r="D18" s="66"/>
      <c r="E18" s="66"/>
      <c r="F18" s="66"/>
      <c r="G18" s="66"/>
      <c r="H18" s="66"/>
      <c r="I18" s="66"/>
      <c r="J18" s="66"/>
      <c r="K18" s="106"/>
      <c r="L18" s="66">
        <v>74480000</v>
      </c>
      <c r="M18" s="66">
        <f>74480000*70%</f>
        <v>52136000</v>
      </c>
      <c r="N18" s="66">
        <f>M18</f>
        <v>52136000</v>
      </c>
      <c r="O18" s="66">
        <v>52136000</v>
      </c>
      <c r="P18" s="66">
        <v>52136000</v>
      </c>
      <c r="Q18" s="66">
        <v>52136000</v>
      </c>
      <c r="R18" s="100">
        <f t="shared" si="0"/>
        <v>0</v>
      </c>
    </row>
    <row r="19" spans="1:18" ht="24.95" customHeight="1">
      <c r="A19" s="169">
        <v>22107</v>
      </c>
      <c r="B19" s="66" t="s">
        <v>30</v>
      </c>
      <c r="C19" s="66"/>
      <c r="D19" s="66"/>
      <c r="E19" s="66"/>
      <c r="F19" s="66"/>
      <c r="G19" s="66"/>
      <c r="H19" s="66"/>
      <c r="I19" s="66"/>
      <c r="J19" s="66"/>
      <c r="K19" s="66"/>
      <c r="L19" s="66">
        <v>37240000</v>
      </c>
      <c r="M19" s="66">
        <f>37240000*70%</f>
        <v>26068000</v>
      </c>
      <c r="N19" s="66">
        <f>M19*70%</f>
        <v>18247600</v>
      </c>
      <c r="O19" s="66">
        <v>50000000</v>
      </c>
      <c r="P19" s="66">
        <v>50000000</v>
      </c>
      <c r="Q19" s="66">
        <v>50000000</v>
      </c>
      <c r="R19" s="100">
        <f t="shared" si="0"/>
        <v>0</v>
      </c>
    </row>
    <row r="20" spans="1:18" ht="24.95" customHeight="1">
      <c r="A20" s="169">
        <v>22109</v>
      </c>
      <c r="B20" s="66" t="s">
        <v>94</v>
      </c>
      <c r="C20" s="106"/>
      <c r="D20" s="106"/>
      <c r="E20" s="106"/>
      <c r="F20" s="106"/>
      <c r="G20" s="106"/>
      <c r="H20" s="106"/>
      <c r="I20" s="106"/>
      <c r="J20" s="106"/>
      <c r="K20" s="66"/>
      <c r="L20" s="66">
        <v>5000000</v>
      </c>
      <c r="M20" s="66">
        <f>5000000*70%</f>
        <v>3500000</v>
      </c>
      <c r="N20" s="66">
        <f>5000000*70%</f>
        <v>3500000</v>
      </c>
      <c r="O20" s="66">
        <v>20000000</v>
      </c>
      <c r="P20" s="66">
        <v>20000000</v>
      </c>
      <c r="Q20" s="66">
        <v>20000000</v>
      </c>
      <c r="R20" s="100">
        <f t="shared" si="0"/>
        <v>0</v>
      </c>
    </row>
    <row r="21" spans="1:18" ht="24.95" customHeight="1">
      <c r="A21" s="169">
        <v>22112</v>
      </c>
      <c r="B21" s="66" t="s">
        <v>16</v>
      </c>
      <c r="C21" s="66"/>
      <c r="D21" s="66"/>
      <c r="E21" s="66"/>
      <c r="F21" s="66"/>
      <c r="G21" s="66"/>
      <c r="H21" s="66"/>
      <c r="I21" s="66"/>
      <c r="J21" s="66"/>
      <c r="K21" s="66"/>
      <c r="L21" s="66">
        <v>22344000</v>
      </c>
      <c r="M21" s="66">
        <f>22344000*70%</f>
        <v>15640799.999999998</v>
      </c>
      <c r="N21" s="66">
        <f>22344000*70%</f>
        <v>15640799.999999998</v>
      </c>
      <c r="O21" s="66">
        <v>15640799.999999998</v>
      </c>
      <c r="P21" s="66">
        <v>15640799.999999998</v>
      </c>
      <c r="Q21" s="66">
        <v>15640799.999999998</v>
      </c>
      <c r="R21" s="100">
        <f t="shared" si="0"/>
        <v>0</v>
      </c>
    </row>
    <row r="22" spans="1:18" ht="24.95" customHeight="1">
      <c r="A22" s="169">
        <v>22132</v>
      </c>
      <c r="B22" s="66" t="s">
        <v>368</v>
      </c>
      <c r="C22" s="106"/>
      <c r="D22" s="106"/>
      <c r="E22" s="106"/>
      <c r="F22" s="106"/>
      <c r="G22" s="106"/>
      <c r="H22" s="106"/>
      <c r="I22" s="106"/>
      <c r="J22" s="106"/>
      <c r="K22" s="66"/>
      <c r="L22" s="66">
        <v>217304000</v>
      </c>
      <c r="M22" s="66">
        <f>217304000*70%</f>
        <v>152112800</v>
      </c>
      <c r="N22" s="66">
        <f>M22</f>
        <v>152112800</v>
      </c>
      <c r="O22" s="66">
        <v>200000000</v>
      </c>
      <c r="P22" s="66">
        <v>300000000</v>
      </c>
      <c r="Q22" s="66">
        <v>300000000</v>
      </c>
      <c r="R22" s="100">
        <f t="shared" si="0"/>
        <v>0</v>
      </c>
    </row>
    <row r="23" spans="1:18" ht="24.95" customHeight="1">
      <c r="A23" s="169" t="s">
        <v>886</v>
      </c>
      <c r="B23" s="66" t="s">
        <v>891</v>
      </c>
      <c r="C23" s="106"/>
      <c r="D23" s="106"/>
      <c r="E23" s="106"/>
      <c r="F23" s="106"/>
      <c r="G23" s="106"/>
      <c r="H23" s="106"/>
      <c r="I23" s="106"/>
      <c r="J23" s="106"/>
      <c r="K23" s="66"/>
      <c r="L23" s="66"/>
      <c r="M23" s="66"/>
      <c r="N23" s="66"/>
      <c r="O23" s="66"/>
      <c r="P23" s="66">
        <v>0</v>
      </c>
      <c r="Q23" s="66">
        <v>1619000000</v>
      </c>
      <c r="R23" s="100">
        <f t="shared" si="0"/>
        <v>1619000000</v>
      </c>
    </row>
    <row r="24" spans="1:18" ht="24.95" customHeight="1">
      <c r="A24" s="169">
        <v>22133</v>
      </c>
      <c r="B24" s="66" t="s">
        <v>888</v>
      </c>
      <c r="C24" s="106"/>
      <c r="D24" s="106"/>
      <c r="E24" s="106"/>
      <c r="F24" s="106"/>
      <c r="G24" s="106"/>
      <c r="H24" s="106"/>
      <c r="I24" s="106"/>
      <c r="J24" s="106"/>
      <c r="K24" s="66"/>
      <c r="L24" s="66"/>
      <c r="M24" s="66"/>
      <c r="N24" s="66"/>
      <c r="O24" s="66"/>
      <c r="P24" s="66">
        <v>0</v>
      </c>
      <c r="Q24" s="66">
        <v>1041109320</v>
      </c>
      <c r="R24" s="100">
        <f t="shared" si="0"/>
        <v>1041109320</v>
      </c>
    </row>
    <row r="25" spans="1:18" ht="24.95" customHeight="1">
      <c r="A25" s="169">
        <v>22137</v>
      </c>
      <c r="B25" s="66" t="s">
        <v>200</v>
      </c>
      <c r="C25" s="118"/>
      <c r="D25" s="118"/>
      <c r="E25" s="118"/>
      <c r="F25" s="100"/>
      <c r="G25" s="100"/>
      <c r="H25" s="100"/>
      <c r="I25" s="100"/>
      <c r="J25" s="100"/>
      <c r="K25" s="100"/>
      <c r="L25" s="116">
        <v>70000000</v>
      </c>
      <c r="M25" s="116">
        <f>70000000*70%</f>
        <v>49000000</v>
      </c>
      <c r="N25" s="66">
        <f>70000000*70%</f>
        <v>49000000</v>
      </c>
      <c r="O25" s="66">
        <v>100000000</v>
      </c>
      <c r="P25" s="66">
        <v>150000000</v>
      </c>
      <c r="Q25" s="66">
        <v>150000000</v>
      </c>
      <c r="R25" s="100">
        <f t="shared" si="0"/>
        <v>0</v>
      </c>
    </row>
    <row r="26" spans="1:18" ht="24.95" customHeight="1">
      <c r="A26" s="169">
        <v>22141</v>
      </c>
      <c r="B26" s="66" t="s">
        <v>742</v>
      </c>
      <c r="C26" s="118"/>
      <c r="D26" s="118"/>
      <c r="E26" s="118"/>
      <c r="F26" s="100"/>
      <c r="G26" s="100"/>
      <c r="H26" s="100"/>
      <c r="I26" s="100"/>
      <c r="J26" s="100"/>
      <c r="K26" s="100"/>
      <c r="L26" s="116"/>
      <c r="M26" s="116"/>
      <c r="N26" s="66"/>
      <c r="O26" s="66">
        <v>711622000</v>
      </c>
      <c r="P26" s="66">
        <v>171764850</v>
      </c>
      <c r="Q26" s="66">
        <v>0</v>
      </c>
      <c r="R26" s="100">
        <f t="shared" si="0"/>
        <v>-171764850</v>
      </c>
    </row>
    <row r="27" spans="1:18" ht="24.95" customHeight="1">
      <c r="A27" s="169">
        <v>22142</v>
      </c>
      <c r="B27" s="66" t="s">
        <v>890</v>
      </c>
      <c r="C27" s="118"/>
      <c r="D27" s="118"/>
      <c r="E27" s="118"/>
      <c r="F27" s="100"/>
      <c r="G27" s="100"/>
      <c r="H27" s="100"/>
      <c r="I27" s="100"/>
      <c r="J27" s="100"/>
      <c r="K27" s="100"/>
      <c r="L27" s="116"/>
      <c r="M27" s="116"/>
      <c r="N27" s="66"/>
      <c r="O27" s="66"/>
      <c r="P27" s="66">
        <v>0</v>
      </c>
      <c r="Q27" s="66">
        <v>4709887752</v>
      </c>
      <c r="R27" s="100">
        <f t="shared" si="0"/>
        <v>4709887752</v>
      </c>
    </row>
    <row r="28" spans="1:18" ht="24.95" customHeight="1">
      <c r="A28" s="169">
        <v>22176</v>
      </c>
      <c r="B28" s="66" t="s">
        <v>889</v>
      </c>
      <c r="C28" s="118"/>
      <c r="D28" s="118"/>
      <c r="E28" s="118"/>
      <c r="F28" s="100"/>
      <c r="G28" s="100"/>
      <c r="H28" s="100"/>
      <c r="I28" s="100"/>
      <c r="J28" s="100"/>
      <c r="K28" s="100"/>
      <c r="L28" s="116"/>
      <c r="M28" s="116"/>
      <c r="N28" s="66"/>
      <c r="O28" s="66"/>
      <c r="P28" s="66">
        <v>0</v>
      </c>
      <c r="Q28" s="66">
        <v>2419200000</v>
      </c>
      <c r="R28" s="100">
        <f t="shared" si="0"/>
        <v>2419200000</v>
      </c>
    </row>
    <row r="29" spans="1:18" ht="24.95" customHeight="1">
      <c r="A29" s="169"/>
      <c r="B29" s="106" t="s">
        <v>59</v>
      </c>
      <c r="C29" s="118"/>
      <c r="D29" s="118"/>
      <c r="E29" s="118"/>
      <c r="F29" s="118"/>
      <c r="G29" s="118"/>
      <c r="H29" s="118"/>
      <c r="I29" s="118"/>
      <c r="J29" s="118"/>
      <c r="K29" s="116"/>
      <c r="L29" s="105">
        <f>SUM(L14:L25)</f>
        <v>523192000</v>
      </c>
      <c r="M29" s="105">
        <f>SUM(M14:M25)</f>
        <v>366234400</v>
      </c>
      <c r="N29" s="106">
        <f>SUM(N14:N25)</f>
        <v>358414000</v>
      </c>
      <c r="O29" s="106">
        <f>SUM(O14:O26)</f>
        <v>1217175600</v>
      </c>
      <c r="P29" s="106">
        <f>SUM(P14:P28)</f>
        <v>827318450</v>
      </c>
      <c r="Q29" s="106">
        <f>SUM(Q14:Q28)</f>
        <v>10444750672</v>
      </c>
      <c r="R29" s="105">
        <f t="shared" si="0"/>
        <v>9617432222</v>
      </c>
    </row>
    <row r="30" spans="1:18" ht="24.95" customHeight="1">
      <c r="A30" s="249">
        <v>2220</v>
      </c>
      <c r="B30" s="106" t="s">
        <v>161</v>
      </c>
      <c r="C30" s="118"/>
      <c r="D30" s="118"/>
      <c r="E30" s="118"/>
      <c r="F30" s="118"/>
      <c r="G30" s="118"/>
      <c r="H30" s="118"/>
      <c r="I30" s="118"/>
      <c r="J30" s="118"/>
      <c r="K30" s="66"/>
      <c r="L30" s="118"/>
      <c r="M30" s="118"/>
      <c r="N30" s="66"/>
      <c r="O30" s="66"/>
      <c r="P30" s="66"/>
      <c r="Q30" s="66"/>
      <c r="R30" s="100">
        <f t="shared" si="0"/>
        <v>0</v>
      </c>
    </row>
    <row r="31" spans="1:18" ht="24.95" customHeight="1">
      <c r="A31" s="169">
        <v>22201</v>
      </c>
      <c r="B31" s="66" t="s">
        <v>90</v>
      </c>
      <c r="C31" s="118"/>
      <c r="D31" s="118"/>
      <c r="E31" s="118"/>
      <c r="F31" s="118"/>
      <c r="G31" s="118"/>
      <c r="H31" s="118"/>
      <c r="I31" s="118"/>
      <c r="J31" s="118"/>
      <c r="K31" s="66"/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100">
        <f t="shared" si="0"/>
        <v>0</v>
      </c>
    </row>
    <row r="32" spans="1:18" ht="24.95" customHeight="1">
      <c r="A32" s="169">
        <v>22202</v>
      </c>
      <c r="B32" s="66" t="s">
        <v>91</v>
      </c>
      <c r="C32" s="118"/>
      <c r="D32" s="118"/>
      <c r="E32" s="118"/>
      <c r="F32" s="118"/>
      <c r="G32" s="118"/>
      <c r="H32" s="118"/>
      <c r="I32" s="118"/>
      <c r="J32" s="118"/>
      <c r="K32" s="66"/>
      <c r="L32" s="116">
        <v>900000000</v>
      </c>
      <c r="M32" s="116">
        <f>900000000*70%</f>
        <v>630000000</v>
      </c>
      <c r="N32" s="66">
        <f>M32</f>
        <v>630000000</v>
      </c>
      <c r="O32" s="66">
        <v>1600000000</v>
      </c>
      <c r="P32" s="66">
        <v>1600000000</v>
      </c>
      <c r="Q32" s="66">
        <v>1600000000</v>
      </c>
      <c r="R32" s="100">
        <f t="shared" si="0"/>
        <v>0</v>
      </c>
    </row>
    <row r="33" spans="1:18" ht="24.95" customHeight="1">
      <c r="A33" s="169">
        <v>22203</v>
      </c>
      <c r="B33" s="66" t="s">
        <v>85</v>
      </c>
      <c r="C33" s="118"/>
      <c r="D33" s="118"/>
      <c r="E33" s="118"/>
      <c r="F33" s="118"/>
      <c r="G33" s="118"/>
      <c r="H33" s="118"/>
      <c r="I33" s="118"/>
      <c r="J33" s="118"/>
      <c r="K33" s="117"/>
      <c r="L33" s="66">
        <v>33516000</v>
      </c>
      <c r="M33" s="66">
        <f>33516000*70%</f>
        <v>23461200</v>
      </c>
      <c r="N33" s="66">
        <f>33516000*70%</f>
        <v>23461200</v>
      </c>
      <c r="O33" s="66">
        <v>23461200</v>
      </c>
      <c r="P33" s="66">
        <v>23461200</v>
      </c>
      <c r="Q33" s="66">
        <v>23461200</v>
      </c>
      <c r="R33" s="100">
        <f t="shared" si="0"/>
        <v>0</v>
      </c>
    </row>
    <row r="34" spans="1:18" ht="24.95" customHeight="1">
      <c r="A34" s="169">
        <v>22204</v>
      </c>
      <c r="B34" s="66" t="s">
        <v>86</v>
      </c>
      <c r="C34" s="118"/>
      <c r="D34" s="118"/>
      <c r="E34" s="118"/>
      <c r="F34" s="118"/>
      <c r="G34" s="118"/>
      <c r="H34" s="118"/>
      <c r="I34" s="118"/>
      <c r="J34" s="118"/>
      <c r="K34" s="117"/>
      <c r="L34" s="66">
        <v>18620000</v>
      </c>
      <c r="M34" s="66">
        <f>18620000*70%</f>
        <v>13034000</v>
      </c>
      <c r="N34" s="66">
        <f>18620000*70%</f>
        <v>13034000</v>
      </c>
      <c r="O34" s="66">
        <v>13034000</v>
      </c>
      <c r="P34" s="66">
        <v>13034000</v>
      </c>
      <c r="Q34" s="66">
        <v>13034000</v>
      </c>
      <c r="R34" s="100">
        <f t="shared" si="0"/>
        <v>0</v>
      </c>
    </row>
    <row r="35" spans="1:18" ht="24.95" customHeight="1">
      <c r="A35" s="169">
        <v>22208</v>
      </c>
      <c r="B35" s="66" t="s">
        <v>47</v>
      </c>
      <c r="C35" s="118"/>
      <c r="D35" s="118"/>
      <c r="E35" s="118"/>
      <c r="F35" s="66"/>
      <c r="G35" s="118"/>
      <c r="H35" s="118"/>
      <c r="I35" s="118"/>
      <c r="J35" s="118"/>
      <c r="K35" s="118"/>
      <c r="L35" s="116">
        <v>38500000</v>
      </c>
      <c r="M35" s="116">
        <f>38500000*70%</f>
        <v>26950000</v>
      </c>
      <c r="N35" s="66">
        <v>0</v>
      </c>
      <c r="O35" s="66">
        <v>0</v>
      </c>
      <c r="P35" s="66">
        <v>0</v>
      </c>
      <c r="Q35" s="66">
        <v>0</v>
      </c>
      <c r="R35" s="100">
        <f t="shared" si="0"/>
        <v>0</v>
      </c>
    </row>
    <row r="36" spans="1:18" ht="24.95" customHeight="1">
      <c r="A36" s="169">
        <v>22216</v>
      </c>
      <c r="B36" s="66" t="s">
        <v>177</v>
      </c>
      <c r="C36" s="118"/>
      <c r="D36" s="118"/>
      <c r="E36" s="118"/>
      <c r="F36" s="66"/>
      <c r="G36" s="118"/>
      <c r="H36" s="118"/>
      <c r="I36" s="118"/>
      <c r="J36" s="118"/>
      <c r="K36" s="118"/>
      <c r="L36" s="116">
        <v>22344000</v>
      </c>
      <c r="M36" s="116">
        <f>22344000*70%</f>
        <v>15640799.999999998</v>
      </c>
      <c r="N36" s="66">
        <v>0</v>
      </c>
      <c r="O36" s="66">
        <v>0</v>
      </c>
      <c r="P36" s="66">
        <v>0</v>
      </c>
      <c r="Q36" s="66">
        <v>0</v>
      </c>
      <c r="R36" s="100">
        <f t="shared" si="0"/>
        <v>0</v>
      </c>
    </row>
    <row r="37" spans="1:18" ht="24.95" customHeight="1">
      <c r="A37" s="169"/>
      <c r="B37" s="106" t="s">
        <v>59</v>
      </c>
      <c r="C37" s="118"/>
      <c r="D37" s="118"/>
      <c r="E37" s="118"/>
      <c r="F37" s="66"/>
      <c r="G37" s="118"/>
      <c r="H37" s="118"/>
      <c r="I37" s="118"/>
      <c r="J37" s="118"/>
      <c r="K37" s="118"/>
      <c r="L37" s="117">
        <f t="shared" ref="L37:P37" si="1">SUM(L31:L36)</f>
        <v>1012980000</v>
      </c>
      <c r="M37" s="117">
        <f t="shared" si="1"/>
        <v>709086000</v>
      </c>
      <c r="N37" s="106">
        <f t="shared" si="1"/>
        <v>666495200</v>
      </c>
      <c r="O37" s="106">
        <f t="shared" si="1"/>
        <v>1636495200</v>
      </c>
      <c r="P37" s="106">
        <f t="shared" si="1"/>
        <v>1636495200</v>
      </c>
      <c r="Q37" s="106">
        <f>SUM(Q31:Q36)</f>
        <v>1636495200</v>
      </c>
      <c r="R37" s="105">
        <f t="shared" si="0"/>
        <v>0</v>
      </c>
    </row>
    <row r="38" spans="1:18" ht="24.95" customHeight="1">
      <c r="A38" s="249">
        <v>2230</v>
      </c>
      <c r="B38" s="106" t="s">
        <v>88</v>
      </c>
      <c r="C38" s="118"/>
      <c r="D38" s="118"/>
      <c r="E38" s="118"/>
      <c r="F38" s="66"/>
      <c r="G38" s="118"/>
      <c r="H38" s="118"/>
      <c r="I38" s="118"/>
      <c r="J38" s="118"/>
      <c r="K38" s="118"/>
      <c r="L38" s="118"/>
      <c r="M38" s="118"/>
      <c r="N38" s="66"/>
      <c r="O38" s="66"/>
      <c r="P38" s="66"/>
      <c r="Q38" s="66"/>
      <c r="R38" s="100">
        <f t="shared" si="0"/>
        <v>0</v>
      </c>
    </row>
    <row r="39" spans="1:18" ht="24.95" customHeight="1">
      <c r="A39" s="169">
        <v>22301</v>
      </c>
      <c r="B39" s="66" t="s">
        <v>31</v>
      </c>
      <c r="C39" s="118"/>
      <c r="D39" s="118"/>
      <c r="E39" s="118"/>
      <c r="F39" s="66"/>
      <c r="G39" s="118"/>
      <c r="H39" s="118"/>
      <c r="I39" s="118"/>
      <c r="J39" s="118"/>
      <c r="K39" s="118"/>
      <c r="L39" s="66">
        <v>148960000</v>
      </c>
      <c r="M39" s="66">
        <f>148960000*70%</f>
        <v>104272000</v>
      </c>
      <c r="N39" s="66">
        <f>148960000*70%</f>
        <v>104272000</v>
      </c>
      <c r="O39" s="66">
        <v>250000000</v>
      </c>
      <c r="P39" s="66">
        <v>300000000</v>
      </c>
      <c r="Q39" s="66">
        <v>300000000</v>
      </c>
      <c r="R39" s="100">
        <f t="shared" si="0"/>
        <v>0</v>
      </c>
    </row>
    <row r="40" spans="1:18" ht="24.95" customHeight="1">
      <c r="A40" s="169">
        <v>22302</v>
      </c>
      <c r="B40" s="66" t="s">
        <v>162</v>
      </c>
      <c r="C40" s="118"/>
      <c r="D40" s="118"/>
      <c r="E40" s="118"/>
      <c r="F40" s="66"/>
      <c r="G40" s="118"/>
      <c r="H40" s="118"/>
      <c r="I40" s="118"/>
      <c r="J40" s="118"/>
      <c r="K40" s="118"/>
      <c r="L40" s="100">
        <f>K40-J40</f>
        <v>0</v>
      </c>
      <c r="M40" s="100">
        <f>L40-K40</f>
        <v>0</v>
      </c>
      <c r="N40" s="66">
        <f>M40-L40</f>
        <v>0</v>
      </c>
      <c r="O40" s="66">
        <v>0</v>
      </c>
      <c r="P40" s="66">
        <v>0</v>
      </c>
      <c r="Q40" s="66">
        <v>0</v>
      </c>
      <c r="R40" s="100">
        <f t="shared" si="0"/>
        <v>0</v>
      </c>
    </row>
    <row r="41" spans="1:18" ht="24.95" customHeight="1">
      <c r="A41" s="169"/>
      <c r="B41" s="106" t="s">
        <v>59</v>
      </c>
      <c r="C41" s="118"/>
      <c r="D41" s="118"/>
      <c r="E41" s="118"/>
      <c r="F41" s="66"/>
      <c r="G41" s="118"/>
      <c r="H41" s="118"/>
      <c r="I41" s="118"/>
      <c r="J41" s="118"/>
      <c r="K41" s="118"/>
      <c r="L41" s="105">
        <f t="shared" ref="L41:P41" si="2">SUM(L39:L40)</f>
        <v>148960000</v>
      </c>
      <c r="M41" s="105">
        <f t="shared" si="2"/>
        <v>104272000</v>
      </c>
      <c r="N41" s="106">
        <f t="shared" si="2"/>
        <v>104272000</v>
      </c>
      <c r="O41" s="106">
        <f t="shared" si="2"/>
        <v>250000000</v>
      </c>
      <c r="P41" s="106">
        <f t="shared" si="2"/>
        <v>300000000</v>
      </c>
      <c r="Q41" s="106">
        <f>SUM(Q39:Q40)</f>
        <v>300000000</v>
      </c>
      <c r="R41" s="105">
        <f t="shared" si="0"/>
        <v>0</v>
      </c>
    </row>
    <row r="42" spans="1:18" ht="24.95" customHeight="1">
      <c r="A42" s="249">
        <v>230</v>
      </c>
      <c r="B42" s="106" t="s">
        <v>165</v>
      </c>
      <c r="C42" s="118"/>
      <c r="D42" s="118"/>
      <c r="E42" s="118"/>
      <c r="F42" s="66"/>
      <c r="G42" s="118"/>
      <c r="H42" s="118"/>
      <c r="I42" s="118"/>
      <c r="J42" s="118"/>
      <c r="K42" s="118"/>
      <c r="L42" s="118"/>
      <c r="M42" s="118"/>
      <c r="N42" s="66"/>
      <c r="O42" s="66"/>
      <c r="P42" s="66"/>
      <c r="Q42" s="66"/>
      <c r="R42" s="100">
        <f t="shared" si="0"/>
        <v>0</v>
      </c>
    </row>
    <row r="43" spans="1:18" ht="24.95" customHeight="1">
      <c r="A43" s="249">
        <v>2310</v>
      </c>
      <c r="B43" s="106" t="s">
        <v>164</v>
      </c>
      <c r="C43" s="118"/>
      <c r="D43" s="118"/>
      <c r="E43" s="118"/>
      <c r="F43" s="66"/>
      <c r="G43" s="118"/>
      <c r="H43" s="118"/>
      <c r="I43" s="118"/>
      <c r="J43" s="118"/>
      <c r="K43" s="118"/>
      <c r="L43" s="118"/>
      <c r="M43" s="118"/>
      <c r="N43" s="66"/>
      <c r="O43" s="66"/>
      <c r="P43" s="66"/>
      <c r="Q43" s="66"/>
      <c r="R43" s="100">
        <f t="shared" si="0"/>
        <v>0</v>
      </c>
    </row>
    <row r="44" spans="1:18" ht="24.95" customHeight="1">
      <c r="A44" s="169">
        <v>23102</v>
      </c>
      <c r="B44" s="66" t="s">
        <v>899</v>
      </c>
      <c r="C44" s="118"/>
      <c r="D44" s="118"/>
      <c r="E44" s="118"/>
      <c r="F44" s="66"/>
      <c r="G44" s="118"/>
      <c r="H44" s="118"/>
      <c r="I44" s="118"/>
      <c r="J44" s="118"/>
      <c r="K44" s="118"/>
      <c r="L44" s="100">
        <f>K44-J44</f>
        <v>0</v>
      </c>
      <c r="M44" s="100">
        <v>185250000</v>
      </c>
      <c r="N44" s="66">
        <v>0</v>
      </c>
      <c r="O44" s="66">
        <v>138000000</v>
      </c>
      <c r="P44" s="66">
        <v>120000000</v>
      </c>
      <c r="Q44" s="66">
        <v>48000000</v>
      </c>
      <c r="R44" s="100">
        <f t="shared" si="0"/>
        <v>-72000000</v>
      </c>
    </row>
    <row r="45" spans="1:18" ht="24.95" customHeight="1">
      <c r="A45" s="169">
        <v>23103</v>
      </c>
      <c r="B45" s="66" t="s">
        <v>106</v>
      </c>
      <c r="C45" s="118"/>
      <c r="D45" s="118"/>
      <c r="E45" s="118"/>
      <c r="F45" s="66"/>
      <c r="G45" s="118"/>
      <c r="H45" s="118"/>
      <c r="I45" s="118"/>
      <c r="J45" s="118"/>
      <c r="K45" s="118"/>
      <c r="L45" s="116">
        <v>52136000</v>
      </c>
      <c r="M45" s="116">
        <v>0</v>
      </c>
      <c r="N45" s="66">
        <v>0</v>
      </c>
      <c r="O45" s="66">
        <v>0</v>
      </c>
      <c r="P45" s="66">
        <v>0</v>
      </c>
      <c r="Q45" s="66">
        <v>0</v>
      </c>
      <c r="R45" s="100">
        <f t="shared" si="0"/>
        <v>0</v>
      </c>
    </row>
    <row r="46" spans="1:18" ht="24.95" customHeight="1">
      <c r="A46" s="169">
        <v>23104</v>
      </c>
      <c r="B46" s="66" t="s">
        <v>107</v>
      </c>
      <c r="C46" s="118"/>
      <c r="D46" s="118"/>
      <c r="E46" s="118"/>
      <c r="F46" s="66"/>
      <c r="G46" s="118"/>
      <c r="H46" s="118"/>
      <c r="I46" s="118"/>
      <c r="J46" s="118"/>
      <c r="K46" s="118"/>
      <c r="L46" s="116">
        <v>10000000</v>
      </c>
      <c r="M46" s="116">
        <f>10000000*70%</f>
        <v>7000000</v>
      </c>
      <c r="N46" s="66">
        <v>0</v>
      </c>
      <c r="O46" s="66">
        <v>0</v>
      </c>
      <c r="P46" s="66">
        <v>0</v>
      </c>
      <c r="Q46" s="66">
        <v>0</v>
      </c>
      <c r="R46" s="100">
        <f t="shared" si="0"/>
        <v>0</v>
      </c>
    </row>
    <row r="47" spans="1:18" ht="24.95" customHeight="1">
      <c r="A47" s="169">
        <v>23107</v>
      </c>
      <c r="B47" s="66" t="s">
        <v>892</v>
      </c>
      <c r="C47" s="118"/>
      <c r="D47" s="118"/>
      <c r="E47" s="118"/>
      <c r="F47" s="66"/>
      <c r="G47" s="118"/>
      <c r="H47" s="118"/>
      <c r="I47" s="118"/>
      <c r="J47" s="118"/>
      <c r="K47" s="118"/>
      <c r="L47" s="116">
        <v>75000000</v>
      </c>
      <c r="M47" s="116">
        <v>234764000</v>
      </c>
      <c r="N47" s="66">
        <f>M47</f>
        <v>234764000</v>
      </c>
      <c r="O47" s="66">
        <v>484764000</v>
      </c>
      <c r="P47" s="66">
        <v>484764000</v>
      </c>
      <c r="Q47" s="66">
        <v>1947764000</v>
      </c>
      <c r="R47" s="100">
        <f t="shared" si="0"/>
        <v>1463000000</v>
      </c>
    </row>
    <row r="48" spans="1:18" ht="24.95" customHeight="1">
      <c r="A48" s="169">
        <v>23115</v>
      </c>
      <c r="B48" s="66" t="s">
        <v>665</v>
      </c>
      <c r="C48" s="118"/>
      <c r="D48" s="118"/>
      <c r="E48" s="118"/>
      <c r="F48" s="66"/>
      <c r="G48" s="118"/>
      <c r="H48" s="118"/>
      <c r="I48" s="118"/>
      <c r="J48" s="118"/>
      <c r="K48" s="118"/>
      <c r="L48" s="116"/>
      <c r="M48" s="116"/>
      <c r="N48" s="66"/>
      <c r="O48" s="66"/>
      <c r="P48" s="66">
        <v>240000000</v>
      </c>
      <c r="Q48" s="66">
        <v>240000000</v>
      </c>
      <c r="R48" s="100">
        <f t="shared" si="0"/>
        <v>0</v>
      </c>
    </row>
    <row r="49" spans="1:18" ht="24.95" customHeight="1">
      <c r="A49" s="169"/>
      <c r="B49" s="66" t="s">
        <v>59</v>
      </c>
      <c r="C49" s="118"/>
      <c r="D49" s="118"/>
      <c r="E49" s="118"/>
      <c r="F49" s="66"/>
      <c r="G49" s="118"/>
      <c r="H49" s="118"/>
      <c r="I49" s="118"/>
      <c r="J49" s="118"/>
      <c r="K49" s="118"/>
      <c r="L49" s="117">
        <f>SUM(L44:L47)</f>
        <v>137136000</v>
      </c>
      <c r="M49" s="117">
        <f>SUM(M44:M47)</f>
        <v>427014000</v>
      </c>
      <c r="N49" s="106">
        <f>SUM(N44:N47)</f>
        <v>234764000</v>
      </c>
      <c r="O49" s="106">
        <f>SUM(O44:O47)</f>
        <v>622764000</v>
      </c>
      <c r="P49" s="106">
        <f>SUM(P44:P48)</f>
        <v>844764000</v>
      </c>
      <c r="Q49" s="106">
        <f>SUM(Q44:Q48)</f>
        <v>2235764000</v>
      </c>
      <c r="R49" s="105">
        <f t="shared" si="0"/>
        <v>1391000000</v>
      </c>
    </row>
    <row r="50" spans="1:18" ht="24.95" customHeight="1">
      <c r="A50" s="249">
        <v>2320</v>
      </c>
      <c r="B50" s="106" t="s">
        <v>87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00"/>
      <c r="M50" s="100"/>
      <c r="N50" s="66"/>
      <c r="O50" s="66"/>
      <c r="P50" s="66"/>
      <c r="Q50" s="66"/>
      <c r="R50" s="100">
        <f t="shared" si="0"/>
        <v>0</v>
      </c>
    </row>
    <row r="51" spans="1:18" ht="24.95" customHeight="1">
      <c r="A51" s="169">
        <v>23201</v>
      </c>
      <c r="B51" s="66" t="s">
        <v>621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00">
        <v>0</v>
      </c>
      <c r="M51" s="100">
        <v>358688000</v>
      </c>
      <c r="N51" s="66">
        <v>330703860</v>
      </c>
      <c r="O51" s="66">
        <v>0</v>
      </c>
      <c r="P51" s="66">
        <v>400000000</v>
      </c>
      <c r="Q51" s="66">
        <v>100000000</v>
      </c>
      <c r="R51" s="100">
        <f t="shared" si="0"/>
        <v>-300000000</v>
      </c>
    </row>
    <row r="52" spans="1:18" ht="24.95" customHeight="1">
      <c r="A52" s="169">
        <v>23201</v>
      </c>
      <c r="B52" s="66" t="s">
        <v>664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00"/>
      <c r="M52" s="100"/>
      <c r="N52" s="66"/>
      <c r="O52" s="66">
        <v>0</v>
      </c>
      <c r="P52" s="66">
        <v>400000000</v>
      </c>
      <c r="Q52" s="66">
        <v>0</v>
      </c>
      <c r="R52" s="100">
        <f t="shared" si="0"/>
        <v>-400000000</v>
      </c>
    </row>
    <row r="53" spans="1:18" ht="24.95" customHeight="1">
      <c r="A53" s="169"/>
      <c r="B53" s="106" t="s">
        <v>59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05">
        <f>SUM(L51)</f>
        <v>0</v>
      </c>
      <c r="M53" s="105">
        <f>SUM(M51)</f>
        <v>358688000</v>
      </c>
      <c r="N53" s="106">
        <f>SUM(N51)</f>
        <v>330703860</v>
      </c>
      <c r="O53" s="106">
        <f>SUM(O51)</f>
        <v>0</v>
      </c>
      <c r="P53" s="106">
        <f>SUM(P51:P52)</f>
        <v>800000000</v>
      </c>
      <c r="Q53" s="106">
        <f>SUM(Q51:Q52)</f>
        <v>100000000</v>
      </c>
      <c r="R53" s="105">
        <f t="shared" si="0"/>
        <v>-700000000</v>
      </c>
    </row>
    <row r="54" spans="1:18" ht="24.95" customHeight="1">
      <c r="A54" s="368">
        <v>2630</v>
      </c>
      <c r="B54" s="297" t="s">
        <v>306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00">
        <f t="shared" si="0"/>
        <v>0</v>
      </c>
    </row>
    <row r="55" spans="1:18" ht="24.95" customHeight="1">
      <c r="A55" s="249">
        <v>26301</v>
      </c>
      <c r="B55" s="66" t="s">
        <v>309</v>
      </c>
      <c r="C55" s="106"/>
      <c r="D55" s="106"/>
      <c r="E55" s="106"/>
      <c r="F55" s="106"/>
      <c r="G55" s="106"/>
      <c r="H55" s="106"/>
      <c r="I55" s="106"/>
      <c r="J55" s="106"/>
      <c r="K55" s="66"/>
      <c r="L55" s="66">
        <v>17800000</v>
      </c>
      <c r="M55" s="66">
        <f>1511608000*70%-150000000-50000000</f>
        <v>858125599.99999988</v>
      </c>
      <c r="N55" s="66">
        <v>998125600</v>
      </c>
      <c r="O55" s="66">
        <v>1298125600</v>
      </c>
      <c r="P55" s="66">
        <v>1298125600</v>
      </c>
      <c r="Q55" s="66">
        <v>1298125600</v>
      </c>
      <c r="R55" s="100">
        <f t="shared" si="0"/>
        <v>0</v>
      </c>
    </row>
    <row r="56" spans="1:18" ht="24.95" customHeight="1">
      <c r="A56" s="249"/>
      <c r="B56" s="66"/>
      <c r="C56" s="106"/>
      <c r="D56" s="106"/>
      <c r="E56" s="106"/>
      <c r="F56" s="106"/>
      <c r="G56" s="106"/>
      <c r="H56" s="106"/>
      <c r="I56" s="106"/>
      <c r="J56" s="106"/>
      <c r="K56" s="66"/>
      <c r="L56" s="106">
        <f t="shared" ref="L56:P56" si="3">SUM(L55)</f>
        <v>17800000</v>
      </c>
      <c r="M56" s="106">
        <f t="shared" si="3"/>
        <v>858125599.99999988</v>
      </c>
      <c r="N56" s="106">
        <f t="shared" si="3"/>
        <v>998125600</v>
      </c>
      <c r="O56" s="106">
        <f t="shared" si="3"/>
        <v>1298125600</v>
      </c>
      <c r="P56" s="106">
        <f t="shared" si="3"/>
        <v>1298125600</v>
      </c>
      <c r="Q56" s="106">
        <f>SUM(Q55)</f>
        <v>1298125600</v>
      </c>
      <c r="R56" s="105">
        <f t="shared" si="0"/>
        <v>0</v>
      </c>
    </row>
    <row r="57" spans="1:18" ht="24.95" customHeight="1">
      <c r="A57" s="169"/>
      <c r="B57" s="106" t="s">
        <v>18</v>
      </c>
      <c r="C57" s="118"/>
      <c r="D57" s="118"/>
      <c r="E57" s="118"/>
      <c r="F57" s="66"/>
      <c r="G57" s="118"/>
      <c r="H57" s="118"/>
      <c r="I57" s="118"/>
      <c r="J57" s="118"/>
      <c r="K57" s="118"/>
      <c r="L57" s="105">
        <f>L56+L49+L53+L41+L37+L29+L11</f>
        <v>2829318000</v>
      </c>
      <c r="M57" s="105">
        <f>M56+M49+M53+M41+M37+M29+M11</f>
        <v>4911675200</v>
      </c>
      <c r="N57" s="106">
        <f>N56+N49+N53+N41+N37+N29+N11</f>
        <v>4918002660</v>
      </c>
      <c r="O57" s="106">
        <f>O56+O49+O41+O37+O29+O11+O53</f>
        <v>8170279600</v>
      </c>
      <c r="P57" s="106">
        <f>P56+P49+P41+P37+P29+P11+P53</f>
        <v>10117931250</v>
      </c>
      <c r="Q57" s="106">
        <f>Q56+Q49+Q41+Q37+Q29+Q11+Q53</f>
        <v>25067457952</v>
      </c>
      <c r="R57" s="105">
        <f t="shared" si="0"/>
        <v>14949526702</v>
      </c>
    </row>
    <row r="58" spans="1:18" ht="24.9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369"/>
      <c r="O58" s="369"/>
      <c r="P58" s="369"/>
      <c r="Q58" s="369"/>
    </row>
    <row r="61" spans="1:18" ht="24.95" customHeight="1">
      <c r="L61" s="370"/>
    </row>
  </sheetData>
  <pageMargins left="0.7" right="0.25" top="0.51" bottom="0.24" header="0.17" footer="0.17"/>
  <pageSetup scale="50" orientation="portrait" r:id="rId1"/>
  <headerFooter>
    <oddHeader>&amp;C&amp;"Algerian,Bold"&amp;36WASAARADdA WARFAAFINTA DH. IYO WACYIGALINTA</oddHeader>
    <oddFooter>&amp;R&amp;"Times New Roman,Bold"&amp;12 25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="60" workbookViewId="0">
      <selection activeCell="B18" sqref="B18"/>
    </sheetView>
  </sheetViews>
  <sheetFormatPr defaultRowHeight="12.75"/>
  <cols>
    <col min="1" max="1" width="16.83203125" style="376" bestFit="1" customWidth="1"/>
    <col min="2" max="2" width="80.5" style="181" customWidth="1"/>
    <col min="3" max="11" width="0" style="181" hidden="1" customWidth="1"/>
    <col min="12" max="13" width="27.33203125" style="181" hidden="1" customWidth="1"/>
    <col min="14" max="14" width="35.33203125" style="181" hidden="1" customWidth="1"/>
    <col min="15" max="15" width="0.1640625" style="181" customWidth="1"/>
    <col min="16" max="16" width="31" style="181" bestFit="1" customWidth="1"/>
    <col min="17" max="17" width="31" style="181" customWidth="1"/>
    <col min="18" max="18" width="28.83203125" style="181" bestFit="1" customWidth="1"/>
    <col min="19" max="16384" width="9.33203125" style="181"/>
  </cols>
  <sheetData>
    <row r="1" spans="1:18" ht="26.45" customHeight="1">
      <c r="A1" s="353" t="s">
        <v>21</v>
      </c>
      <c r="B1" s="183" t="s">
        <v>782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372"/>
    </row>
    <row r="2" spans="1:18" ht="26.45" customHeight="1">
      <c r="A2" s="249">
        <v>210</v>
      </c>
      <c r="B2" s="106" t="s">
        <v>95</v>
      </c>
      <c r="C2" s="105" t="s">
        <v>19</v>
      </c>
      <c r="D2" s="373" t="s">
        <v>2</v>
      </c>
      <c r="E2" s="373" t="s">
        <v>24</v>
      </c>
      <c r="F2" s="373" t="s">
        <v>28</v>
      </c>
      <c r="G2" s="373" t="s">
        <v>33</v>
      </c>
      <c r="H2" s="373" t="s">
        <v>40</v>
      </c>
      <c r="I2" s="373" t="s">
        <v>72</v>
      </c>
      <c r="J2" s="373" t="s">
        <v>71</v>
      </c>
      <c r="K2" s="373" t="s">
        <v>77</v>
      </c>
      <c r="L2" s="373" t="s">
        <v>110</v>
      </c>
      <c r="M2" s="373" t="s">
        <v>185</v>
      </c>
      <c r="N2" s="373" t="s">
        <v>320</v>
      </c>
      <c r="O2" s="373" t="s">
        <v>538</v>
      </c>
      <c r="P2" s="373" t="s">
        <v>607</v>
      </c>
      <c r="Q2" s="373" t="s">
        <v>722</v>
      </c>
      <c r="R2" s="373" t="s">
        <v>34</v>
      </c>
    </row>
    <row r="3" spans="1:18" ht="26.45" customHeight="1">
      <c r="A3" s="249">
        <v>2110</v>
      </c>
      <c r="B3" s="106" t="s">
        <v>155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8"/>
    </row>
    <row r="4" spans="1:18" ht="26.45" customHeight="1">
      <c r="A4" s="169">
        <v>21101</v>
      </c>
      <c r="B4" s="66" t="s">
        <v>9</v>
      </c>
      <c r="C4" s="66">
        <v>81679000</v>
      </c>
      <c r="D4" s="66">
        <v>60243000</v>
      </c>
      <c r="E4" s="66">
        <v>56880000</v>
      </c>
      <c r="F4" s="66">
        <v>52968000</v>
      </c>
      <c r="G4" s="66">
        <v>61800000</v>
      </c>
      <c r="H4" s="66">
        <f>SUM(12720000,61800000)</f>
        <v>74520000</v>
      </c>
      <c r="I4" s="66">
        <v>96876000</v>
      </c>
      <c r="J4" s="66">
        <f>96876000+4149600+54000000+6000000</f>
        <v>161025600</v>
      </c>
      <c r="K4" s="66">
        <v>8504548800</v>
      </c>
      <c r="L4" s="66">
        <v>8504548800</v>
      </c>
      <c r="M4" s="66" t="e">
        <f>#REF!+16663046400+3744000+36000000</f>
        <v>#REF!</v>
      </c>
      <c r="N4" s="66">
        <v>189009600</v>
      </c>
      <c r="O4" s="66">
        <v>206668800</v>
      </c>
      <c r="P4" s="66">
        <v>279227520</v>
      </c>
      <c r="Q4" s="66">
        <v>293679360</v>
      </c>
      <c r="R4" s="100">
        <f>Q4-P4</f>
        <v>14451840</v>
      </c>
    </row>
    <row r="5" spans="1:18" ht="26.45" customHeight="1">
      <c r="A5" s="169">
        <v>21102</v>
      </c>
      <c r="B5" s="66" t="s">
        <v>418</v>
      </c>
      <c r="C5" s="66"/>
      <c r="D5" s="66"/>
      <c r="E5" s="66"/>
      <c r="F5" s="66"/>
      <c r="G5" s="66">
        <v>6176304000</v>
      </c>
      <c r="H5" s="66">
        <f>SUM(6176304000,137088000)</f>
        <v>6313392000</v>
      </c>
      <c r="I5" s="66">
        <v>8207409600</v>
      </c>
      <c r="J5" s="66">
        <v>8283787200</v>
      </c>
      <c r="K5" s="66">
        <v>0</v>
      </c>
      <c r="L5" s="66">
        <v>0</v>
      </c>
      <c r="M5" s="66">
        <v>0</v>
      </c>
      <c r="N5" s="66">
        <v>97200000</v>
      </c>
      <c r="O5" s="66">
        <v>97200000</v>
      </c>
      <c r="P5" s="66">
        <v>194400000</v>
      </c>
      <c r="Q5" s="66">
        <v>194400000</v>
      </c>
      <c r="R5" s="100">
        <f t="shared" ref="R5:R45" si="0">Q5-P5</f>
        <v>0</v>
      </c>
    </row>
    <row r="6" spans="1:18" ht="26.45" customHeight="1">
      <c r="A6" s="169">
        <v>21103</v>
      </c>
      <c r="B6" s="66" t="s">
        <v>11</v>
      </c>
      <c r="C6" s="66">
        <v>1383000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470552956</v>
      </c>
      <c r="L6" s="66">
        <f>470552956+44304000+3600000</f>
        <v>518456956</v>
      </c>
      <c r="M6" s="66">
        <f>470552956+44304000+3600000</f>
        <v>518456956</v>
      </c>
      <c r="N6" s="66">
        <v>547256956</v>
      </c>
      <c r="O6" s="66">
        <v>697824000</v>
      </c>
      <c r="P6" s="66">
        <v>834624000</v>
      </c>
      <c r="Q6" s="66">
        <v>834624000</v>
      </c>
      <c r="R6" s="100">
        <f t="shared" si="0"/>
        <v>0</v>
      </c>
    </row>
    <row r="7" spans="1:18" ht="26.45" customHeight="1">
      <c r="A7" s="169">
        <v>21105</v>
      </c>
      <c r="B7" s="66" t="s">
        <v>333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>
        <v>0</v>
      </c>
      <c r="N7" s="66">
        <v>0</v>
      </c>
      <c r="O7" s="66">
        <v>18000000</v>
      </c>
      <c r="P7" s="66">
        <v>18000000</v>
      </c>
      <c r="Q7" s="66">
        <v>18000000</v>
      </c>
      <c r="R7" s="100">
        <f t="shared" si="0"/>
        <v>0</v>
      </c>
    </row>
    <row r="8" spans="1:18" ht="26.45" customHeight="1">
      <c r="A8" s="249">
        <v>2120</v>
      </c>
      <c r="B8" s="106" t="s">
        <v>156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100">
        <f t="shared" si="0"/>
        <v>0</v>
      </c>
    </row>
    <row r="9" spans="1:18" ht="26.45" customHeight="1">
      <c r="A9" s="169">
        <v>21202</v>
      </c>
      <c r="B9" s="66" t="s">
        <v>351</v>
      </c>
      <c r="C9" s="66"/>
      <c r="D9" s="66"/>
      <c r="E9" s="66"/>
      <c r="F9" s="66"/>
      <c r="G9" s="66"/>
      <c r="H9" s="66"/>
      <c r="I9" s="66"/>
      <c r="J9" s="66"/>
      <c r="K9" s="66"/>
      <c r="L9" s="66">
        <v>0</v>
      </c>
      <c r="M9" s="66">
        <f>6357000+5878600</f>
        <v>12235600</v>
      </c>
      <c r="N9" s="66">
        <v>0</v>
      </c>
      <c r="O9" s="66">
        <v>0</v>
      </c>
      <c r="P9" s="66">
        <v>0</v>
      </c>
      <c r="Q9" s="66">
        <v>0</v>
      </c>
      <c r="R9" s="100">
        <f t="shared" si="0"/>
        <v>0</v>
      </c>
    </row>
    <row r="10" spans="1:18" ht="26.45" customHeight="1">
      <c r="A10" s="169"/>
      <c r="B10" s="106" t="s">
        <v>59</v>
      </c>
      <c r="C10" s="66">
        <v>35640000</v>
      </c>
      <c r="D10" s="66">
        <v>46700000</v>
      </c>
      <c r="E10" s="66">
        <v>46700000</v>
      </c>
      <c r="F10" s="66">
        <v>46700000</v>
      </c>
      <c r="G10" s="66">
        <v>75024000</v>
      </c>
      <c r="H10" s="66">
        <v>93780000</v>
      </c>
      <c r="I10" s="66">
        <v>93780000</v>
      </c>
      <c r="J10" s="66">
        <v>150000000</v>
      </c>
      <c r="K10" s="66">
        <v>14764915</v>
      </c>
      <c r="L10" s="106">
        <f t="shared" ref="L10:P10" si="1">SUM(L4:L9)</f>
        <v>9023005756</v>
      </c>
      <c r="M10" s="106" t="e">
        <f t="shared" si="1"/>
        <v>#REF!</v>
      </c>
      <c r="N10" s="106">
        <f t="shared" si="1"/>
        <v>833466556</v>
      </c>
      <c r="O10" s="106">
        <f t="shared" si="1"/>
        <v>1019692800</v>
      </c>
      <c r="P10" s="106">
        <f t="shared" si="1"/>
        <v>1326251520</v>
      </c>
      <c r="Q10" s="106">
        <f>SUM(Q4:Q9)</f>
        <v>1340703360</v>
      </c>
      <c r="R10" s="105">
        <f t="shared" si="0"/>
        <v>14451840</v>
      </c>
    </row>
    <row r="11" spans="1:18" ht="26.45" customHeight="1">
      <c r="A11" s="249">
        <v>220</v>
      </c>
      <c r="B11" s="106" t="s">
        <v>159</v>
      </c>
      <c r="C11" s="66"/>
      <c r="D11" s="66"/>
      <c r="E11" s="66"/>
      <c r="F11" s="66"/>
      <c r="G11" s="66">
        <v>30600000</v>
      </c>
      <c r="H11" s="66">
        <v>30600000</v>
      </c>
      <c r="I11" s="66">
        <v>27349056</v>
      </c>
      <c r="J11" s="66">
        <v>27349056</v>
      </c>
      <c r="K11" s="66">
        <v>0</v>
      </c>
      <c r="L11" s="66"/>
      <c r="M11" s="66"/>
      <c r="N11" s="66"/>
      <c r="O11" s="66"/>
      <c r="P11" s="66"/>
      <c r="Q11" s="66"/>
      <c r="R11" s="100">
        <f t="shared" si="0"/>
        <v>0</v>
      </c>
    </row>
    <row r="12" spans="1:18" ht="26.45" customHeight="1">
      <c r="A12" s="249">
        <v>2210</v>
      </c>
      <c r="B12" s="106" t="s">
        <v>160</v>
      </c>
      <c r="C12" s="66"/>
      <c r="D12" s="66"/>
      <c r="E12" s="66"/>
      <c r="F12" s="66"/>
      <c r="G12" s="66"/>
      <c r="H12" s="66"/>
      <c r="I12" s="66"/>
      <c r="J12" s="66"/>
      <c r="K12" s="66">
        <v>3724000</v>
      </c>
      <c r="L12" s="66"/>
      <c r="M12" s="66"/>
      <c r="N12" s="66"/>
      <c r="O12" s="66"/>
      <c r="P12" s="66"/>
      <c r="Q12" s="66"/>
      <c r="R12" s="100">
        <f t="shared" si="0"/>
        <v>0</v>
      </c>
    </row>
    <row r="13" spans="1:18" ht="26.45" customHeight="1">
      <c r="A13" s="169">
        <v>22101</v>
      </c>
      <c r="B13" s="66" t="s">
        <v>14</v>
      </c>
      <c r="C13" s="66">
        <v>7546500</v>
      </c>
      <c r="D13" s="66">
        <v>4440000</v>
      </c>
      <c r="E13" s="66">
        <v>4440000</v>
      </c>
      <c r="F13" s="66">
        <v>4440000</v>
      </c>
      <c r="G13" s="66">
        <v>4800000</v>
      </c>
      <c r="H13" s="66">
        <v>6000000</v>
      </c>
      <c r="I13" s="66">
        <v>7448000</v>
      </c>
      <c r="J13" s="66">
        <v>15000000</v>
      </c>
      <c r="K13" s="66">
        <v>3724000</v>
      </c>
      <c r="L13" s="66">
        <v>14896000</v>
      </c>
      <c r="M13" s="66">
        <f>14896000*70%</f>
        <v>10427200</v>
      </c>
      <c r="N13" s="66">
        <f>14896000*70%</f>
        <v>10427200</v>
      </c>
      <c r="O13" s="66">
        <f>14896000*70%</f>
        <v>10427200</v>
      </c>
      <c r="P13" s="66">
        <v>20427200</v>
      </c>
      <c r="Q13" s="66">
        <v>20427200</v>
      </c>
      <c r="R13" s="100">
        <f t="shared" si="0"/>
        <v>0</v>
      </c>
    </row>
    <row r="14" spans="1:18" ht="26.45" customHeight="1">
      <c r="A14" s="169">
        <v>22104</v>
      </c>
      <c r="B14" s="66" t="s">
        <v>116</v>
      </c>
      <c r="C14" s="66">
        <v>3325000</v>
      </c>
      <c r="D14" s="66">
        <v>1560000</v>
      </c>
      <c r="E14" s="66">
        <v>1560000</v>
      </c>
      <c r="F14" s="66">
        <v>3560000</v>
      </c>
      <c r="G14" s="66">
        <v>3840000</v>
      </c>
      <c r="H14" s="66">
        <v>4800000</v>
      </c>
      <c r="I14" s="66">
        <v>7448000</v>
      </c>
      <c r="J14" s="66">
        <v>12000000</v>
      </c>
      <c r="K14" s="66">
        <v>2681280</v>
      </c>
      <c r="L14" s="66">
        <v>45000000</v>
      </c>
      <c r="M14" s="66">
        <f>L14*70%</f>
        <v>31499999.999999996</v>
      </c>
      <c r="N14" s="66">
        <v>40500000</v>
      </c>
      <c r="O14" s="66">
        <v>40500000</v>
      </c>
      <c r="P14" s="66">
        <v>45500000</v>
      </c>
      <c r="Q14" s="66">
        <v>50500000</v>
      </c>
      <c r="R14" s="100">
        <f t="shared" si="0"/>
        <v>5000000</v>
      </c>
    </row>
    <row r="15" spans="1:18" ht="26.45" customHeight="1">
      <c r="A15" s="169">
        <v>22106</v>
      </c>
      <c r="B15" s="66" t="s">
        <v>84</v>
      </c>
      <c r="C15" s="66"/>
      <c r="D15" s="66"/>
      <c r="E15" s="66"/>
      <c r="F15" s="66"/>
      <c r="G15" s="66"/>
      <c r="H15" s="66"/>
      <c r="I15" s="66"/>
      <c r="J15" s="66"/>
      <c r="K15" s="66">
        <v>2979200</v>
      </c>
      <c r="L15" s="66">
        <v>3724000</v>
      </c>
      <c r="M15" s="66">
        <f>22924000*70%</f>
        <v>16046799.999999998</v>
      </c>
      <c r="N15" s="66">
        <v>0</v>
      </c>
      <c r="O15" s="66">
        <v>0</v>
      </c>
      <c r="P15" s="66">
        <v>6000000</v>
      </c>
      <c r="Q15" s="66">
        <v>6000000</v>
      </c>
      <c r="R15" s="100">
        <f t="shared" si="0"/>
        <v>0</v>
      </c>
    </row>
    <row r="16" spans="1:18" ht="26.45" customHeight="1">
      <c r="A16" s="169">
        <v>22107</v>
      </c>
      <c r="B16" s="66" t="s">
        <v>30</v>
      </c>
      <c r="C16" s="66">
        <v>10663000</v>
      </c>
      <c r="D16" s="66">
        <v>15000000</v>
      </c>
      <c r="E16" s="66">
        <v>0</v>
      </c>
      <c r="F16" s="66">
        <v>0</v>
      </c>
      <c r="G16" s="66">
        <f>2400000+30000000</f>
        <v>32400000</v>
      </c>
      <c r="H16" s="66">
        <v>32400000</v>
      </c>
      <c r="I16" s="66">
        <v>24131520</v>
      </c>
      <c r="J16" s="66">
        <v>40000000</v>
      </c>
      <c r="K16" s="66">
        <v>24131520</v>
      </c>
      <c r="L16" s="66">
        <v>30000000</v>
      </c>
      <c r="M16" s="66">
        <f>30000000*70%</f>
        <v>21000000</v>
      </c>
      <c r="N16" s="66">
        <f>M16*70%</f>
        <v>14699999.999999998</v>
      </c>
      <c r="O16" s="66">
        <v>24700000</v>
      </c>
      <c r="P16" s="66">
        <v>24700000</v>
      </c>
      <c r="Q16" s="66">
        <v>24700000</v>
      </c>
      <c r="R16" s="100">
        <f t="shared" si="0"/>
        <v>0</v>
      </c>
    </row>
    <row r="17" spans="1:18" ht="26.45" customHeight="1">
      <c r="A17" s="169">
        <v>22108</v>
      </c>
      <c r="B17" s="66" t="s">
        <v>60</v>
      </c>
      <c r="C17" s="66"/>
      <c r="D17" s="66"/>
      <c r="E17" s="66"/>
      <c r="F17" s="66"/>
      <c r="G17" s="66"/>
      <c r="H17" s="66"/>
      <c r="I17" s="66"/>
      <c r="J17" s="66"/>
      <c r="K17" s="66">
        <v>450000000</v>
      </c>
      <c r="L17" s="66">
        <v>100000000</v>
      </c>
      <c r="M17" s="66">
        <f>100000000*70%</f>
        <v>70000000</v>
      </c>
      <c r="N17" s="66">
        <f>M17</f>
        <v>70000000</v>
      </c>
      <c r="O17" s="66">
        <v>88840000</v>
      </c>
      <c r="P17" s="66">
        <v>88840000</v>
      </c>
      <c r="Q17" s="66">
        <v>88840000</v>
      </c>
      <c r="R17" s="100">
        <f t="shared" si="0"/>
        <v>0</v>
      </c>
    </row>
    <row r="18" spans="1:18" ht="26.45" customHeight="1">
      <c r="A18" s="169">
        <v>22109</v>
      </c>
      <c r="B18" s="66" t="s">
        <v>94</v>
      </c>
      <c r="C18" s="66">
        <v>3753000</v>
      </c>
      <c r="D18" s="66">
        <v>3753000</v>
      </c>
      <c r="E18" s="66">
        <v>0</v>
      </c>
      <c r="F18" s="66">
        <f>SUM(F16:F16)</f>
        <v>0</v>
      </c>
      <c r="G18" s="66">
        <v>0</v>
      </c>
      <c r="H18" s="66">
        <v>0</v>
      </c>
      <c r="I18" s="66">
        <v>0</v>
      </c>
      <c r="J18" s="66">
        <v>0</v>
      </c>
      <c r="K18" s="106">
        <f>SUM(K10:K17)</f>
        <v>502004915</v>
      </c>
      <c r="L18" s="66">
        <v>9000000</v>
      </c>
      <c r="M18" s="66">
        <f>9000000*70%</f>
        <v>6300000</v>
      </c>
      <c r="N18" s="66">
        <f>9000000*70%</f>
        <v>6300000</v>
      </c>
      <c r="O18" s="66">
        <f>9000000*70%</f>
        <v>6300000</v>
      </c>
      <c r="P18" s="66">
        <v>10300000</v>
      </c>
      <c r="Q18" s="66">
        <v>10300000</v>
      </c>
      <c r="R18" s="100">
        <f t="shared" si="0"/>
        <v>0</v>
      </c>
    </row>
    <row r="19" spans="1:18" ht="26.45" customHeight="1">
      <c r="A19" s="169">
        <v>22112</v>
      </c>
      <c r="B19" s="66" t="s">
        <v>16</v>
      </c>
      <c r="C19" s="106">
        <f t="shared" ref="C19:J19" si="2">SUM(C10:C18)</f>
        <v>60927500</v>
      </c>
      <c r="D19" s="106">
        <f t="shared" si="2"/>
        <v>71453000</v>
      </c>
      <c r="E19" s="106">
        <f t="shared" si="2"/>
        <v>52700000</v>
      </c>
      <c r="F19" s="106">
        <f t="shared" si="2"/>
        <v>54700000</v>
      </c>
      <c r="G19" s="106">
        <f t="shared" si="2"/>
        <v>146664000</v>
      </c>
      <c r="H19" s="106">
        <f t="shared" si="2"/>
        <v>167580000</v>
      </c>
      <c r="I19" s="106">
        <f t="shared" si="2"/>
        <v>160156576</v>
      </c>
      <c r="J19" s="106">
        <f t="shared" si="2"/>
        <v>244349056</v>
      </c>
      <c r="K19" s="106"/>
      <c r="L19" s="66">
        <v>6000000</v>
      </c>
      <c r="M19" s="66">
        <f>L19*70%</f>
        <v>4200000</v>
      </c>
      <c r="N19" s="66">
        <v>24200000</v>
      </c>
      <c r="O19" s="66">
        <v>24200000</v>
      </c>
      <c r="P19" s="66">
        <v>24200000</v>
      </c>
      <c r="Q19" s="66">
        <v>24200000</v>
      </c>
      <c r="R19" s="100">
        <f t="shared" si="0"/>
        <v>0</v>
      </c>
    </row>
    <row r="20" spans="1:18" ht="26.45" customHeight="1">
      <c r="A20" s="169">
        <v>22114</v>
      </c>
      <c r="B20" s="66" t="s">
        <v>186</v>
      </c>
      <c r="C20" s="66"/>
      <c r="D20" s="66">
        <v>0</v>
      </c>
      <c r="E20" s="66">
        <v>0</v>
      </c>
      <c r="F20" s="66">
        <v>0</v>
      </c>
      <c r="G20" s="66"/>
      <c r="H20" s="66"/>
      <c r="I20" s="66"/>
      <c r="J20" s="66"/>
      <c r="K20" s="66">
        <v>0</v>
      </c>
      <c r="L20" s="66">
        <v>120000000</v>
      </c>
      <c r="M20" s="66">
        <f>120000000*70%+36000000</f>
        <v>120000000</v>
      </c>
      <c r="N20" s="66">
        <f>120000000*70%+36000000</f>
        <v>120000000</v>
      </c>
      <c r="O20" s="66">
        <f>120000000*70%+36000000</f>
        <v>120000000</v>
      </c>
      <c r="P20" s="66">
        <v>170000000</v>
      </c>
      <c r="Q20" s="66">
        <v>170000000</v>
      </c>
      <c r="R20" s="100">
        <f t="shared" si="0"/>
        <v>0</v>
      </c>
    </row>
    <row r="21" spans="1:18" ht="26.45" customHeight="1">
      <c r="A21" s="169">
        <v>22115</v>
      </c>
      <c r="B21" s="66" t="s">
        <v>187</v>
      </c>
      <c r="C21" s="66">
        <v>0</v>
      </c>
      <c r="D21" s="66">
        <v>6000000</v>
      </c>
      <c r="E21" s="66">
        <v>0</v>
      </c>
      <c r="F21" s="66">
        <v>0</v>
      </c>
      <c r="G21" s="66">
        <v>0</v>
      </c>
      <c r="H21" s="66">
        <v>35000000</v>
      </c>
      <c r="I21" s="66">
        <v>0</v>
      </c>
      <c r="J21" s="66">
        <v>15000000</v>
      </c>
      <c r="K21" s="66">
        <f>93780000+27349056</f>
        <v>121129056</v>
      </c>
      <c r="L21" s="66">
        <v>2979200</v>
      </c>
      <c r="M21" s="66">
        <f>2979200*70%</f>
        <v>2085439.9999999998</v>
      </c>
      <c r="N21" s="66">
        <f>2979200*70%</f>
        <v>2085439.9999999998</v>
      </c>
      <c r="O21" s="66">
        <f>2979200*70%</f>
        <v>2085439.9999999998</v>
      </c>
      <c r="P21" s="66">
        <v>4170880</v>
      </c>
      <c r="Q21" s="66">
        <v>4170880</v>
      </c>
      <c r="R21" s="100">
        <f t="shared" si="0"/>
        <v>0</v>
      </c>
    </row>
    <row r="22" spans="1:18" ht="26.45" customHeight="1">
      <c r="A22" s="169">
        <v>22138</v>
      </c>
      <c r="B22" s="66" t="s">
        <v>197</v>
      </c>
      <c r="C22" s="106">
        <f>SUM(C21:C21)</f>
        <v>0</v>
      </c>
      <c r="D22" s="106">
        <f>SUM(D20:D21)</f>
        <v>6000000</v>
      </c>
      <c r="E22" s="106">
        <f>SUM(E20:E21)</f>
        <v>0</v>
      </c>
      <c r="F22" s="106">
        <f>SUM(F20:F21)</f>
        <v>0</v>
      </c>
      <c r="G22" s="106">
        <f>SUM(G21:G21)</f>
        <v>0</v>
      </c>
      <c r="H22" s="106">
        <f>SUM(H21:H21)</f>
        <v>35000000</v>
      </c>
      <c r="I22" s="106">
        <f>SUM(I21:I21)</f>
        <v>0</v>
      </c>
      <c r="J22" s="106">
        <f>SUM(J21:J21)</f>
        <v>15000000</v>
      </c>
      <c r="K22" s="106">
        <f>SUM(K20:K21)</f>
        <v>121129056</v>
      </c>
      <c r="L22" s="66">
        <v>225000000</v>
      </c>
      <c r="M22" s="66">
        <f>225000000-36000000</f>
        <v>189000000</v>
      </c>
      <c r="N22" s="66">
        <v>0</v>
      </c>
      <c r="O22" s="66">
        <v>0</v>
      </c>
      <c r="P22" s="66">
        <v>0</v>
      </c>
      <c r="Q22" s="66">
        <v>0</v>
      </c>
      <c r="R22" s="100">
        <f t="shared" si="0"/>
        <v>0</v>
      </c>
    </row>
    <row r="23" spans="1:18" ht="26.45" customHeight="1">
      <c r="A23" s="169">
        <v>22141</v>
      </c>
      <c r="B23" s="66" t="s">
        <v>742</v>
      </c>
      <c r="C23" s="106"/>
      <c r="D23" s="106"/>
      <c r="E23" s="106"/>
      <c r="F23" s="106"/>
      <c r="G23" s="106"/>
      <c r="H23" s="106"/>
      <c r="I23" s="106"/>
      <c r="J23" s="106"/>
      <c r="K23" s="106"/>
      <c r="L23" s="66"/>
      <c r="M23" s="66">
        <v>0</v>
      </c>
      <c r="N23" s="66">
        <v>66372100</v>
      </c>
      <c r="O23" s="66">
        <v>14500000</v>
      </c>
      <c r="P23" s="66">
        <v>27211500</v>
      </c>
      <c r="Q23" s="66">
        <v>0</v>
      </c>
      <c r="R23" s="100">
        <f t="shared" si="0"/>
        <v>-27211500</v>
      </c>
    </row>
    <row r="24" spans="1:18" ht="26.45" customHeight="1">
      <c r="A24" s="169"/>
      <c r="B24" s="106" t="s">
        <v>59</v>
      </c>
      <c r="C24" s="66">
        <v>9000000</v>
      </c>
      <c r="D24" s="66">
        <v>9000000</v>
      </c>
      <c r="E24" s="66">
        <v>9000000</v>
      </c>
      <c r="F24" s="66">
        <v>10000000</v>
      </c>
      <c r="G24" s="66">
        <v>8000000</v>
      </c>
      <c r="H24" s="66">
        <v>27000000</v>
      </c>
      <c r="I24" s="66">
        <v>29792000</v>
      </c>
      <c r="J24" s="66">
        <v>40000000</v>
      </c>
      <c r="K24" s="66"/>
      <c r="L24" s="106">
        <f>SUM(L13:L22)</f>
        <v>556599200</v>
      </c>
      <c r="M24" s="106">
        <f>SUM(M13:M22)</f>
        <v>470559440</v>
      </c>
      <c r="N24" s="106">
        <f>SUM(N13:N23)</f>
        <v>354584740</v>
      </c>
      <c r="O24" s="106">
        <f>SUM(O13:O23)</f>
        <v>331552640</v>
      </c>
      <c r="P24" s="106">
        <f>SUM(P13:P23)</f>
        <v>421349580</v>
      </c>
      <c r="Q24" s="106">
        <f>SUM(Q13:Q23)</f>
        <v>399138080</v>
      </c>
      <c r="R24" s="105">
        <f t="shared" si="0"/>
        <v>-22211500</v>
      </c>
    </row>
    <row r="25" spans="1:18" ht="26.45" customHeight="1">
      <c r="A25" s="249">
        <v>2220</v>
      </c>
      <c r="B25" s="106" t="s">
        <v>161</v>
      </c>
      <c r="C25" s="66">
        <v>2000000</v>
      </c>
      <c r="D25" s="66">
        <v>2000000</v>
      </c>
      <c r="E25" s="66">
        <v>2000000</v>
      </c>
      <c r="F25" s="66">
        <v>2000000</v>
      </c>
      <c r="G25" s="66">
        <v>1600000</v>
      </c>
      <c r="H25" s="66">
        <v>2000000</v>
      </c>
      <c r="I25" s="66">
        <v>0</v>
      </c>
      <c r="J25" s="66">
        <v>0</v>
      </c>
      <c r="K25" s="66">
        <v>0</v>
      </c>
      <c r="L25" s="66"/>
      <c r="M25" s="66"/>
      <c r="N25" s="66"/>
      <c r="O25" s="66"/>
      <c r="P25" s="66"/>
      <c r="Q25" s="66"/>
      <c r="R25" s="100">
        <f t="shared" si="0"/>
        <v>0</v>
      </c>
    </row>
    <row r="26" spans="1:18" ht="26.45" customHeight="1">
      <c r="A26" s="169">
        <v>22202</v>
      </c>
      <c r="B26" s="66" t="s">
        <v>91</v>
      </c>
      <c r="C26" s="66"/>
      <c r="D26" s="66"/>
      <c r="E26" s="66"/>
      <c r="F26" s="66"/>
      <c r="G26" s="66">
        <v>0</v>
      </c>
      <c r="H26" s="66">
        <v>50000000</v>
      </c>
      <c r="I26" s="66">
        <v>0</v>
      </c>
      <c r="J26" s="66">
        <v>0</v>
      </c>
      <c r="K26" s="66">
        <v>1489600</v>
      </c>
      <c r="L26" s="66">
        <v>300000000</v>
      </c>
      <c r="M26" s="66">
        <f>L26*70%</f>
        <v>210000000</v>
      </c>
      <c r="N26" s="66">
        <f>M26*80%</f>
        <v>168000000</v>
      </c>
      <c r="O26" s="66">
        <f>N26</f>
        <v>168000000</v>
      </c>
      <c r="P26" s="66">
        <v>193644000</v>
      </c>
      <c r="Q26" s="66">
        <v>208644000</v>
      </c>
      <c r="R26" s="100">
        <f t="shared" si="0"/>
        <v>15000000</v>
      </c>
    </row>
    <row r="27" spans="1:18" ht="26.45" customHeight="1">
      <c r="A27" s="169">
        <v>22203</v>
      </c>
      <c r="B27" s="66" t="s">
        <v>85</v>
      </c>
      <c r="C27" s="106">
        <f>SUM(C24:C25)</f>
        <v>11000000</v>
      </c>
      <c r="D27" s="106">
        <f>SUM(D24:D25)</f>
        <v>11000000</v>
      </c>
      <c r="E27" s="106">
        <f>SUM(E24:E25)</f>
        <v>11000000</v>
      </c>
      <c r="F27" s="106">
        <f>SUM(F24:F25)</f>
        <v>12000000</v>
      </c>
      <c r="G27" s="106">
        <f>SUM(G24:G26)</f>
        <v>9600000</v>
      </c>
      <c r="H27" s="106">
        <f>SUM(H24:H26)</f>
        <v>79000000</v>
      </c>
      <c r="I27" s="106">
        <f>SUM(I24:I26)</f>
        <v>29792000</v>
      </c>
      <c r="J27" s="106">
        <f>SUM(J24:J26)</f>
        <v>40000000</v>
      </c>
      <c r="K27" s="66">
        <v>0</v>
      </c>
      <c r="L27" s="66">
        <v>14654271</v>
      </c>
      <c r="M27" s="66">
        <f>14654271*70%</f>
        <v>10257989.699999999</v>
      </c>
      <c r="N27" s="66">
        <v>10257989.699999999</v>
      </c>
      <c r="O27" s="66">
        <f>14654271*70%</f>
        <v>10257989.699999999</v>
      </c>
      <c r="P27" s="66">
        <v>15257990</v>
      </c>
      <c r="Q27" s="66">
        <v>20257990</v>
      </c>
      <c r="R27" s="100">
        <f t="shared" si="0"/>
        <v>5000000</v>
      </c>
    </row>
    <row r="28" spans="1:18" ht="26.45" customHeight="1">
      <c r="A28" s="169">
        <v>22204</v>
      </c>
      <c r="B28" s="66" t="s">
        <v>86</v>
      </c>
      <c r="C28" s="66"/>
      <c r="D28" s="66"/>
      <c r="E28" s="66"/>
      <c r="F28" s="66"/>
      <c r="G28" s="66"/>
      <c r="H28" s="66"/>
      <c r="I28" s="66"/>
      <c r="J28" s="66"/>
      <c r="K28" s="106">
        <f>SUM(K25:K27)</f>
        <v>1489600</v>
      </c>
      <c r="L28" s="66">
        <v>7448000</v>
      </c>
      <c r="M28" s="66">
        <f>7448000*70%</f>
        <v>5213600</v>
      </c>
      <c r="N28" s="66">
        <f>7448000*70%</f>
        <v>5213600</v>
      </c>
      <c r="O28" s="66">
        <f>7448000*70%</f>
        <v>5213600</v>
      </c>
      <c r="P28" s="66">
        <f>7448000*70%</f>
        <v>5213600</v>
      </c>
      <c r="Q28" s="66">
        <f>7448000*70%</f>
        <v>5213600</v>
      </c>
      <c r="R28" s="100">
        <f t="shared" si="0"/>
        <v>0</v>
      </c>
    </row>
    <row r="29" spans="1:18" ht="26.45" customHeight="1">
      <c r="A29" s="169">
        <v>22208</v>
      </c>
      <c r="B29" s="66" t="s">
        <v>188</v>
      </c>
      <c r="C29" s="66"/>
      <c r="D29" s="66"/>
      <c r="E29" s="66"/>
      <c r="F29" s="66"/>
      <c r="G29" s="66"/>
      <c r="H29" s="66"/>
      <c r="I29" s="66"/>
      <c r="J29" s="66"/>
      <c r="K29" s="106"/>
      <c r="L29" s="66">
        <v>2069583410</v>
      </c>
      <c r="M29" s="66">
        <f>L29/3500*6000+1495310726+68493120</f>
        <v>5111661120.2857141</v>
      </c>
      <c r="N29" s="66">
        <v>0</v>
      </c>
      <c r="O29" s="66">
        <v>0</v>
      </c>
      <c r="P29" s="66">
        <v>0</v>
      </c>
      <c r="Q29" s="66">
        <v>0</v>
      </c>
      <c r="R29" s="100">
        <f t="shared" si="0"/>
        <v>0</v>
      </c>
    </row>
    <row r="30" spans="1:18" ht="26.45" customHeight="1">
      <c r="A30" s="169">
        <v>22209</v>
      </c>
      <c r="B30" s="66" t="s">
        <v>47</v>
      </c>
      <c r="C30" s="66">
        <v>0</v>
      </c>
      <c r="D30" s="66">
        <v>3247300</v>
      </c>
      <c r="E30" s="66">
        <v>3247300</v>
      </c>
      <c r="F30" s="66">
        <v>3247300</v>
      </c>
      <c r="G30" s="66">
        <v>4320000</v>
      </c>
      <c r="H30" s="66">
        <v>5400000</v>
      </c>
      <c r="I30" s="66">
        <v>7448000</v>
      </c>
      <c r="J30" s="66">
        <v>20000000</v>
      </c>
      <c r="K30" s="66"/>
      <c r="L30" s="66">
        <v>32131520</v>
      </c>
      <c r="M30" s="66">
        <f>32131520*70%</f>
        <v>22492064</v>
      </c>
      <c r="N30" s="66">
        <v>0</v>
      </c>
      <c r="O30" s="66">
        <v>0</v>
      </c>
      <c r="P30" s="66">
        <v>0</v>
      </c>
      <c r="Q30" s="66">
        <v>0</v>
      </c>
      <c r="R30" s="100">
        <f t="shared" si="0"/>
        <v>0</v>
      </c>
    </row>
    <row r="31" spans="1:18" ht="26.45" customHeight="1">
      <c r="A31" s="169"/>
      <c r="B31" s="106" t="s">
        <v>59</v>
      </c>
      <c r="C31" s="66">
        <v>6000000</v>
      </c>
      <c r="D31" s="66">
        <v>18000000</v>
      </c>
      <c r="E31" s="66">
        <v>18000000</v>
      </c>
      <c r="F31" s="66">
        <v>18000000</v>
      </c>
      <c r="G31" s="66">
        <v>15859200</v>
      </c>
      <c r="H31" s="66">
        <v>19824000</v>
      </c>
      <c r="I31" s="66">
        <v>14764915</v>
      </c>
      <c r="J31" s="66">
        <v>35000000</v>
      </c>
      <c r="K31" s="66">
        <v>2234400</v>
      </c>
      <c r="L31" s="106">
        <f t="shared" ref="L31:P31" si="3">SUM(L26:L30)</f>
        <v>2423817201</v>
      </c>
      <c r="M31" s="106">
        <f t="shared" si="3"/>
        <v>5359624773.985714</v>
      </c>
      <c r="N31" s="106">
        <f t="shared" si="3"/>
        <v>183471589.69999999</v>
      </c>
      <c r="O31" s="106">
        <f t="shared" si="3"/>
        <v>183471589.69999999</v>
      </c>
      <c r="P31" s="106">
        <f t="shared" si="3"/>
        <v>214115590</v>
      </c>
      <c r="Q31" s="106">
        <f>SUM(Q26:Q30)</f>
        <v>234115590</v>
      </c>
      <c r="R31" s="105">
        <f t="shared" si="0"/>
        <v>20000000</v>
      </c>
    </row>
    <row r="32" spans="1:18" ht="26.45" customHeight="1">
      <c r="A32" s="249">
        <v>2230</v>
      </c>
      <c r="B32" s="106" t="s">
        <v>88</v>
      </c>
      <c r="C32" s="66"/>
      <c r="D32" s="66"/>
      <c r="E32" s="66"/>
      <c r="F32" s="66"/>
      <c r="G32" s="66"/>
      <c r="H32" s="66"/>
      <c r="I32" s="66"/>
      <c r="J32" s="66"/>
      <c r="K32" s="106">
        <f>SUM(K31:K31)</f>
        <v>2234400</v>
      </c>
      <c r="L32" s="106"/>
      <c r="M32" s="106"/>
      <c r="N32" s="106"/>
      <c r="O32" s="106"/>
      <c r="P32" s="106"/>
      <c r="Q32" s="106"/>
      <c r="R32" s="100">
        <f t="shared" si="0"/>
        <v>0</v>
      </c>
    </row>
    <row r="33" spans="1:22" ht="26.45" customHeight="1">
      <c r="A33" s="169">
        <v>22301</v>
      </c>
      <c r="B33" s="66" t="s">
        <v>31</v>
      </c>
      <c r="C33" s="66">
        <v>13333000</v>
      </c>
      <c r="D33" s="66">
        <v>5000000</v>
      </c>
      <c r="E33" s="66">
        <v>0</v>
      </c>
      <c r="F33" s="66">
        <v>0</v>
      </c>
      <c r="G33" s="66">
        <v>0</v>
      </c>
      <c r="H33" s="66">
        <v>100000000</v>
      </c>
      <c r="I33" s="66">
        <v>70000000</v>
      </c>
      <c r="J33" s="66">
        <v>70000000</v>
      </c>
      <c r="K33" s="66"/>
      <c r="L33" s="66">
        <v>48360000</v>
      </c>
      <c r="M33" s="66">
        <f>L33*70%</f>
        <v>33852000</v>
      </c>
      <c r="N33" s="66">
        <f>M33</f>
        <v>33852000</v>
      </c>
      <c r="O33" s="66">
        <f>N33</f>
        <v>33852000</v>
      </c>
      <c r="P33" s="66">
        <v>48852000</v>
      </c>
      <c r="Q33" s="66">
        <v>58852000</v>
      </c>
      <c r="R33" s="100">
        <f t="shared" si="0"/>
        <v>10000000</v>
      </c>
    </row>
    <row r="34" spans="1:22" ht="26.45" customHeight="1">
      <c r="A34" s="169">
        <v>22303</v>
      </c>
      <c r="B34" s="66" t="s">
        <v>163</v>
      </c>
      <c r="C34" s="66">
        <v>27897000</v>
      </c>
      <c r="D34" s="66">
        <f>40000000-5000000</f>
        <v>35000000</v>
      </c>
      <c r="E34" s="66">
        <v>35000000</v>
      </c>
      <c r="F34" s="66">
        <v>35000000</v>
      </c>
      <c r="G34" s="66">
        <v>0</v>
      </c>
      <c r="H34" s="66">
        <v>0</v>
      </c>
      <c r="I34" s="66">
        <v>0</v>
      </c>
      <c r="J34" s="66">
        <v>0</v>
      </c>
      <c r="K34" s="106" t="e">
        <f>SUM(#REF!)</f>
        <v>#REF!</v>
      </c>
      <c r="L34" s="66">
        <v>2234400</v>
      </c>
      <c r="M34" s="66">
        <f>2234400*70%</f>
        <v>1564080</v>
      </c>
      <c r="N34" s="66">
        <f>2234400*70%</f>
        <v>1564080</v>
      </c>
      <c r="O34" s="66">
        <v>3564080</v>
      </c>
      <c r="P34" s="66">
        <v>8564080</v>
      </c>
      <c r="Q34" s="66">
        <v>8564080</v>
      </c>
      <c r="R34" s="100">
        <f t="shared" si="0"/>
        <v>0</v>
      </c>
    </row>
    <row r="35" spans="1:22" ht="26.45" customHeight="1">
      <c r="A35" s="169"/>
      <c r="B35" s="106" t="s">
        <v>59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106" t="e">
        <f>K34+K32+K28+K22+K18+#REF!</f>
        <v>#REF!</v>
      </c>
      <c r="L35" s="106">
        <f t="shared" ref="L35:P35" si="4">SUM(L33:L34)</f>
        <v>50594400</v>
      </c>
      <c r="M35" s="106">
        <f t="shared" si="4"/>
        <v>35416080</v>
      </c>
      <c r="N35" s="106">
        <f t="shared" si="4"/>
        <v>35416080</v>
      </c>
      <c r="O35" s="106">
        <f t="shared" si="4"/>
        <v>37416080</v>
      </c>
      <c r="P35" s="106">
        <f t="shared" si="4"/>
        <v>57416080</v>
      </c>
      <c r="Q35" s="106">
        <f>SUM(Q33:Q34)</f>
        <v>67416080</v>
      </c>
      <c r="R35" s="105">
        <f t="shared" si="0"/>
        <v>10000000</v>
      </c>
    </row>
    <row r="36" spans="1:22" ht="26.45" customHeight="1">
      <c r="A36" s="249">
        <v>230</v>
      </c>
      <c r="B36" s="106" t="s">
        <v>165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>
        <f t="shared" si="0"/>
        <v>0</v>
      </c>
    </row>
    <row r="37" spans="1:22" ht="26.45" customHeight="1">
      <c r="A37" s="249">
        <v>2310</v>
      </c>
      <c r="B37" s="106" t="s">
        <v>164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>
        <f t="shared" si="0"/>
        <v>0</v>
      </c>
    </row>
    <row r="38" spans="1:22" ht="26.45" customHeight="1">
      <c r="A38" s="169">
        <v>23101</v>
      </c>
      <c r="B38" s="66" t="s">
        <v>441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>
        <v>0</v>
      </c>
      <c r="N38" s="100">
        <v>50000000</v>
      </c>
      <c r="O38" s="100"/>
      <c r="P38" s="100">
        <v>43000000</v>
      </c>
      <c r="Q38" s="100">
        <v>43000000</v>
      </c>
      <c r="R38" s="100">
        <f t="shared" si="0"/>
        <v>0</v>
      </c>
    </row>
    <row r="39" spans="1:22" ht="26.45" customHeight="1">
      <c r="A39" s="169">
        <v>23102</v>
      </c>
      <c r="B39" s="66" t="s">
        <v>370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v>108000000</v>
      </c>
      <c r="M39" s="100">
        <v>96000000</v>
      </c>
      <c r="N39" s="100">
        <v>42000000</v>
      </c>
      <c r="O39" s="100">
        <v>120000000</v>
      </c>
      <c r="P39" s="100">
        <v>230000000</v>
      </c>
      <c r="Q39" s="100">
        <v>0</v>
      </c>
      <c r="R39" s="100">
        <f t="shared" si="0"/>
        <v>-230000000</v>
      </c>
    </row>
    <row r="40" spans="1:22" ht="26.45" customHeight="1">
      <c r="A40" s="169">
        <v>23103</v>
      </c>
      <c r="B40" s="66" t="s">
        <v>106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v>5489600</v>
      </c>
      <c r="M40" s="100">
        <f>5489600*70%</f>
        <v>3842719.9999999995</v>
      </c>
      <c r="N40" s="100">
        <v>0</v>
      </c>
      <c r="O40" s="100">
        <v>0</v>
      </c>
      <c r="P40" s="100">
        <v>0</v>
      </c>
      <c r="Q40" s="100">
        <v>0</v>
      </c>
      <c r="R40" s="100">
        <f t="shared" si="0"/>
        <v>0</v>
      </c>
    </row>
    <row r="41" spans="1:22" ht="26.45" customHeight="1">
      <c r="A41" s="169"/>
      <c r="B41" s="106" t="s">
        <v>59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5">
        <f>SUM(L39:L40)</f>
        <v>113489600</v>
      </c>
      <c r="M41" s="105">
        <f>SUM(M39:M40)</f>
        <v>99842720</v>
      </c>
      <c r="N41" s="105">
        <f>SUM(N37:N40)</f>
        <v>92000000</v>
      </c>
      <c r="O41" s="105">
        <f>SUM(O37:O40)</f>
        <v>120000000</v>
      </c>
      <c r="P41" s="105">
        <f>SUM(P37:P40)</f>
        <v>273000000</v>
      </c>
      <c r="Q41" s="105">
        <f>SUM(Q37:Q40)</f>
        <v>43000000</v>
      </c>
      <c r="R41" s="105">
        <f t="shared" si="0"/>
        <v>-230000000</v>
      </c>
    </row>
    <row r="42" spans="1:22" ht="26.45" customHeight="1">
      <c r="A42" s="368">
        <v>2320</v>
      </c>
      <c r="B42" s="297" t="s">
        <v>169</v>
      </c>
      <c r="C42" s="118"/>
      <c r="D42" s="118"/>
      <c r="E42" s="118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>
        <f t="shared" si="0"/>
        <v>0</v>
      </c>
    </row>
    <row r="43" spans="1:22" ht="26.45" customHeight="1">
      <c r="A43" s="374">
        <v>23201</v>
      </c>
      <c r="B43" s="375" t="s">
        <v>842</v>
      </c>
      <c r="C43" s="118"/>
      <c r="D43" s="118"/>
      <c r="E43" s="118"/>
      <c r="F43" s="100"/>
      <c r="G43" s="100"/>
      <c r="H43" s="100"/>
      <c r="I43" s="100"/>
      <c r="J43" s="100"/>
      <c r="K43" s="100"/>
      <c r="L43" s="100">
        <v>179057970</v>
      </c>
      <c r="M43" s="100">
        <v>100000000</v>
      </c>
      <c r="N43" s="100">
        <v>0</v>
      </c>
      <c r="O43" s="100">
        <v>0</v>
      </c>
      <c r="P43" s="100">
        <v>0</v>
      </c>
      <c r="Q43" s="100">
        <v>192000000</v>
      </c>
      <c r="R43" s="100">
        <f t="shared" si="0"/>
        <v>192000000</v>
      </c>
      <c r="V43" s="352"/>
    </row>
    <row r="44" spans="1:22" ht="26.45" customHeight="1">
      <c r="A44" s="169"/>
      <c r="B44" s="106" t="s">
        <v>59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5">
        <f t="shared" ref="L44:P44" si="5">SUM(L43)</f>
        <v>179057970</v>
      </c>
      <c r="M44" s="105">
        <f t="shared" si="5"/>
        <v>100000000</v>
      </c>
      <c r="N44" s="105">
        <f t="shared" si="5"/>
        <v>0</v>
      </c>
      <c r="O44" s="105">
        <f t="shared" si="5"/>
        <v>0</v>
      </c>
      <c r="P44" s="105">
        <f t="shared" si="5"/>
        <v>0</v>
      </c>
      <c r="Q44" s="105">
        <f>SUM(Q43)</f>
        <v>192000000</v>
      </c>
      <c r="R44" s="105">
        <f t="shared" si="0"/>
        <v>192000000</v>
      </c>
    </row>
    <row r="45" spans="1:22" ht="26.45" customHeight="1">
      <c r="A45" s="249"/>
      <c r="B45" s="106" t="s">
        <v>223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5">
        <f>L44+L41+L35+L31+L24+L10</f>
        <v>12346564127</v>
      </c>
      <c r="M45" s="105" t="e">
        <f>M44+M41+M35+M31+M24+M10</f>
        <v>#REF!</v>
      </c>
      <c r="N45" s="105">
        <f>N44+N41+N35+N31+N24+N10</f>
        <v>1498938965.7</v>
      </c>
      <c r="O45" s="105">
        <f>O44+O41+O35+O31+O24+O10</f>
        <v>1692133109.7</v>
      </c>
      <c r="P45" s="105">
        <f>SUM(P44,P41,P35,P31,P24,P10)</f>
        <v>2292132770</v>
      </c>
      <c r="Q45" s="105">
        <f>SUM(Q44,Q41,Q35,Q31,Q24,Q10)</f>
        <v>2276373110</v>
      </c>
      <c r="R45" s="105">
        <f t="shared" si="0"/>
        <v>-15759660</v>
      </c>
    </row>
    <row r="47" spans="1:22" ht="18.75">
      <c r="N47" s="377"/>
      <c r="O47" s="377"/>
      <c r="P47" s="377"/>
      <c r="Q47" s="377"/>
    </row>
  </sheetData>
  <pageMargins left="0.53" right="0.25" top="0.79" bottom="0.28000000000000003" header="0.17" footer="0.17"/>
  <pageSetup scale="58" orientation="portrait" r:id="rId1"/>
  <headerFooter>
    <oddHeader>&amp;C&amp;"Algerian,Bold"&amp;36WASAARADdA GAASHAANDHIGA</oddHeader>
    <oddFooter>&amp;R&amp;"Times New Roman,Bold"&amp;14 &amp;12 26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60" zoomScaleNormal="60" zoomScalePageLayoutView="85" workbookViewId="0">
      <selection activeCell="Q18" sqref="Q18"/>
    </sheetView>
  </sheetViews>
  <sheetFormatPr defaultRowHeight="29.1" customHeight="1"/>
  <cols>
    <col min="1" max="1" width="17.1640625" style="181" bestFit="1" customWidth="1"/>
    <col min="2" max="2" width="92.1640625" style="181" customWidth="1"/>
    <col min="3" max="3" width="1.1640625" style="181" hidden="1" customWidth="1"/>
    <col min="4" max="4" width="1.6640625" style="181" hidden="1" customWidth="1"/>
    <col min="5" max="5" width="1" style="181" hidden="1" customWidth="1"/>
    <col min="6" max="6" width="1.33203125" style="181" hidden="1" customWidth="1"/>
    <col min="7" max="7" width="1.5" style="181" hidden="1" customWidth="1"/>
    <col min="8" max="8" width="1.83203125" style="181" hidden="1" customWidth="1"/>
    <col min="9" max="9" width="1.33203125" style="181" hidden="1" customWidth="1"/>
    <col min="10" max="10" width="2.6640625" style="181" hidden="1" customWidth="1"/>
    <col min="11" max="11" width="3" style="181" hidden="1" customWidth="1"/>
    <col min="12" max="12" width="0.1640625" style="181" hidden="1" customWidth="1"/>
    <col min="13" max="13" width="27.1640625" style="181" hidden="1" customWidth="1"/>
    <col min="14" max="14" width="36" style="181" hidden="1" customWidth="1"/>
    <col min="15" max="15" width="0.1640625" style="181" customWidth="1"/>
    <col min="16" max="16" width="40.6640625" style="181" bestFit="1" customWidth="1"/>
    <col min="17" max="17" width="40.6640625" style="181" customWidth="1"/>
    <col min="18" max="18" width="29.83203125" style="181" bestFit="1" customWidth="1"/>
    <col min="19" max="16384" width="9.33203125" style="181"/>
  </cols>
  <sheetData>
    <row r="1" spans="1:18" ht="29.1" customHeight="1">
      <c r="A1" s="251" t="s">
        <v>21</v>
      </c>
      <c r="B1" s="354" t="s">
        <v>783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118"/>
    </row>
    <row r="2" spans="1:18" ht="29.1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75</v>
      </c>
      <c r="L2" s="256" t="s">
        <v>110</v>
      </c>
      <c r="M2" s="256" t="s">
        <v>166</v>
      </c>
      <c r="N2" s="256" t="s">
        <v>318</v>
      </c>
      <c r="O2" s="256" t="s">
        <v>538</v>
      </c>
      <c r="P2" s="256" t="s">
        <v>607</v>
      </c>
      <c r="Q2" s="256" t="s">
        <v>722</v>
      </c>
      <c r="R2" s="256" t="s">
        <v>34</v>
      </c>
    </row>
    <row r="3" spans="1:18" ht="29.1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29.1" customHeight="1">
      <c r="A4" s="169">
        <v>21101</v>
      </c>
      <c r="B4" s="66" t="s">
        <v>9</v>
      </c>
      <c r="C4" s="66">
        <v>17112000000</v>
      </c>
      <c r="D4" s="66">
        <v>15624000000</v>
      </c>
      <c r="E4" s="66">
        <v>18332364000</v>
      </c>
      <c r="F4" s="66">
        <v>20250384000</v>
      </c>
      <c r="G4" s="66">
        <f>23444496000+1713600000</f>
        <v>25158096000</v>
      </c>
      <c r="H4" s="66">
        <v>24364944000</v>
      </c>
      <c r="I4" s="66">
        <v>31674427200</v>
      </c>
      <c r="J4" s="66">
        <v>41713838400</v>
      </c>
      <c r="K4" s="66">
        <v>42736449600</v>
      </c>
      <c r="L4" s="66">
        <f>42736449600+212160000</f>
        <v>42948609600</v>
      </c>
      <c r="M4" s="66">
        <f>53798472000+32902833600</f>
        <v>86701305600</v>
      </c>
      <c r="N4" s="66">
        <v>85122835200</v>
      </c>
      <c r="O4" s="66">
        <v>90876614400</v>
      </c>
      <c r="P4" s="66">
        <v>112107041280</v>
      </c>
      <c r="Q4" s="66">
        <v>128898838080</v>
      </c>
      <c r="R4" s="100">
        <f>Q4-P4</f>
        <v>16791796800</v>
      </c>
    </row>
    <row r="5" spans="1:18" ht="29.1" customHeight="1">
      <c r="A5" s="169">
        <v>21103</v>
      </c>
      <c r="B5" s="66" t="s">
        <v>11</v>
      </c>
      <c r="C5" s="66">
        <v>720000000</v>
      </c>
      <c r="D5" s="66">
        <v>936000000</v>
      </c>
      <c r="E5" s="66">
        <v>936000000</v>
      </c>
      <c r="F5" s="66">
        <v>1056312000</v>
      </c>
      <c r="G5" s="66">
        <v>1634880000</v>
      </c>
      <c r="H5" s="66">
        <v>1560696000</v>
      </c>
      <c r="I5" s="66">
        <v>1560696000</v>
      </c>
      <c r="J5" s="66">
        <v>1560696000</v>
      </c>
      <c r="K5" s="66">
        <v>1560696000</v>
      </c>
      <c r="L5" s="66">
        <v>1560696000</v>
      </c>
      <c r="M5" s="66">
        <f>1560696000+804270000</f>
        <v>2364966000</v>
      </c>
      <c r="N5" s="66">
        <f>1560696000+804270000</f>
        <v>2364966000</v>
      </c>
      <c r="O5" s="66">
        <f>1560696000+804270000</f>
        <v>2364966000</v>
      </c>
      <c r="P5" s="66">
        <v>2364966000</v>
      </c>
      <c r="Q5" s="66">
        <v>2364966000</v>
      </c>
      <c r="R5" s="100">
        <f t="shared" ref="R5:R47" si="0">Q5-P5</f>
        <v>0</v>
      </c>
    </row>
    <row r="6" spans="1:18" ht="29.1" customHeight="1">
      <c r="A6" s="169">
        <v>21105</v>
      </c>
      <c r="B6" s="66" t="s">
        <v>290</v>
      </c>
      <c r="C6" s="106">
        <f t="shared" ref="C6:K6" si="1">SUM(C4:C5)</f>
        <v>17832000000</v>
      </c>
      <c r="D6" s="106">
        <f t="shared" si="1"/>
        <v>16560000000</v>
      </c>
      <c r="E6" s="106">
        <f t="shared" si="1"/>
        <v>19268364000</v>
      </c>
      <c r="F6" s="105">
        <f t="shared" si="1"/>
        <v>21306696000</v>
      </c>
      <c r="G6" s="105">
        <f t="shared" si="1"/>
        <v>26792976000</v>
      </c>
      <c r="H6" s="105">
        <f t="shared" si="1"/>
        <v>25925640000</v>
      </c>
      <c r="I6" s="105">
        <f t="shared" si="1"/>
        <v>33235123200</v>
      </c>
      <c r="J6" s="105">
        <f t="shared" si="1"/>
        <v>43274534400</v>
      </c>
      <c r="K6" s="105">
        <f t="shared" si="1"/>
        <v>44297145600</v>
      </c>
      <c r="L6" s="66">
        <v>66000000</v>
      </c>
      <c r="M6" s="100">
        <v>4030872000</v>
      </c>
      <c r="N6" s="100">
        <f>M6</f>
        <v>4030872000</v>
      </c>
      <c r="O6" s="100">
        <v>6682872000</v>
      </c>
      <c r="P6" s="100">
        <v>6682872000</v>
      </c>
      <c r="Q6" s="100">
        <v>8482872000</v>
      </c>
      <c r="R6" s="100">
        <f t="shared" si="0"/>
        <v>1800000000</v>
      </c>
    </row>
    <row r="7" spans="1:18" ht="29.1" customHeight="1">
      <c r="A7" s="169"/>
      <c r="B7" s="106" t="s">
        <v>59</v>
      </c>
      <c r="C7" s="66">
        <v>40000000</v>
      </c>
      <c r="D7" s="66">
        <v>20000000</v>
      </c>
      <c r="E7" s="66">
        <v>20000000</v>
      </c>
      <c r="F7" s="66">
        <v>20000000</v>
      </c>
      <c r="G7" s="66">
        <v>30000000</v>
      </c>
      <c r="H7" s="66">
        <v>30000000</v>
      </c>
      <c r="I7" s="66">
        <v>22344000</v>
      </c>
      <c r="J7" s="66">
        <v>22344000</v>
      </c>
      <c r="K7" s="66">
        <v>29792000</v>
      </c>
      <c r="L7" s="106">
        <f t="shared" ref="L7:P7" si="2">SUM(L4:L6)</f>
        <v>44575305600</v>
      </c>
      <c r="M7" s="106">
        <f t="shared" si="2"/>
        <v>93097143600</v>
      </c>
      <c r="N7" s="106">
        <f t="shared" si="2"/>
        <v>91518673200</v>
      </c>
      <c r="O7" s="106">
        <f t="shared" si="2"/>
        <v>99924452400</v>
      </c>
      <c r="P7" s="106">
        <f t="shared" si="2"/>
        <v>121154879280</v>
      </c>
      <c r="Q7" s="106">
        <f>SUM(Q4:Q6)</f>
        <v>139746676080</v>
      </c>
      <c r="R7" s="105">
        <f t="shared" si="0"/>
        <v>18591796800</v>
      </c>
    </row>
    <row r="8" spans="1:18" ht="29.1" customHeight="1">
      <c r="A8" s="249">
        <v>220</v>
      </c>
      <c r="B8" s="106" t="s">
        <v>159</v>
      </c>
      <c r="C8" s="66">
        <v>5216400000</v>
      </c>
      <c r="D8" s="66">
        <f>4614207444-321986144</f>
        <v>4292221300</v>
      </c>
      <c r="E8" s="66">
        <v>4429296000</v>
      </c>
      <c r="F8" s="66">
        <f>6233690400+62068300-62068300</f>
        <v>6233690400</v>
      </c>
      <c r="G8" s="66">
        <f>5338242000+382200000</f>
        <v>5720442000</v>
      </c>
      <c r="H8" s="66">
        <v>6097038948</v>
      </c>
      <c r="I8" s="66">
        <f>6097038948+1005126552</f>
        <v>7102165500</v>
      </c>
      <c r="J8" s="66">
        <v>12155102736</v>
      </c>
      <c r="K8" s="66">
        <v>0</v>
      </c>
      <c r="L8" s="66"/>
      <c r="M8" s="66"/>
      <c r="N8" s="66"/>
      <c r="O8" s="66"/>
      <c r="P8" s="66"/>
      <c r="Q8" s="66"/>
      <c r="R8" s="100">
        <f t="shared" si="0"/>
        <v>0</v>
      </c>
    </row>
    <row r="9" spans="1:18" ht="29.1" customHeight="1">
      <c r="A9" s="249">
        <v>2210</v>
      </c>
      <c r="B9" s="106" t="s">
        <v>160</v>
      </c>
      <c r="C9" s="66"/>
      <c r="D9" s="66"/>
      <c r="E9" s="66"/>
      <c r="F9" s="66"/>
      <c r="G9" s="66"/>
      <c r="H9" s="66">
        <v>0</v>
      </c>
      <c r="I9" s="66">
        <v>542579375</v>
      </c>
      <c r="J9" s="66">
        <v>786532500</v>
      </c>
      <c r="K9" s="66">
        <v>1620000000</v>
      </c>
      <c r="L9" s="66"/>
      <c r="M9" s="66"/>
      <c r="N9" s="66"/>
      <c r="O9" s="66"/>
      <c r="P9" s="66"/>
      <c r="Q9" s="66"/>
      <c r="R9" s="100">
        <f t="shared" si="0"/>
        <v>0</v>
      </c>
    </row>
    <row r="10" spans="1:18" ht="29.1" customHeight="1">
      <c r="A10" s="169">
        <v>22101</v>
      </c>
      <c r="B10" s="66" t="s">
        <v>14</v>
      </c>
      <c r="C10" s="66"/>
      <c r="D10" s="66"/>
      <c r="E10" s="66"/>
      <c r="F10" s="66"/>
      <c r="G10" s="66"/>
      <c r="H10" s="66">
        <v>0</v>
      </c>
      <c r="I10" s="66">
        <v>132000000</v>
      </c>
      <c r="J10" s="66">
        <v>132000000</v>
      </c>
      <c r="K10" s="66">
        <v>22344000</v>
      </c>
      <c r="L10" s="66">
        <v>63625600</v>
      </c>
      <c r="M10" s="66">
        <f>63625600*70%</f>
        <v>44537920</v>
      </c>
      <c r="N10" s="66">
        <f>63625600*70%</f>
        <v>44537920</v>
      </c>
      <c r="O10" s="66">
        <f>63625600*70%</f>
        <v>44537920</v>
      </c>
      <c r="P10" s="66">
        <f>63625600*70%</f>
        <v>44537920</v>
      </c>
      <c r="Q10" s="66">
        <f>63625600*70%</f>
        <v>44537920</v>
      </c>
      <c r="R10" s="100">
        <f t="shared" si="0"/>
        <v>0</v>
      </c>
    </row>
    <row r="11" spans="1:18" ht="29.1" customHeight="1">
      <c r="A11" s="169">
        <v>22102</v>
      </c>
      <c r="B11" s="66" t="s">
        <v>82</v>
      </c>
      <c r="C11" s="106">
        <f t="shared" ref="C11:J11" si="3">SUM(C7:C10)</f>
        <v>5256400000</v>
      </c>
      <c r="D11" s="106">
        <f t="shared" si="3"/>
        <v>4312221300</v>
      </c>
      <c r="E11" s="106">
        <f t="shared" si="3"/>
        <v>4449296000</v>
      </c>
      <c r="F11" s="105">
        <f t="shared" si="3"/>
        <v>6253690400</v>
      </c>
      <c r="G11" s="105">
        <f t="shared" si="3"/>
        <v>5750442000</v>
      </c>
      <c r="H11" s="105">
        <f t="shared" si="3"/>
        <v>6127038948</v>
      </c>
      <c r="I11" s="105">
        <f t="shared" si="3"/>
        <v>7799088875</v>
      </c>
      <c r="J11" s="105">
        <f t="shared" si="3"/>
        <v>13095979236</v>
      </c>
      <c r="K11" s="100">
        <v>172495680</v>
      </c>
      <c r="L11" s="100">
        <v>52136000</v>
      </c>
      <c r="M11" s="100">
        <f>52136000*70%</f>
        <v>36495200</v>
      </c>
      <c r="N11" s="100">
        <f>52136000*70%</f>
        <v>36495200</v>
      </c>
      <c r="O11" s="100">
        <f>52136000*70%</f>
        <v>36495200</v>
      </c>
      <c r="P11" s="100">
        <f>52136000*70%</f>
        <v>36495200</v>
      </c>
      <c r="Q11" s="100">
        <f>52136000*70%</f>
        <v>36495200</v>
      </c>
      <c r="R11" s="100">
        <f t="shared" si="0"/>
        <v>0</v>
      </c>
    </row>
    <row r="12" spans="1:18" ht="29.1" customHeight="1">
      <c r="A12" s="169">
        <v>22104</v>
      </c>
      <c r="B12" s="66" t="s">
        <v>116</v>
      </c>
      <c r="C12" s="66">
        <v>0</v>
      </c>
      <c r="D12" s="66">
        <v>0</v>
      </c>
      <c r="E12" s="66">
        <v>0</v>
      </c>
      <c r="F12" s="66">
        <v>0</v>
      </c>
      <c r="G12" s="66">
        <v>714000000</v>
      </c>
      <c r="H12" s="66">
        <v>1000000000</v>
      </c>
      <c r="I12" s="66">
        <v>744800000</v>
      </c>
      <c r="J12" s="66">
        <v>3250000000</v>
      </c>
      <c r="K12" s="66">
        <v>0</v>
      </c>
      <c r="L12" s="66">
        <v>29792000</v>
      </c>
      <c r="M12" s="66">
        <f>29792000*70%</f>
        <v>20854400</v>
      </c>
      <c r="N12" s="66">
        <f>29792000*70%</f>
        <v>20854400</v>
      </c>
      <c r="O12" s="66">
        <f>29792000*70%</f>
        <v>20854400</v>
      </c>
      <c r="P12" s="66">
        <f>29792000*70%</f>
        <v>20854400</v>
      </c>
      <c r="Q12" s="66">
        <f>29792000*70%</f>
        <v>20854400</v>
      </c>
      <c r="R12" s="100">
        <f t="shared" si="0"/>
        <v>0</v>
      </c>
    </row>
    <row r="13" spans="1:18" ht="29.1" customHeight="1">
      <c r="A13" s="169">
        <v>22106</v>
      </c>
      <c r="B13" s="66" t="s">
        <v>84</v>
      </c>
      <c r="C13" s="66"/>
      <c r="D13" s="66"/>
      <c r="E13" s="66"/>
      <c r="F13" s="66"/>
      <c r="G13" s="66"/>
      <c r="H13" s="66"/>
      <c r="I13" s="66"/>
      <c r="J13" s="66"/>
      <c r="K13" s="66">
        <v>12525496600</v>
      </c>
      <c r="L13" s="66">
        <v>1620000000</v>
      </c>
      <c r="M13" s="66">
        <f>1620000000</f>
        <v>1620000000</v>
      </c>
      <c r="N13" s="66">
        <f>M13</f>
        <v>1620000000</v>
      </c>
      <c r="O13" s="66">
        <f>N13</f>
        <v>1620000000</v>
      </c>
      <c r="P13" s="66">
        <f>O13</f>
        <v>1620000000</v>
      </c>
      <c r="Q13" s="66">
        <f>P13</f>
        <v>1620000000</v>
      </c>
      <c r="R13" s="100">
        <f t="shared" si="0"/>
        <v>0</v>
      </c>
    </row>
    <row r="14" spans="1:18" ht="29.1" customHeight="1">
      <c r="A14" s="169">
        <v>22107</v>
      </c>
      <c r="B14" s="66" t="s">
        <v>30</v>
      </c>
      <c r="C14" s="66">
        <v>80000000</v>
      </c>
      <c r="D14" s="66">
        <v>40000000</v>
      </c>
      <c r="E14" s="66">
        <v>40000000</v>
      </c>
      <c r="F14" s="66">
        <v>0</v>
      </c>
      <c r="G14" s="66">
        <v>0</v>
      </c>
      <c r="H14" s="66">
        <v>400000000</v>
      </c>
      <c r="I14" s="66">
        <v>297920000</v>
      </c>
      <c r="J14" s="66">
        <v>297920000</v>
      </c>
      <c r="K14" s="66">
        <v>55115200</v>
      </c>
      <c r="L14" s="66">
        <v>22344000</v>
      </c>
      <c r="M14" s="66">
        <f>22344000*70%</f>
        <v>15640799.999999998</v>
      </c>
      <c r="N14" s="66">
        <f>M14*70%</f>
        <v>10948559.999999998</v>
      </c>
      <c r="O14" s="66">
        <f>N14</f>
        <v>10948559.999999998</v>
      </c>
      <c r="P14" s="66">
        <f>O14</f>
        <v>10948559.999999998</v>
      </c>
      <c r="Q14" s="66">
        <f>P14</f>
        <v>10948559.999999998</v>
      </c>
      <c r="R14" s="100">
        <f t="shared" si="0"/>
        <v>0</v>
      </c>
    </row>
    <row r="15" spans="1:18" ht="29.1" customHeight="1">
      <c r="A15" s="169">
        <v>22112</v>
      </c>
      <c r="B15" s="66" t="s">
        <v>16</v>
      </c>
      <c r="C15" s="66"/>
      <c r="D15" s="66"/>
      <c r="E15" s="66"/>
      <c r="F15" s="66"/>
      <c r="G15" s="66"/>
      <c r="H15" s="66"/>
      <c r="I15" s="66"/>
      <c r="J15" s="66"/>
      <c r="K15" s="66"/>
      <c r="L15" s="66">
        <v>280000000</v>
      </c>
      <c r="M15" s="66">
        <f>280000000*70%</f>
        <v>196000000</v>
      </c>
      <c r="N15" s="66">
        <f>280000000*70%</f>
        <v>196000000</v>
      </c>
      <c r="O15" s="66">
        <f>280000000*70%</f>
        <v>196000000</v>
      </c>
      <c r="P15" s="66">
        <f>280000000*70%</f>
        <v>196000000</v>
      </c>
      <c r="Q15" s="66">
        <f>280000000*70%</f>
        <v>196000000</v>
      </c>
      <c r="R15" s="100">
        <f t="shared" si="0"/>
        <v>0</v>
      </c>
    </row>
    <row r="16" spans="1:18" ht="29.1" customHeight="1">
      <c r="A16" s="169">
        <v>22130</v>
      </c>
      <c r="B16" s="66" t="s">
        <v>191</v>
      </c>
      <c r="C16" s="66"/>
      <c r="D16" s="66"/>
      <c r="E16" s="66"/>
      <c r="F16" s="66"/>
      <c r="G16" s="66"/>
      <c r="H16" s="66"/>
      <c r="I16" s="66"/>
      <c r="J16" s="66"/>
      <c r="K16" s="66"/>
      <c r="L16" s="66">
        <v>12525496600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100">
        <f t="shared" si="0"/>
        <v>0</v>
      </c>
    </row>
    <row r="17" spans="1:18" ht="29.1" customHeight="1">
      <c r="A17" s="169">
        <v>22134</v>
      </c>
      <c r="B17" s="66" t="s">
        <v>189</v>
      </c>
      <c r="C17" s="106"/>
      <c r="D17" s="106"/>
      <c r="E17" s="106"/>
      <c r="F17" s="106"/>
      <c r="G17" s="106"/>
      <c r="H17" s="106"/>
      <c r="I17" s="106"/>
      <c r="J17" s="106"/>
      <c r="K17" s="66"/>
      <c r="L17" s="66">
        <v>2303624499</v>
      </c>
      <c r="M17" s="66">
        <f>2303624499*70%+107764475+243024000</f>
        <v>1963325624.3</v>
      </c>
      <c r="N17" s="66">
        <f>M17*70%</f>
        <v>1374327937.01</v>
      </c>
      <c r="O17" s="66">
        <f>N17</f>
        <v>1374327937.01</v>
      </c>
      <c r="P17" s="66">
        <f>O17</f>
        <v>1374327937.01</v>
      </c>
      <c r="Q17" s="66">
        <f>P17</f>
        <v>1374327937.01</v>
      </c>
      <c r="R17" s="100">
        <f t="shared" si="0"/>
        <v>0</v>
      </c>
    </row>
    <row r="18" spans="1:18" ht="29.1" customHeight="1">
      <c r="A18" s="169">
        <v>22137</v>
      </c>
      <c r="B18" s="66" t="s">
        <v>190</v>
      </c>
      <c r="C18" s="66"/>
      <c r="D18" s="66"/>
      <c r="E18" s="66"/>
      <c r="F18" s="66"/>
      <c r="G18" s="66"/>
      <c r="H18" s="66"/>
      <c r="I18" s="66"/>
      <c r="J18" s="66"/>
      <c r="K18" s="66">
        <v>22344000</v>
      </c>
      <c r="L18" s="66">
        <v>67032000</v>
      </c>
      <c r="M18" s="66">
        <f>67032000*70%</f>
        <v>46922400</v>
      </c>
      <c r="N18" s="66">
        <f>67032000*70%</f>
        <v>46922400</v>
      </c>
      <c r="O18" s="66">
        <f>67032000*70%</f>
        <v>46922400</v>
      </c>
      <c r="P18" s="66">
        <f>67032000*70%</f>
        <v>46922400</v>
      </c>
      <c r="Q18" s="66">
        <f>67032000*70%</f>
        <v>46922400</v>
      </c>
      <c r="R18" s="100">
        <f t="shared" si="0"/>
        <v>0</v>
      </c>
    </row>
    <row r="19" spans="1:18" ht="29.1" customHeight="1">
      <c r="A19" s="169">
        <v>22138</v>
      </c>
      <c r="B19" s="66" t="s">
        <v>197</v>
      </c>
      <c r="C19" s="106">
        <f t="shared" ref="C19:K19" si="4">SUM(C17:C18)</f>
        <v>0</v>
      </c>
      <c r="D19" s="106">
        <f t="shared" si="4"/>
        <v>0</v>
      </c>
      <c r="E19" s="106">
        <f t="shared" si="4"/>
        <v>0</v>
      </c>
      <c r="F19" s="106">
        <f t="shared" si="4"/>
        <v>0</v>
      </c>
      <c r="G19" s="106">
        <f t="shared" si="4"/>
        <v>0</v>
      </c>
      <c r="H19" s="106">
        <f t="shared" si="4"/>
        <v>0</v>
      </c>
      <c r="I19" s="106">
        <f t="shared" si="4"/>
        <v>0</v>
      </c>
      <c r="J19" s="106">
        <f t="shared" si="4"/>
        <v>0</v>
      </c>
      <c r="K19" s="106">
        <f t="shared" si="4"/>
        <v>22344000</v>
      </c>
      <c r="L19" s="66">
        <v>1167500000</v>
      </c>
      <c r="M19" s="66">
        <f>1167500000</f>
        <v>1167500000</v>
      </c>
      <c r="N19" s="66">
        <f>M19</f>
        <v>1167500000</v>
      </c>
      <c r="O19" s="66">
        <f>N19</f>
        <v>1167500000</v>
      </c>
      <c r="P19" s="66">
        <f>O19</f>
        <v>1167500000</v>
      </c>
      <c r="Q19" s="66">
        <f>P19</f>
        <v>1167500000</v>
      </c>
      <c r="R19" s="100">
        <f t="shared" si="0"/>
        <v>0</v>
      </c>
    </row>
    <row r="20" spans="1:18" ht="29.1" customHeight="1">
      <c r="A20" s="169">
        <v>22141</v>
      </c>
      <c r="B20" s="66" t="s">
        <v>608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66"/>
      <c r="M20" s="66"/>
      <c r="N20" s="66">
        <v>0</v>
      </c>
      <c r="O20" s="66">
        <v>5319348000</v>
      </c>
      <c r="P20" s="66">
        <v>0</v>
      </c>
      <c r="Q20" s="66">
        <v>0</v>
      </c>
      <c r="R20" s="100">
        <f t="shared" si="0"/>
        <v>0</v>
      </c>
    </row>
    <row r="21" spans="1:18" ht="29.1" customHeight="1">
      <c r="A21" s="169"/>
      <c r="B21" s="106" t="s">
        <v>236</v>
      </c>
      <c r="C21" s="66">
        <v>0</v>
      </c>
      <c r="D21" s="66">
        <v>0</v>
      </c>
      <c r="E21" s="66">
        <v>0</v>
      </c>
      <c r="F21" s="66">
        <v>0</v>
      </c>
      <c r="G21" s="66">
        <v>72000000</v>
      </c>
      <c r="H21" s="66">
        <v>72000000</v>
      </c>
      <c r="I21" s="66">
        <v>53625600</v>
      </c>
      <c r="J21" s="66">
        <v>53625600</v>
      </c>
      <c r="K21" s="66">
        <v>13058797840</v>
      </c>
      <c r="L21" s="106">
        <f>SUM(L10:L19)</f>
        <v>18131550699</v>
      </c>
      <c r="M21" s="106">
        <f>SUM(M10:M19)</f>
        <v>5111276344.3000002</v>
      </c>
      <c r="N21" s="106">
        <f>SUM(N10:N20)</f>
        <v>4517586417.0100002</v>
      </c>
      <c r="O21" s="106">
        <f>SUM(O10:O20)</f>
        <v>9836934417.0100002</v>
      </c>
      <c r="P21" s="106">
        <f>SUM(P10:P20)</f>
        <v>4517586417.0100002</v>
      </c>
      <c r="Q21" s="106">
        <f>SUM(Q10:Q20)</f>
        <v>4517586417.0100002</v>
      </c>
      <c r="R21" s="105">
        <f t="shared" si="0"/>
        <v>0</v>
      </c>
    </row>
    <row r="22" spans="1:18" ht="29.1" customHeight="1">
      <c r="A22" s="249">
        <v>2220</v>
      </c>
      <c r="B22" s="106" t="s">
        <v>161</v>
      </c>
      <c r="C22" s="66">
        <v>100000000</v>
      </c>
      <c r="D22" s="66">
        <v>70000000</v>
      </c>
      <c r="E22" s="66">
        <v>70000000</v>
      </c>
      <c r="F22" s="66">
        <v>70000000</v>
      </c>
      <c r="G22" s="66">
        <v>70000000</v>
      </c>
      <c r="H22" s="66">
        <v>70000000</v>
      </c>
      <c r="I22" s="66">
        <v>52136000</v>
      </c>
      <c r="J22" s="66">
        <v>52136000</v>
      </c>
      <c r="K22" s="66">
        <v>82672800</v>
      </c>
      <c r="L22" s="66"/>
      <c r="M22" s="66"/>
      <c r="N22" s="66"/>
      <c r="O22" s="66"/>
      <c r="P22" s="66"/>
      <c r="Q22" s="66"/>
      <c r="R22" s="100">
        <f t="shared" si="0"/>
        <v>0</v>
      </c>
    </row>
    <row r="23" spans="1:18" ht="29.1" customHeight="1">
      <c r="A23" s="169">
        <v>22201</v>
      </c>
      <c r="B23" s="66" t="s">
        <v>90</v>
      </c>
      <c r="C23" s="66">
        <v>16104000</v>
      </c>
      <c r="D23" s="66">
        <v>0</v>
      </c>
      <c r="E23" s="66">
        <v>0</v>
      </c>
      <c r="F23" s="66">
        <v>40000000</v>
      </c>
      <c r="G23" s="66">
        <v>40000000</v>
      </c>
      <c r="H23" s="66">
        <v>40000000</v>
      </c>
      <c r="I23" s="66">
        <v>29792000</v>
      </c>
      <c r="J23" s="66">
        <v>29792000</v>
      </c>
      <c r="K23" s="66">
        <v>114991161</v>
      </c>
      <c r="L23" s="66">
        <v>0</v>
      </c>
      <c r="M23" s="66">
        <v>0</v>
      </c>
      <c r="N23" s="66">
        <v>0</v>
      </c>
      <c r="O23" s="66">
        <v>0</v>
      </c>
      <c r="P23" s="66">
        <v>1134000000</v>
      </c>
      <c r="Q23" s="66">
        <v>1134000000</v>
      </c>
      <c r="R23" s="100">
        <f t="shared" si="0"/>
        <v>0</v>
      </c>
    </row>
    <row r="24" spans="1:18" ht="29.1" customHeight="1">
      <c r="A24" s="169">
        <v>22202</v>
      </c>
      <c r="B24" s="66" t="s">
        <v>91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106">
        <f>SUM(K17:K23)</f>
        <v>13301149801</v>
      </c>
      <c r="L24" s="66">
        <v>1882952000</v>
      </c>
      <c r="M24" s="66">
        <f>1882952000</f>
        <v>1882952000</v>
      </c>
      <c r="N24" s="66">
        <v>1962952000</v>
      </c>
      <c r="O24" s="66">
        <v>2362952000</v>
      </c>
      <c r="P24" s="66">
        <v>2462952000</v>
      </c>
      <c r="Q24" s="66">
        <v>3000000000</v>
      </c>
      <c r="R24" s="100">
        <f t="shared" si="0"/>
        <v>537048000</v>
      </c>
    </row>
    <row r="25" spans="1:18" ht="29.1" customHeight="1">
      <c r="A25" s="169">
        <v>22203</v>
      </c>
      <c r="B25" s="66" t="s">
        <v>85</v>
      </c>
      <c r="C25" s="66">
        <v>300000000</v>
      </c>
      <c r="D25" s="66">
        <f>200000000-67356435+67356435</f>
        <v>200000000</v>
      </c>
      <c r="E25" s="66">
        <v>200000000</v>
      </c>
      <c r="F25" s="66">
        <v>200000000</v>
      </c>
      <c r="G25" s="66">
        <v>1220000000</v>
      </c>
      <c r="H25" s="66">
        <v>1220000000</v>
      </c>
      <c r="I25" s="66">
        <v>1620000000</v>
      </c>
      <c r="J25" s="66">
        <v>1620000000</v>
      </c>
      <c r="K25" s="66"/>
      <c r="L25" s="66">
        <v>51391200</v>
      </c>
      <c r="M25" s="66">
        <f>51391200*70%</f>
        <v>35973840</v>
      </c>
      <c r="N25" s="66">
        <f>51391200*70%</f>
        <v>35973840</v>
      </c>
      <c r="O25" s="66">
        <f>51391200*70%</f>
        <v>35973840</v>
      </c>
      <c r="P25" s="66">
        <f>51391200*70%</f>
        <v>35973840</v>
      </c>
      <c r="Q25" s="66">
        <f>51391200*70%</f>
        <v>35973840</v>
      </c>
      <c r="R25" s="100">
        <f t="shared" si="0"/>
        <v>0</v>
      </c>
    </row>
    <row r="26" spans="1:18" ht="29.1" customHeight="1">
      <c r="A26" s="169">
        <v>22204</v>
      </c>
      <c r="B26" s="66" t="s">
        <v>86</v>
      </c>
      <c r="C26" s="66"/>
      <c r="D26" s="66"/>
      <c r="E26" s="66"/>
      <c r="F26" s="66">
        <v>0</v>
      </c>
      <c r="G26" s="66">
        <v>30000000</v>
      </c>
      <c r="H26" s="66">
        <v>30000000</v>
      </c>
      <c r="I26" s="66">
        <v>22344000</v>
      </c>
      <c r="J26" s="66">
        <v>22344000</v>
      </c>
      <c r="K26" s="66"/>
      <c r="L26" s="66">
        <v>22344000</v>
      </c>
      <c r="M26" s="66">
        <f>22344000*70%</f>
        <v>15640799.999999998</v>
      </c>
      <c r="N26" s="66">
        <f>22344000*70%</f>
        <v>15640799.999999998</v>
      </c>
      <c r="O26" s="66">
        <f>22344000*70%</f>
        <v>15640799.999999998</v>
      </c>
      <c r="P26" s="66">
        <f>22344000*70%</f>
        <v>15640799.999999998</v>
      </c>
      <c r="Q26" s="66">
        <f>22344000*70%</f>
        <v>15640799.999999998</v>
      </c>
      <c r="R26" s="100">
        <f t="shared" si="0"/>
        <v>0</v>
      </c>
    </row>
    <row r="27" spans="1:18" ht="29.1" customHeight="1">
      <c r="A27" s="169">
        <v>22208</v>
      </c>
      <c r="B27" s="66" t="s">
        <v>468</v>
      </c>
      <c r="C27" s="66"/>
      <c r="D27" s="66"/>
      <c r="E27" s="66"/>
      <c r="F27" s="66"/>
      <c r="G27" s="66"/>
      <c r="H27" s="66"/>
      <c r="I27" s="66"/>
      <c r="J27" s="66"/>
      <c r="K27" s="66">
        <v>744800000</v>
      </c>
      <c r="L27" s="66">
        <v>14771092248</v>
      </c>
      <c r="M27" s="66">
        <f>14771092248/3500*6000+552911575</f>
        <v>25874784000.142857</v>
      </c>
      <c r="N27" s="66">
        <v>27779921040</v>
      </c>
      <c r="O27" s="66">
        <v>28424249424</v>
      </c>
      <c r="P27" s="66">
        <v>29324601424</v>
      </c>
      <c r="Q27" s="66">
        <v>30413433878</v>
      </c>
      <c r="R27" s="100">
        <f t="shared" si="0"/>
        <v>1088832454</v>
      </c>
    </row>
    <row r="28" spans="1:18" ht="29.1" customHeight="1">
      <c r="A28" s="169">
        <v>22209</v>
      </c>
      <c r="B28" s="66" t="s">
        <v>47</v>
      </c>
      <c r="C28" s="66">
        <v>100000000</v>
      </c>
      <c r="D28" s="66">
        <v>70000000</v>
      </c>
      <c r="E28" s="66">
        <v>70000000</v>
      </c>
      <c r="F28" s="66">
        <v>70000000</v>
      </c>
      <c r="G28" s="66">
        <v>240000000</v>
      </c>
      <c r="H28" s="66">
        <v>231600000</v>
      </c>
      <c r="I28" s="66">
        <v>172495680</v>
      </c>
      <c r="J28" s="66">
        <v>360000000</v>
      </c>
      <c r="K28" s="66">
        <v>0</v>
      </c>
      <c r="L28" s="66">
        <v>55115200</v>
      </c>
      <c r="M28" s="66">
        <f>55115200*70%</f>
        <v>38580640</v>
      </c>
      <c r="N28" s="66">
        <f>55115200*70%</f>
        <v>38580640</v>
      </c>
      <c r="O28" s="66">
        <f>55115200*70%</f>
        <v>38580640</v>
      </c>
      <c r="P28" s="66">
        <f>55115200*70%</f>
        <v>38580640</v>
      </c>
      <c r="Q28" s="66">
        <f>55115200*70%</f>
        <v>38580640</v>
      </c>
      <c r="R28" s="100">
        <f t="shared" si="0"/>
        <v>0</v>
      </c>
    </row>
    <row r="29" spans="1:18" ht="29.1" customHeight="1">
      <c r="A29" s="169">
        <v>22210</v>
      </c>
      <c r="B29" s="66" t="s">
        <v>192</v>
      </c>
      <c r="C29" s="66"/>
      <c r="D29" s="66"/>
      <c r="E29" s="66"/>
      <c r="F29" s="66"/>
      <c r="G29" s="66"/>
      <c r="H29" s="66"/>
      <c r="I29" s="66"/>
      <c r="J29" s="66"/>
      <c r="K29" s="66"/>
      <c r="L29" s="66">
        <v>314991161</v>
      </c>
      <c r="M29" s="66">
        <f>314991161*70%</f>
        <v>220493812.69999999</v>
      </c>
      <c r="N29" s="66">
        <f>314991161*70%</f>
        <v>220493812.69999999</v>
      </c>
      <c r="O29" s="66">
        <f>314991161*70%</f>
        <v>220493812.69999999</v>
      </c>
      <c r="P29" s="66">
        <f>314991161*70%</f>
        <v>220493812.69999999</v>
      </c>
      <c r="Q29" s="66">
        <f>314991161*70%</f>
        <v>220493812.69999999</v>
      </c>
      <c r="R29" s="100">
        <f t="shared" si="0"/>
        <v>0</v>
      </c>
    </row>
    <row r="30" spans="1:18" ht="29.1" customHeight="1">
      <c r="A30" s="169">
        <v>22216</v>
      </c>
      <c r="B30" s="66" t="s">
        <v>70</v>
      </c>
      <c r="C30" s="66"/>
      <c r="D30" s="66"/>
      <c r="E30" s="66"/>
      <c r="F30" s="66"/>
      <c r="G30" s="66"/>
      <c r="H30" s="66"/>
      <c r="I30" s="66"/>
      <c r="J30" s="66"/>
      <c r="K30" s="66"/>
      <c r="L30" s="66">
        <v>100000000</v>
      </c>
      <c r="M30" s="66">
        <f>100000000*70%</f>
        <v>70000000</v>
      </c>
      <c r="N30" s="66">
        <f>100000000*70%</f>
        <v>70000000</v>
      </c>
      <c r="O30" s="66">
        <f>100000000*70%</f>
        <v>70000000</v>
      </c>
      <c r="P30" s="66">
        <f>100000000*70%</f>
        <v>70000000</v>
      </c>
      <c r="Q30" s="66">
        <f>100000000*70%</f>
        <v>70000000</v>
      </c>
      <c r="R30" s="100">
        <f t="shared" si="0"/>
        <v>0</v>
      </c>
    </row>
    <row r="31" spans="1:18" ht="29.1" customHeight="1">
      <c r="A31" s="169"/>
      <c r="B31" s="106" t="s">
        <v>59</v>
      </c>
      <c r="C31" s="66">
        <v>131200000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297920000</v>
      </c>
      <c r="L31" s="106">
        <f t="shared" ref="L31:P31" si="5">SUM(L23:L30)</f>
        <v>17197885809</v>
      </c>
      <c r="M31" s="106">
        <f t="shared" si="5"/>
        <v>28138425092.842857</v>
      </c>
      <c r="N31" s="106">
        <f t="shared" si="5"/>
        <v>30123562132.700001</v>
      </c>
      <c r="O31" s="106">
        <f t="shared" si="5"/>
        <v>31167890516.700001</v>
      </c>
      <c r="P31" s="106">
        <f t="shared" si="5"/>
        <v>33302242516.700001</v>
      </c>
      <c r="Q31" s="106">
        <f>SUM(Q23:Q30)</f>
        <v>34928122970.699997</v>
      </c>
      <c r="R31" s="105">
        <f t="shared" si="0"/>
        <v>1625880453.9999962</v>
      </c>
    </row>
    <row r="32" spans="1:18" ht="29.1" customHeight="1">
      <c r="A32" s="249">
        <v>2230</v>
      </c>
      <c r="B32" s="106" t="s">
        <v>88</v>
      </c>
      <c r="C32" s="66"/>
      <c r="D32" s="66"/>
      <c r="E32" s="66"/>
      <c r="F32" s="66"/>
      <c r="G32" s="66"/>
      <c r="H32" s="66"/>
      <c r="I32" s="66"/>
      <c r="J32" s="66"/>
      <c r="K32" s="66">
        <v>0</v>
      </c>
      <c r="L32" s="66"/>
      <c r="M32" s="66"/>
      <c r="N32" s="66"/>
      <c r="O32" s="66"/>
      <c r="P32" s="66"/>
      <c r="Q32" s="66"/>
      <c r="R32" s="100">
        <f t="shared" si="0"/>
        <v>0</v>
      </c>
    </row>
    <row r="33" spans="1:18" ht="29.1" customHeight="1">
      <c r="A33" s="169">
        <v>22301</v>
      </c>
      <c r="B33" s="66" t="s">
        <v>31</v>
      </c>
      <c r="C33" s="66"/>
      <c r="D33" s="66"/>
      <c r="E33" s="66"/>
      <c r="F33" s="66"/>
      <c r="G33" s="66"/>
      <c r="H33" s="66"/>
      <c r="I33" s="66">
        <v>0</v>
      </c>
      <c r="J33" s="66">
        <v>11103400000</v>
      </c>
      <c r="K33" s="106">
        <f>SUM(K27:K32)</f>
        <v>1042720000</v>
      </c>
      <c r="L33" s="66">
        <v>1100000000</v>
      </c>
      <c r="M33" s="66">
        <f>1100000000</f>
        <v>1100000000</v>
      </c>
      <c r="N33" s="66">
        <f>1100000000</f>
        <v>1100000000</v>
      </c>
      <c r="O33" s="66">
        <f>1100000000</f>
        <v>1100000000</v>
      </c>
      <c r="P33" s="66">
        <f>1100000000</f>
        <v>1100000000</v>
      </c>
      <c r="Q33" s="66">
        <f>1100000000</f>
        <v>1100000000</v>
      </c>
      <c r="R33" s="100">
        <f t="shared" si="0"/>
        <v>0</v>
      </c>
    </row>
    <row r="34" spans="1:18" ht="29.1" customHeight="1">
      <c r="A34" s="169">
        <v>22302</v>
      </c>
      <c r="B34" s="66" t="s">
        <v>162</v>
      </c>
      <c r="C34" s="66"/>
      <c r="D34" s="66"/>
      <c r="E34" s="66"/>
      <c r="F34" s="66"/>
      <c r="G34" s="66"/>
      <c r="H34" s="66"/>
      <c r="I34" s="66">
        <v>0</v>
      </c>
      <c r="J34" s="66">
        <v>1600000000</v>
      </c>
      <c r="K34" s="66"/>
      <c r="L34" s="66">
        <v>60000000</v>
      </c>
      <c r="M34" s="66">
        <f>60000000*70%</f>
        <v>42000000</v>
      </c>
      <c r="N34" s="66">
        <f>60000000*70%</f>
        <v>42000000</v>
      </c>
      <c r="O34" s="66">
        <f>60000000*70%</f>
        <v>42000000</v>
      </c>
      <c r="P34" s="66">
        <f>60000000*70%</f>
        <v>42000000</v>
      </c>
      <c r="Q34" s="66">
        <f>60000000*70%</f>
        <v>42000000</v>
      </c>
      <c r="R34" s="100">
        <f t="shared" si="0"/>
        <v>0</v>
      </c>
    </row>
    <row r="35" spans="1:18" ht="29.1" customHeight="1">
      <c r="A35" s="169">
        <v>22314</v>
      </c>
      <c r="B35" s="66" t="s">
        <v>163</v>
      </c>
      <c r="C35" s="66"/>
      <c r="D35" s="66">
        <v>0</v>
      </c>
      <c r="E35" s="66">
        <v>0</v>
      </c>
      <c r="F35" s="66">
        <v>0</v>
      </c>
      <c r="G35" s="66">
        <v>45000000</v>
      </c>
      <c r="H35" s="66">
        <v>90000000</v>
      </c>
      <c r="I35" s="66">
        <v>67032000</v>
      </c>
      <c r="J35" s="66">
        <v>67032000</v>
      </c>
      <c r="K35" s="66">
        <v>860035456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f t="shared" si="0"/>
        <v>0</v>
      </c>
    </row>
    <row r="36" spans="1:18" ht="29.1" customHeight="1">
      <c r="A36" s="169"/>
      <c r="B36" s="106" t="s">
        <v>59</v>
      </c>
      <c r="C36" s="106">
        <f t="shared" ref="C36:J36" si="6">SUM(C21:C35)</f>
        <v>647304000</v>
      </c>
      <c r="D36" s="106">
        <f t="shared" si="6"/>
        <v>340000000</v>
      </c>
      <c r="E36" s="106">
        <f t="shared" si="6"/>
        <v>340000000</v>
      </c>
      <c r="F36" s="106">
        <f t="shared" si="6"/>
        <v>380000000</v>
      </c>
      <c r="G36" s="106">
        <f t="shared" si="6"/>
        <v>1717000000</v>
      </c>
      <c r="H36" s="106">
        <f t="shared" si="6"/>
        <v>1753600000</v>
      </c>
      <c r="I36" s="106">
        <f t="shared" si="6"/>
        <v>2017425280</v>
      </c>
      <c r="J36" s="106">
        <f t="shared" si="6"/>
        <v>14908329600</v>
      </c>
      <c r="K36" s="66">
        <v>60000000</v>
      </c>
      <c r="L36" s="142">
        <f t="shared" ref="L36:P36" si="7">SUM(L33:L35)</f>
        <v>1160000000</v>
      </c>
      <c r="M36" s="142">
        <f t="shared" si="7"/>
        <v>1142000000</v>
      </c>
      <c r="N36" s="142">
        <f t="shared" si="7"/>
        <v>1142000000</v>
      </c>
      <c r="O36" s="142">
        <f t="shared" si="7"/>
        <v>1142000000</v>
      </c>
      <c r="P36" s="142">
        <f t="shared" si="7"/>
        <v>1142000000</v>
      </c>
      <c r="Q36" s="142">
        <f>SUM(Q33:Q35)</f>
        <v>1142000000</v>
      </c>
      <c r="R36" s="105">
        <f t="shared" si="0"/>
        <v>0</v>
      </c>
    </row>
    <row r="37" spans="1:18" ht="29.1" customHeight="1">
      <c r="A37" s="249">
        <v>230</v>
      </c>
      <c r="B37" s="106" t="s">
        <v>165</v>
      </c>
      <c r="C37" s="105" t="e">
        <f>C36++#REF!+#REF!+C11+C6</f>
        <v>#REF!</v>
      </c>
      <c r="D37" s="105" t="e">
        <f>D36+#REF!+#REF!+D11+D6</f>
        <v>#REF!</v>
      </c>
      <c r="E37" s="105" t="e">
        <f>E36+#REF!+#REF!+E11+E6</f>
        <v>#REF!</v>
      </c>
      <c r="F37" s="106" t="e">
        <f>F36+#REF!+#REF!+F11+F6</f>
        <v>#REF!</v>
      </c>
      <c r="G37" s="106" t="e">
        <f>G36+#REF!+#REF!+G11+G6</f>
        <v>#REF!</v>
      </c>
      <c r="H37" s="106" t="e">
        <f>H36+#REF!+#REF!+H11+H6</f>
        <v>#REF!</v>
      </c>
      <c r="I37" s="106" t="e">
        <f>I36+#REF!+#REF!+I11+I6</f>
        <v>#REF!</v>
      </c>
      <c r="J37" s="106" t="e">
        <f>J36+#REF!+#REF!+J11+J6</f>
        <v>#REF!</v>
      </c>
      <c r="K37" s="66">
        <v>0</v>
      </c>
      <c r="L37" s="133"/>
      <c r="M37" s="133"/>
      <c r="N37" s="133"/>
      <c r="O37" s="133"/>
      <c r="P37" s="133"/>
      <c r="Q37" s="133"/>
      <c r="R37" s="100">
        <f t="shared" si="0"/>
        <v>0</v>
      </c>
    </row>
    <row r="38" spans="1:18" ht="29.1" customHeight="1">
      <c r="A38" s="249">
        <v>2310</v>
      </c>
      <c r="B38" s="106" t="s">
        <v>164</v>
      </c>
      <c r="C38" s="118"/>
      <c r="D38" s="118"/>
      <c r="E38" s="118"/>
      <c r="F38" s="118"/>
      <c r="G38" s="118"/>
      <c r="H38" s="118"/>
      <c r="I38" s="118"/>
      <c r="J38" s="118"/>
      <c r="K38" s="105">
        <f>SUM(K35:K37)</f>
        <v>920035456</v>
      </c>
      <c r="L38" s="117"/>
      <c r="M38" s="117"/>
      <c r="N38" s="117"/>
      <c r="O38" s="117"/>
      <c r="P38" s="117"/>
      <c r="Q38" s="117"/>
      <c r="R38" s="100">
        <f t="shared" si="0"/>
        <v>0</v>
      </c>
    </row>
    <row r="39" spans="1:18" ht="29.1" customHeight="1">
      <c r="A39" s="169">
        <v>23101</v>
      </c>
      <c r="B39" s="66" t="s">
        <v>172</v>
      </c>
      <c r="C39" s="118"/>
      <c r="D39" s="118"/>
      <c r="E39" s="118"/>
      <c r="F39" s="100" t="s">
        <v>4</v>
      </c>
      <c r="G39" s="100"/>
      <c r="H39" s="100"/>
      <c r="I39" s="100"/>
      <c r="J39" s="100"/>
      <c r="K39" s="105" t="e">
        <f>K38+K33+K24+#REF!+K6</f>
        <v>#REF!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f t="shared" si="0"/>
        <v>0</v>
      </c>
    </row>
    <row r="40" spans="1:18" ht="29.1" customHeight="1">
      <c r="A40" s="169">
        <v>23102</v>
      </c>
      <c r="B40" s="66" t="s">
        <v>173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6">
        <v>1108000000</v>
      </c>
      <c r="M40" s="116">
        <f>1108000000*70%</f>
        <v>775600000</v>
      </c>
      <c r="N40" s="116">
        <v>2842000000</v>
      </c>
      <c r="O40" s="116"/>
      <c r="P40" s="116"/>
      <c r="Q40" s="116"/>
      <c r="R40" s="100">
        <f t="shared" si="0"/>
        <v>0</v>
      </c>
    </row>
    <row r="41" spans="1:18" ht="29.1" customHeight="1">
      <c r="A41" s="169">
        <v>23104</v>
      </c>
      <c r="B41" s="66" t="s">
        <v>107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6">
        <v>297920000</v>
      </c>
      <c r="M41" s="116">
        <f>297920000</f>
        <v>297920000</v>
      </c>
      <c r="N41" s="119">
        <v>0</v>
      </c>
      <c r="O41" s="119">
        <v>0</v>
      </c>
      <c r="P41" s="119">
        <v>0</v>
      </c>
      <c r="Q41" s="119">
        <v>0</v>
      </c>
      <c r="R41" s="100">
        <f t="shared" si="0"/>
        <v>0</v>
      </c>
    </row>
    <row r="42" spans="1:18" ht="29.1" customHeight="1">
      <c r="A42" s="169">
        <v>23105</v>
      </c>
      <c r="B42" s="66" t="s">
        <v>743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6">
        <v>5110000000</v>
      </c>
      <c r="M42" s="116">
        <f>5110000000*70%+894885600+638114400</f>
        <v>5110000000</v>
      </c>
      <c r="N42" s="116">
        <v>3158000000</v>
      </c>
      <c r="O42" s="119">
        <v>0</v>
      </c>
      <c r="P42" s="119">
        <v>0</v>
      </c>
      <c r="Q42" s="119">
        <v>0</v>
      </c>
      <c r="R42" s="100">
        <f t="shared" si="0"/>
        <v>0</v>
      </c>
    </row>
    <row r="43" spans="1:18" ht="29.1" customHeight="1">
      <c r="A43" s="169"/>
      <c r="B43" s="106" t="s">
        <v>59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6"/>
      <c r="M43" s="116"/>
      <c r="N43" s="116"/>
      <c r="O43" s="119"/>
      <c r="P43" s="143">
        <f>SUM(P38:P42)</f>
        <v>0</v>
      </c>
      <c r="Q43" s="143">
        <f>SUM(Q38:Q42)</f>
        <v>0</v>
      </c>
      <c r="R43" s="100">
        <f t="shared" si="0"/>
        <v>0</v>
      </c>
    </row>
    <row r="44" spans="1:18" ht="29.1" customHeight="1">
      <c r="A44" s="249">
        <v>2630</v>
      </c>
      <c r="B44" s="106" t="s">
        <v>695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6"/>
      <c r="M44" s="116"/>
      <c r="N44" s="116"/>
      <c r="O44" s="119"/>
      <c r="P44" s="119"/>
      <c r="Q44" s="119"/>
      <c r="R44" s="100">
        <f t="shared" si="0"/>
        <v>0</v>
      </c>
    </row>
    <row r="45" spans="1:18" ht="29.1" customHeight="1">
      <c r="A45" s="169">
        <v>26301</v>
      </c>
      <c r="B45" s="66" t="s">
        <v>698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6"/>
      <c r="M45" s="116"/>
      <c r="N45" s="116"/>
      <c r="O45" s="119"/>
      <c r="P45" s="66">
        <v>500000000</v>
      </c>
      <c r="Q45" s="66">
        <v>500000000</v>
      </c>
      <c r="R45" s="100">
        <f t="shared" si="0"/>
        <v>0</v>
      </c>
    </row>
    <row r="46" spans="1:18" ht="29.1" customHeight="1">
      <c r="A46" s="169"/>
      <c r="B46" s="106" t="s">
        <v>59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7">
        <f>SUM(L39:L42)</f>
        <v>6515920000</v>
      </c>
      <c r="M46" s="117">
        <f>SUM(M39:M42)</f>
        <v>6183520000</v>
      </c>
      <c r="N46" s="117">
        <f>SUM(N39:N42)</f>
        <v>6000000000</v>
      </c>
      <c r="O46" s="143">
        <f>SUM(O39:O42)</f>
        <v>0</v>
      </c>
      <c r="P46" s="106">
        <f>SUM(P45)</f>
        <v>500000000</v>
      </c>
      <c r="Q46" s="106">
        <f>SUM(Q45)</f>
        <v>500000000</v>
      </c>
      <c r="R46" s="105">
        <f t="shared" si="0"/>
        <v>0</v>
      </c>
    </row>
    <row r="47" spans="1:18" ht="29.1" customHeight="1">
      <c r="A47" s="169"/>
      <c r="B47" s="106" t="s">
        <v>312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7">
        <f t="shared" ref="L47:P47" si="8">L46+L36+L31+L21+L7</f>
        <v>87580662108</v>
      </c>
      <c r="M47" s="117">
        <f t="shared" si="8"/>
        <v>133672365037.14285</v>
      </c>
      <c r="N47" s="117">
        <f t="shared" si="8"/>
        <v>133301821749.70999</v>
      </c>
      <c r="O47" s="117">
        <f t="shared" si="8"/>
        <v>142071277333.70999</v>
      </c>
      <c r="P47" s="117">
        <f t="shared" si="8"/>
        <v>160616708213.70999</v>
      </c>
      <c r="Q47" s="117">
        <f>Q46+Q36+Q31+Q21+Q7</f>
        <v>180834385467.70999</v>
      </c>
      <c r="R47" s="105">
        <f t="shared" si="0"/>
        <v>20217677254</v>
      </c>
    </row>
    <row r="48" spans="1:18" ht="29.1" customHeight="1">
      <c r="L48" s="378"/>
    </row>
    <row r="51" spans="12:12" ht="29.1" customHeight="1">
      <c r="L51" s="352"/>
    </row>
  </sheetData>
  <pageMargins left="0.5" right="0.25" top="0.55000000000000004" bottom="0.51" header="0.17" footer="0.17"/>
  <pageSetup scale="50" orientation="portrait" r:id="rId1"/>
  <headerFooter>
    <oddHeader>&amp;C&amp;"Algerian,Bold"&amp;36CIIDANKA QARANKA SOMALILAND</oddHeader>
    <oddFooter>&amp;R&amp;"Times New Roman,Bold"&amp;14 27</oddFooter>
  </headerFooter>
  <ignoredErrors>
    <ignoredError sqref="O18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9"/>
  <dimension ref="A1:R47"/>
  <sheetViews>
    <sheetView view="pageBreakPreview" topLeftCell="A22" zoomScale="60" workbookViewId="0">
      <selection activeCell="R16" sqref="R16"/>
    </sheetView>
  </sheetViews>
  <sheetFormatPr defaultRowHeight="27.95" customHeight="1"/>
  <cols>
    <col min="1" max="1" width="16.6640625" style="379" bestFit="1" customWidth="1"/>
    <col min="2" max="2" width="80.33203125" style="304" customWidth="1"/>
    <col min="3" max="3" width="16" style="304" hidden="1" customWidth="1"/>
    <col min="4" max="4" width="16.6640625" style="304" hidden="1" customWidth="1"/>
    <col min="5" max="5" width="18" style="304" hidden="1" customWidth="1"/>
    <col min="6" max="6" width="16.6640625" style="304" hidden="1" customWidth="1"/>
    <col min="7" max="8" width="0.1640625" style="304" hidden="1" customWidth="1"/>
    <col min="9" max="9" width="2.6640625" style="304" hidden="1" customWidth="1"/>
    <col min="10" max="10" width="16.6640625" style="304" hidden="1" customWidth="1"/>
    <col min="11" max="11" width="18" style="304" hidden="1" customWidth="1"/>
    <col min="12" max="13" width="28" style="304" hidden="1" customWidth="1"/>
    <col min="14" max="14" width="36.83203125" style="273" hidden="1" customWidth="1"/>
    <col min="15" max="15" width="31" style="273" hidden="1" customWidth="1"/>
    <col min="16" max="17" width="31" style="273" customWidth="1"/>
    <col min="18" max="18" width="25.5" style="304" customWidth="1"/>
    <col min="19" max="16384" width="9.33203125" style="304"/>
  </cols>
  <sheetData>
    <row r="1" spans="1:18" ht="27.95" customHeight="1">
      <c r="A1" s="353" t="s">
        <v>21</v>
      </c>
      <c r="B1" s="354" t="s">
        <v>784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66"/>
      <c r="O1" s="66"/>
      <c r="P1" s="66"/>
      <c r="Q1" s="66"/>
      <c r="R1" s="303"/>
    </row>
    <row r="2" spans="1:18" ht="27.95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67</v>
      </c>
      <c r="J2" s="256" t="s">
        <v>71</v>
      </c>
      <c r="K2" s="256" t="s">
        <v>76</v>
      </c>
      <c r="L2" s="256" t="s">
        <v>110</v>
      </c>
      <c r="M2" s="256" t="s">
        <v>166</v>
      </c>
      <c r="N2" s="106" t="s">
        <v>318</v>
      </c>
      <c r="O2" s="106" t="s">
        <v>538</v>
      </c>
      <c r="P2" s="106" t="s">
        <v>607</v>
      </c>
      <c r="Q2" s="106" t="s">
        <v>721</v>
      </c>
      <c r="R2" s="112" t="s">
        <v>34</v>
      </c>
    </row>
    <row r="3" spans="1:18" ht="27.95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51"/>
      <c r="N3" s="106"/>
      <c r="O3" s="106"/>
      <c r="P3" s="106"/>
      <c r="Q3" s="106"/>
      <c r="R3" s="303"/>
    </row>
    <row r="4" spans="1:18" ht="27.95" customHeight="1">
      <c r="A4" s="169">
        <v>21101</v>
      </c>
      <c r="B4" s="66" t="s">
        <v>9</v>
      </c>
      <c r="C4" s="66">
        <v>65523000</v>
      </c>
      <c r="D4" s="66">
        <v>101148000</v>
      </c>
      <c r="E4" s="66">
        <v>98052000</v>
      </c>
      <c r="F4" s="66">
        <v>85584000</v>
      </c>
      <c r="G4" s="66">
        <f>84564000+2460000</f>
        <v>87024000</v>
      </c>
      <c r="H4" s="66">
        <f>84564000+2460000+17376000</f>
        <v>104400000</v>
      </c>
      <c r="I4" s="66">
        <v>178152000</v>
      </c>
      <c r="J4" s="66">
        <f>184719600+54000000+6000000</f>
        <v>244719600</v>
      </c>
      <c r="K4" s="66">
        <f>244719600+12000000-4149600</f>
        <v>252570000</v>
      </c>
      <c r="L4" s="66">
        <v>272912400</v>
      </c>
      <c r="M4" s="66" t="e">
        <f>#REF!+36000000</f>
        <v>#REF!</v>
      </c>
      <c r="N4" s="66">
        <v>650047200</v>
      </c>
      <c r="O4" s="66">
        <v>903770400</v>
      </c>
      <c r="P4" s="66">
        <v>1169962560</v>
      </c>
      <c r="Q4" s="66">
        <v>1259032320</v>
      </c>
      <c r="R4" s="100">
        <f>Q4-P4</f>
        <v>89069760</v>
      </c>
    </row>
    <row r="5" spans="1:18" ht="27.95" customHeight="1">
      <c r="A5" s="169">
        <v>21102</v>
      </c>
      <c r="B5" s="66" t="s">
        <v>418</v>
      </c>
      <c r="C5" s="66">
        <v>2371000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97200000</v>
      </c>
      <c r="O5" s="66">
        <v>97200000</v>
      </c>
      <c r="P5" s="66">
        <v>194400000</v>
      </c>
      <c r="Q5" s="66">
        <v>194400000</v>
      </c>
      <c r="R5" s="100">
        <f t="shared" ref="R5:R45" si="0">Q5-P5</f>
        <v>0</v>
      </c>
    </row>
    <row r="6" spans="1:18" ht="27.95" customHeight="1">
      <c r="A6" s="169">
        <v>21103</v>
      </c>
      <c r="B6" s="66" t="s">
        <v>11</v>
      </c>
      <c r="C6" s="66"/>
      <c r="D6" s="66"/>
      <c r="E6" s="66"/>
      <c r="F6" s="66"/>
      <c r="G6" s="66"/>
      <c r="H6" s="66">
        <v>0</v>
      </c>
      <c r="I6" s="66">
        <v>58500000</v>
      </c>
      <c r="J6" s="66">
        <v>117000000</v>
      </c>
      <c r="K6" s="66">
        <v>60000000</v>
      </c>
      <c r="L6" s="66">
        <f>60000000+3600000</f>
        <v>63600000</v>
      </c>
      <c r="M6" s="66">
        <f>60000000+3600000-21600000</f>
        <v>42000000</v>
      </c>
      <c r="N6" s="66">
        <v>70800000</v>
      </c>
      <c r="O6" s="66">
        <v>162000000</v>
      </c>
      <c r="P6" s="66">
        <v>306000000</v>
      </c>
      <c r="Q6" s="66">
        <v>306000000</v>
      </c>
      <c r="R6" s="100">
        <f t="shared" si="0"/>
        <v>0</v>
      </c>
    </row>
    <row r="7" spans="1:18" ht="27.95" customHeight="1">
      <c r="A7" s="169">
        <v>21105</v>
      </c>
      <c r="B7" s="66" t="s">
        <v>580</v>
      </c>
      <c r="C7" s="66">
        <v>1450000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3814200</v>
      </c>
      <c r="K7" s="66">
        <v>117000000</v>
      </c>
      <c r="L7" s="66">
        <v>72000000</v>
      </c>
      <c r="M7" s="66">
        <v>72000000</v>
      </c>
      <c r="N7" s="66">
        <v>24000000</v>
      </c>
      <c r="O7" s="66">
        <v>124800000</v>
      </c>
      <c r="P7" s="66">
        <v>124800000</v>
      </c>
      <c r="Q7" s="66">
        <v>193800000</v>
      </c>
      <c r="R7" s="100">
        <f t="shared" si="0"/>
        <v>69000000</v>
      </c>
    </row>
    <row r="8" spans="1:18" ht="27.95" customHeight="1">
      <c r="A8" s="169"/>
      <c r="B8" s="106" t="s">
        <v>59</v>
      </c>
      <c r="C8" s="66"/>
      <c r="D8" s="66"/>
      <c r="E8" s="66"/>
      <c r="F8" s="66"/>
      <c r="G8" s="66"/>
      <c r="H8" s="66"/>
      <c r="I8" s="66"/>
      <c r="J8" s="66"/>
      <c r="K8" s="66">
        <v>0</v>
      </c>
      <c r="L8" s="106">
        <f t="shared" ref="L8:P8" si="1">SUM(L4:L7)</f>
        <v>408512400</v>
      </c>
      <c r="M8" s="106" t="e">
        <f t="shared" si="1"/>
        <v>#REF!</v>
      </c>
      <c r="N8" s="106">
        <f t="shared" si="1"/>
        <v>842047200</v>
      </c>
      <c r="O8" s="106">
        <f t="shared" si="1"/>
        <v>1287770400</v>
      </c>
      <c r="P8" s="106">
        <f t="shared" si="1"/>
        <v>1795162560</v>
      </c>
      <c r="Q8" s="106">
        <f>SUM(Q4:Q7)</f>
        <v>1953232320</v>
      </c>
      <c r="R8" s="105">
        <f t="shared" si="0"/>
        <v>158069760</v>
      </c>
    </row>
    <row r="9" spans="1:18" ht="27.95" customHeight="1">
      <c r="A9" s="249">
        <v>220</v>
      </c>
      <c r="B9" s="106" t="s">
        <v>159</v>
      </c>
      <c r="C9" s="66">
        <v>10377640</v>
      </c>
      <c r="D9" s="66">
        <v>6500000</v>
      </c>
      <c r="E9" s="66">
        <v>6500000</v>
      </c>
      <c r="F9" s="66">
        <v>6500000</v>
      </c>
      <c r="G9" s="66">
        <v>12000000</v>
      </c>
      <c r="H9" s="66">
        <v>20000000</v>
      </c>
      <c r="I9" s="66">
        <v>26812800</v>
      </c>
      <c r="J9" s="66">
        <v>50000000</v>
      </c>
      <c r="K9" s="66">
        <v>42167597</v>
      </c>
      <c r="L9" s="66"/>
      <c r="M9" s="66"/>
      <c r="N9" s="66"/>
      <c r="O9" s="66"/>
      <c r="P9" s="66"/>
      <c r="Q9" s="66"/>
      <c r="R9" s="100">
        <f t="shared" si="0"/>
        <v>0</v>
      </c>
    </row>
    <row r="10" spans="1:18" ht="27.95" customHeight="1">
      <c r="A10" s="249">
        <v>2210</v>
      </c>
      <c r="B10" s="106" t="s">
        <v>160</v>
      </c>
      <c r="C10" s="66">
        <v>4785070</v>
      </c>
      <c r="D10" s="66">
        <v>8962370</v>
      </c>
      <c r="E10" s="66">
        <v>8962370</v>
      </c>
      <c r="F10" s="66">
        <v>8962370</v>
      </c>
      <c r="G10" s="66">
        <v>8000000</v>
      </c>
      <c r="H10" s="66">
        <v>25000000</v>
      </c>
      <c r="I10" s="66">
        <v>59584000</v>
      </c>
      <c r="J10" s="66">
        <v>59584000</v>
      </c>
      <c r="K10" s="66">
        <f>124800000+10800000</f>
        <v>135600000</v>
      </c>
      <c r="L10" s="66"/>
      <c r="M10" s="66"/>
      <c r="N10" s="66"/>
      <c r="O10" s="66"/>
      <c r="P10" s="66"/>
      <c r="Q10" s="66"/>
      <c r="R10" s="100">
        <f t="shared" si="0"/>
        <v>0</v>
      </c>
    </row>
    <row r="11" spans="1:18" ht="27.95" customHeight="1">
      <c r="A11" s="169">
        <v>22101</v>
      </c>
      <c r="B11" s="66" t="s">
        <v>14</v>
      </c>
      <c r="C11" s="66"/>
      <c r="D11" s="66"/>
      <c r="E11" s="66"/>
      <c r="F11" s="66"/>
      <c r="G11" s="66"/>
      <c r="H11" s="66"/>
      <c r="I11" s="66"/>
      <c r="J11" s="66"/>
      <c r="K11" s="66">
        <v>37240000</v>
      </c>
      <c r="L11" s="66">
        <v>33516000</v>
      </c>
      <c r="M11" s="66">
        <f>33516000*70%</f>
        <v>23461200</v>
      </c>
      <c r="N11" s="66">
        <f>33516000*70%</f>
        <v>23461200</v>
      </c>
      <c r="O11" s="66">
        <f>33516000*70%</f>
        <v>23461200</v>
      </c>
      <c r="P11" s="66">
        <v>33961200</v>
      </c>
      <c r="Q11" s="66">
        <v>33961200</v>
      </c>
      <c r="R11" s="100">
        <f t="shared" si="0"/>
        <v>0</v>
      </c>
    </row>
    <row r="12" spans="1:18" ht="27.95" customHeight="1">
      <c r="A12" s="169">
        <v>22102</v>
      </c>
      <c r="B12" s="66" t="s">
        <v>82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22344000</v>
      </c>
      <c r="J12" s="66">
        <v>35000000</v>
      </c>
      <c r="K12" s="66">
        <v>44688000</v>
      </c>
      <c r="L12" s="66">
        <v>15000000</v>
      </c>
      <c r="M12" s="66">
        <f>15000000*70%</f>
        <v>10500000</v>
      </c>
      <c r="N12" s="66">
        <f>15000000*70%</f>
        <v>10500000</v>
      </c>
      <c r="O12" s="66">
        <f>15000000*70%</f>
        <v>10500000</v>
      </c>
      <c r="P12" s="66">
        <v>0</v>
      </c>
      <c r="Q12" s="66">
        <v>0</v>
      </c>
      <c r="R12" s="100">
        <f t="shared" si="0"/>
        <v>0</v>
      </c>
    </row>
    <row r="13" spans="1:18" s="267" customFormat="1" ht="27.95" customHeight="1">
      <c r="A13" s="169">
        <v>22104</v>
      </c>
      <c r="B13" s="66" t="s">
        <v>116</v>
      </c>
      <c r="C13" s="106">
        <f t="shared" ref="C13:J13" si="2">SUM(C8:C12)</f>
        <v>15162710</v>
      </c>
      <c r="D13" s="106">
        <f t="shared" si="2"/>
        <v>15462370</v>
      </c>
      <c r="E13" s="106">
        <f t="shared" si="2"/>
        <v>15462370</v>
      </c>
      <c r="F13" s="106">
        <f t="shared" si="2"/>
        <v>15462370</v>
      </c>
      <c r="G13" s="106">
        <f t="shared" si="2"/>
        <v>20000000</v>
      </c>
      <c r="H13" s="106">
        <f t="shared" si="2"/>
        <v>45000000</v>
      </c>
      <c r="I13" s="106">
        <f t="shared" si="2"/>
        <v>108740800</v>
      </c>
      <c r="J13" s="106">
        <f t="shared" si="2"/>
        <v>144584000</v>
      </c>
      <c r="K13" s="66">
        <v>14896000</v>
      </c>
      <c r="L13" s="66">
        <v>120000000</v>
      </c>
      <c r="M13" s="66">
        <f>L13*70%</f>
        <v>84000000</v>
      </c>
      <c r="N13" s="66">
        <v>124000000</v>
      </c>
      <c r="O13" s="66">
        <v>144000000</v>
      </c>
      <c r="P13" s="66">
        <v>144000000</v>
      </c>
      <c r="Q13" s="66">
        <v>144000000</v>
      </c>
      <c r="R13" s="100">
        <f t="shared" si="0"/>
        <v>0</v>
      </c>
    </row>
    <row r="14" spans="1:18" ht="27.95" customHeight="1">
      <c r="A14" s="169">
        <v>22105</v>
      </c>
      <c r="B14" s="66" t="s">
        <v>93</v>
      </c>
      <c r="C14" s="66"/>
      <c r="D14" s="66"/>
      <c r="E14" s="66"/>
      <c r="F14" s="66"/>
      <c r="G14" s="66"/>
      <c r="H14" s="66"/>
      <c r="I14" s="66"/>
      <c r="J14" s="66"/>
      <c r="K14" s="66">
        <v>0</v>
      </c>
      <c r="L14" s="66">
        <v>145200000</v>
      </c>
      <c r="M14" s="66">
        <f>145200000*70%</f>
        <v>101640000</v>
      </c>
      <c r="N14" s="66">
        <f>145200000*70%</f>
        <v>101640000</v>
      </c>
      <c r="O14" s="66">
        <v>36000000</v>
      </c>
      <c r="P14" s="66">
        <v>36000000</v>
      </c>
      <c r="Q14" s="66">
        <v>36000000</v>
      </c>
      <c r="R14" s="100">
        <f t="shared" si="0"/>
        <v>0</v>
      </c>
    </row>
    <row r="15" spans="1:18" ht="27.95" customHeight="1">
      <c r="A15" s="169">
        <v>22106</v>
      </c>
      <c r="B15" s="66" t="s">
        <v>84</v>
      </c>
      <c r="C15" s="118"/>
      <c r="D15" s="66">
        <v>0</v>
      </c>
      <c r="E15" s="66">
        <v>0</v>
      </c>
      <c r="F15" s="66">
        <v>0</v>
      </c>
      <c r="G15" s="66">
        <v>0</v>
      </c>
      <c r="H15" s="66">
        <v>20000000</v>
      </c>
      <c r="I15" s="66">
        <v>0</v>
      </c>
      <c r="J15" s="66">
        <v>65000000</v>
      </c>
      <c r="K15" s="66">
        <v>148960000</v>
      </c>
      <c r="L15" s="66">
        <v>75000000</v>
      </c>
      <c r="M15" s="66">
        <f>75000000*70%</f>
        <v>52500000</v>
      </c>
      <c r="N15" s="66">
        <v>0</v>
      </c>
      <c r="O15" s="66">
        <v>0</v>
      </c>
      <c r="P15" s="66">
        <v>0</v>
      </c>
      <c r="Q15" s="66">
        <v>0</v>
      </c>
      <c r="R15" s="100">
        <f t="shared" si="0"/>
        <v>0</v>
      </c>
    </row>
    <row r="16" spans="1:18" ht="27.95" customHeight="1">
      <c r="A16" s="169">
        <v>22107</v>
      </c>
      <c r="B16" s="66" t="s">
        <v>30</v>
      </c>
      <c r="C16" s="118"/>
      <c r="D16" s="66"/>
      <c r="E16" s="66"/>
      <c r="F16" s="66"/>
      <c r="G16" s="66"/>
      <c r="H16" s="66"/>
      <c r="I16" s="66"/>
      <c r="J16" s="66"/>
      <c r="K16" s="66">
        <v>30000000</v>
      </c>
      <c r="L16" s="66">
        <v>64688000</v>
      </c>
      <c r="M16" s="66">
        <v>45281600</v>
      </c>
      <c r="N16" s="66">
        <f>M16*70%</f>
        <v>31697119.999999996</v>
      </c>
      <c r="O16" s="66">
        <f>N16</f>
        <v>31697119.999999996</v>
      </c>
      <c r="P16" s="66">
        <f>O16</f>
        <v>31697119.999999996</v>
      </c>
      <c r="Q16" s="66">
        <v>93697120</v>
      </c>
      <c r="R16" s="100">
        <f t="shared" si="0"/>
        <v>62000000</v>
      </c>
    </row>
    <row r="17" spans="1:18" ht="27.95" customHeight="1">
      <c r="A17" s="169">
        <v>22108</v>
      </c>
      <c r="B17" s="66" t="s">
        <v>622</v>
      </c>
      <c r="C17" s="118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>
        <v>0</v>
      </c>
      <c r="P17" s="66">
        <v>7200000</v>
      </c>
      <c r="Q17" s="66">
        <v>7200000</v>
      </c>
      <c r="R17" s="100">
        <f t="shared" si="0"/>
        <v>0</v>
      </c>
    </row>
    <row r="18" spans="1:18" ht="27.95" customHeight="1">
      <c r="A18" s="169">
        <v>22109</v>
      </c>
      <c r="B18" s="66" t="s">
        <v>94</v>
      </c>
      <c r="C18" s="118"/>
      <c r="D18" s="66"/>
      <c r="E18" s="66"/>
      <c r="F18" s="66"/>
      <c r="G18" s="66"/>
      <c r="H18" s="66">
        <v>0</v>
      </c>
      <c r="I18" s="66">
        <v>7448000</v>
      </c>
      <c r="J18" s="66">
        <v>12000000</v>
      </c>
      <c r="K18" s="106">
        <f>SUM(K8:K16)</f>
        <v>453551597</v>
      </c>
      <c r="L18" s="66">
        <v>15000000</v>
      </c>
      <c r="M18" s="66">
        <f>15000000*70%</f>
        <v>10500000</v>
      </c>
      <c r="N18" s="66">
        <f>15000000*70%</f>
        <v>10500000</v>
      </c>
      <c r="O18" s="66">
        <f>15000000*70%</f>
        <v>10500000</v>
      </c>
      <c r="P18" s="66">
        <f>15000000*70%</f>
        <v>10500000</v>
      </c>
      <c r="Q18" s="66">
        <f>15000000*70%</f>
        <v>10500000</v>
      </c>
      <c r="R18" s="100">
        <f t="shared" si="0"/>
        <v>0</v>
      </c>
    </row>
    <row r="19" spans="1:18" ht="27.95" customHeight="1">
      <c r="A19" s="169">
        <v>22112</v>
      </c>
      <c r="B19" s="66" t="s">
        <v>16</v>
      </c>
      <c r="C19" s="118"/>
      <c r="D19" s="66">
        <v>0</v>
      </c>
      <c r="E19" s="66">
        <v>0</v>
      </c>
      <c r="F19" s="66">
        <v>0</v>
      </c>
      <c r="G19" s="66">
        <v>4000000</v>
      </c>
      <c r="H19" s="66">
        <v>15000000</v>
      </c>
      <c r="I19" s="66">
        <v>18620000</v>
      </c>
      <c r="J19" s="66">
        <v>40000000</v>
      </c>
      <c r="K19" s="66"/>
      <c r="L19" s="66">
        <v>70000000</v>
      </c>
      <c r="M19" s="66">
        <v>49000000</v>
      </c>
      <c r="N19" s="66">
        <v>89000000</v>
      </c>
      <c r="O19" s="66">
        <v>119000000</v>
      </c>
      <c r="P19" s="66">
        <v>139000000</v>
      </c>
      <c r="Q19" s="66">
        <v>139000000</v>
      </c>
      <c r="R19" s="100">
        <f t="shared" si="0"/>
        <v>0</v>
      </c>
    </row>
    <row r="20" spans="1:18" ht="27.95" customHeight="1">
      <c r="A20" s="169">
        <v>22122</v>
      </c>
      <c r="B20" s="66" t="s">
        <v>378</v>
      </c>
      <c r="C20" s="118"/>
      <c r="D20" s="66"/>
      <c r="E20" s="66"/>
      <c r="F20" s="66"/>
      <c r="G20" s="66"/>
      <c r="H20" s="66"/>
      <c r="I20" s="66"/>
      <c r="J20" s="66"/>
      <c r="K20" s="66"/>
      <c r="L20" s="66"/>
      <c r="M20" s="66">
        <v>0</v>
      </c>
      <c r="N20" s="66">
        <v>120000000</v>
      </c>
      <c r="O20" s="66">
        <v>140000000</v>
      </c>
      <c r="P20" s="66">
        <v>240000000</v>
      </c>
      <c r="Q20" s="66">
        <v>340000000</v>
      </c>
      <c r="R20" s="100">
        <f t="shared" si="0"/>
        <v>100000000</v>
      </c>
    </row>
    <row r="21" spans="1:18" ht="27.95" customHeight="1">
      <c r="A21" s="169">
        <v>22129</v>
      </c>
      <c r="B21" s="66" t="s">
        <v>195</v>
      </c>
      <c r="C21" s="118"/>
      <c r="D21" s="66"/>
      <c r="E21" s="66"/>
      <c r="F21" s="66"/>
      <c r="G21" s="66"/>
      <c r="H21" s="66"/>
      <c r="I21" s="66"/>
      <c r="J21" s="66"/>
      <c r="K21" s="66"/>
      <c r="L21" s="66">
        <v>25000000</v>
      </c>
      <c r="M21" s="66">
        <f>25000000*70%</f>
        <v>17500000</v>
      </c>
      <c r="N21" s="66">
        <v>0</v>
      </c>
      <c r="O21" s="66">
        <v>0</v>
      </c>
      <c r="P21" s="66">
        <v>0</v>
      </c>
      <c r="Q21" s="66">
        <v>0</v>
      </c>
      <c r="R21" s="100">
        <f t="shared" si="0"/>
        <v>0</v>
      </c>
    </row>
    <row r="22" spans="1:18" ht="27.95" customHeight="1">
      <c r="A22" s="169">
        <v>22132</v>
      </c>
      <c r="B22" s="66" t="s">
        <v>144</v>
      </c>
      <c r="C22" s="66"/>
      <c r="D22" s="66"/>
      <c r="E22" s="66"/>
      <c r="F22" s="66"/>
      <c r="G22" s="66"/>
      <c r="H22" s="66"/>
      <c r="I22" s="66"/>
      <c r="J22" s="66"/>
      <c r="K22" s="66">
        <v>111900000</v>
      </c>
      <c r="L22" s="66">
        <v>150000000</v>
      </c>
      <c r="M22" s="66">
        <f>150000000*70%</f>
        <v>105000000</v>
      </c>
      <c r="N22" s="66">
        <v>0</v>
      </c>
      <c r="O22" s="66">
        <v>0</v>
      </c>
      <c r="P22" s="66">
        <v>0</v>
      </c>
      <c r="Q22" s="66">
        <v>0</v>
      </c>
      <c r="R22" s="100">
        <f t="shared" si="0"/>
        <v>0</v>
      </c>
    </row>
    <row r="23" spans="1:18" ht="27.95" customHeight="1">
      <c r="A23" s="169">
        <v>22134</v>
      </c>
      <c r="B23" s="66" t="s">
        <v>189</v>
      </c>
      <c r="C23" s="66">
        <v>3759996</v>
      </c>
      <c r="D23" s="66">
        <v>8044000</v>
      </c>
      <c r="E23" s="66">
        <v>8044000</v>
      </c>
      <c r="F23" s="66">
        <v>8044000</v>
      </c>
      <c r="G23" s="66">
        <v>12800000</v>
      </c>
      <c r="H23" s="66">
        <v>40000000</v>
      </c>
      <c r="I23" s="66">
        <v>44688000</v>
      </c>
      <c r="J23" s="66">
        <v>70000000</v>
      </c>
      <c r="K23" s="66">
        <v>26812800</v>
      </c>
      <c r="L23" s="66">
        <v>15000000</v>
      </c>
      <c r="M23" s="66">
        <f>15000000*70%</f>
        <v>10500000</v>
      </c>
      <c r="N23" s="66">
        <f>M23*70%</f>
        <v>7349999.9999999991</v>
      </c>
      <c r="O23" s="66">
        <f>N23</f>
        <v>7349999.9999999991</v>
      </c>
      <c r="P23" s="66">
        <f>O23</f>
        <v>7349999.9999999991</v>
      </c>
      <c r="Q23" s="66">
        <f>P23</f>
        <v>7349999.9999999991</v>
      </c>
      <c r="R23" s="100">
        <f t="shared" si="0"/>
        <v>0</v>
      </c>
    </row>
    <row r="24" spans="1:18" ht="27.95" customHeight="1">
      <c r="A24" s="169">
        <v>22137</v>
      </c>
      <c r="B24" s="66" t="s">
        <v>190</v>
      </c>
      <c r="C24" s="66"/>
      <c r="D24" s="66">
        <v>0</v>
      </c>
      <c r="E24" s="66">
        <v>0</v>
      </c>
      <c r="F24" s="66">
        <v>10000000</v>
      </c>
      <c r="G24" s="66">
        <v>0</v>
      </c>
      <c r="H24" s="66">
        <v>15000000</v>
      </c>
      <c r="I24" s="66">
        <v>18620000</v>
      </c>
      <c r="J24" s="66">
        <v>20000000</v>
      </c>
      <c r="K24" s="66">
        <v>59584000</v>
      </c>
      <c r="L24" s="66">
        <v>45000000</v>
      </c>
      <c r="M24" s="66">
        <f>45000000*70%</f>
        <v>31499999.999999996</v>
      </c>
      <c r="N24" s="66">
        <f>45000000*70%</f>
        <v>31499999.999999996</v>
      </c>
      <c r="O24" s="66">
        <f>45000000*70%</f>
        <v>31499999.999999996</v>
      </c>
      <c r="P24" s="66">
        <v>69294560</v>
      </c>
      <c r="Q24" s="66">
        <v>148294560</v>
      </c>
      <c r="R24" s="100">
        <f t="shared" si="0"/>
        <v>79000000</v>
      </c>
    </row>
    <row r="25" spans="1:18" ht="27.95" customHeight="1">
      <c r="A25" s="169">
        <v>22141</v>
      </c>
      <c r="B25" s="66" t="s">
        <v>381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>
        <v>200000000</v>
      </c>
      <c r="Q25" s="66">
        <v>0</v>
      </c>
      <c r="R25" s="100">
        <f t="shared" si="0"/>
        <v>-200000000</v>
      </c>
    </row>
    <row r="26" spans="1:18" s="267" customFormat="1" ht="27.95" customHeight="1">
      <c r="A26" s="249"/>
      <c r="B26" s="106" t="s">
        <v>59</v>
      </c>
      <c r="C26" s="106">
        <f>SUM(C23:C23)</f>
        <v>3759996</v>
      </c>
      <c r="D26" s="106">
        <f>SUM(D23:D23)</f>
        <v>8044000</v>
      </c>
      <c r="E26" s="106">
        <f t="shared" ref="E26:J26" si="3">SUM(E23:E24)</f>
        <v>8044000</v>
      </c>
      <c r="F26" s="106">
        <f t="shared" si="3"/>
        <v>18044000</v>
      </c>
      <c r="G26" s="106">
        <f t="shared" si="3"/>
        <v>12800000</v>
      </c>
      <c r="H26" s="106">
        <f t="shared" si="3"/>
        <v>55000000</v>
      </c>
      <c r="I26" s="106">
        <f t="shared" si="3"/>
        <v>63308000</v>
      </c>
      <c r="J26" s="106">
        <f t="shared" si="3"/>
        <v>90000000</v>
      </c>
      <c r="K26" s="106"/>
      <c r="L26" s="106">
        <f>SUM(L11:L24)</f>
        <v>773404000</v>
      </c>
      <c r="M26" s="106">
        <f>SUM(M11:M24)</f>
        <v>541382800</v>
      </c>
      <c r="N26" s="106">
        <f>SUM(N11:N24)</f>
        <v>549648320</v>
      </c>
      <c r="O26" s="106">
        <f>SUM(O11:O24)</f>
        <v>554008320</v>
      </c>
      <c r="P26" s="106">
        <f>SUM(P11:P25)</f>
        <v>919002880</v>
      </c>
      <c r="Q26" s="106">
        <f>SUM(Q11:Q25)</f>
        <v>960002880</v>
      </c>
      <c r="R26" s="100">
        <f t="shared" si="0"/>
        <v>41000000</v>
      </c>
    </row>
    <row r="27" spans="1:18" ht="27.95" customHeight="1">
      <c r="A27" s="249">
        <v>2220</v>
      </c>
      <c r="B27" s="106" t="s">
        <v>161</v>
      </c>
      <c r="C27" s="66"/>
      <c r="D27" s="66"/>
      <c r="E27" s="66">
        <v>0</v>
      </c>
      <c r="F27" s="66"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100">
        <f t="shared" si="0"/>
        <v>0</v>
      </c>
    </row>
    <row r="28" spans="1:18" ht="27.95" customHeight="1">
      <c r="A28" s="169">
        <v>22202</v>
      </c>
      <c r="B28" s="66" t="s">
        <v>91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348700000</v>
      </c>
      <c r="M28" s="66">
        <v>243670000</v>
      </c>
      <c r="N28" s="66">
        <f>M28*80%</f>
        <v>194936000</v>
      </c>
      <c r="O28" s="66">
        <v>200000000</v>
      </c>
      <c r="P28" s="66">
        <v>300000000</v>
      </c>
      <c r="Q28" s="66">
        <v>400000000</v>
      </c>
      <c r="R28" s="100">
        <f t="shared" si="0"/>
        <v>100000000</v>
      </c>
    </row>
    <row r="29" spans="1:18" ht="27.95" customHeight="1">
      <c r="A29" s="169">
        <v>22203</v>
      </c>
      <c r="B29" s="66" t="s">
        <v>85</v>
      </c>
      <c r="C29" s="66"/>
      <c r="D29" s="66">
        <v>0</v>
      </c>
      <c r="E29" s="66">
        <v>2800000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7448000</v>
      </c>
      <c r="L29" s="66">
        <v>40000000</v>
      </c>
      <c r="M29" s="66">
        <v>28000000</v>
      </c>
      <c r="N29" s="66">
        <v>28000000</v>
      </c>
      <c r="O29" s="66">
        <v>48000000</v>
      </c>
      <c r="P29" s="66">
        <v>48000000</v>
      </c>
      <c r="Q29" s="66">
        <v>92000000</v>
      </c>
      <c r="R29" s="100">
        <f t="shared" si="0"/>
        <v>44000000</v>
      </c>
    </row>
    <row r="30" spans="1:18" ht="27.95" customHeight="1">
      <c r="A30" s="169">
        <v>22204</v>
      </c>
      <c r="B30" s="66" t="s">
        <v>86</v>
      </c>
      <c r="C30" s="66">
        <v>11463969</v>
      </c>
      <c r="D30" s="66">
        <v>8800000</v>
      </c>
      <c r="E30" s="66">
        <v>8800000</v>
      </c>
      <c r="F30" s="66">
        <v>15576760</v>
      </c>
      <c r="G30" s="66">
        <v>19558400</v>
      </c>
      <c r="H30" s="66">
        <v>30000000</v>
      </c>
      <c r="I30" s="66">
        <v>42167597</v>
      </c>
      <c r="J30" s="66">
        <v>60000000</v>
      </c>
      <c r="K30" s="66">
        <v>18620000</v>
      </c>
      <c r="L30" s="66">
        <v>59584000</v>
      </c>
      <c r="M30" s="66">
        <f>59584000*70%</f>
        <v>41708800</v>
      </c>
      <c r="N30" s="66">
        <f>59584000*70%</f>
        <v>41708800</v>
      </c>
      <c r="O30" s="66">
        <f>59584000*70%</f>
        <v>41708800</v>
      </c>
      <c r="P30" s="66">
        <f>59584000*70%</f>
        <v>41708800</v>
      </c>
      <c r="Q30" s="66">
        <f>59584000*70%</f>
        <v>41708800</v>
      </c>
      <c r="R30" s="100">
        <f t="shared" si="0"/>
        <v>0</v>
      </c>
    </row>
    <row r="31" spans="1:18" ht="27.95" customHeight="1">
      <c r="A31" s="169">
        <v>22209</v>
      </c>
      <c r="B31" s="66" t="s">
        <v>196</v>
      </c>
      <c r="C31" s="66"/>
      <c r="D31" s="66"/>
      <c r="E31" s="66"/>
      <c r="F31" s="66"/>
      <c r="G31" s="66"/>
      <c r="H31" s="66"/>
      <c r="I31" s="66"/>
      <c r="J31" s="66"/>
      <c r="K31" s="66"/>
      <c r="L31" s="66">
        <v>40000000</v>
      </c>
      <c r="M31" s="66">
        <f>40000000*70%</f>
        <v>28000000</v>
      </c>
      <c r="N31" s="66">
        <v>0</v>
      </c>
      <c r="O31" s="66">
        <v>0</v>
      </c>
      <c r="P31" s="66">
        <v>0</v>
      </c>
      <c r="Q31" s="66">
        <v>0</v>
      </c>
      <c r="R31" s="100">
        <f t="shared" si="0"/>
        <v>0</v>
      </c>
    </row>
    <row r="32" spans="1:18" ht="27.95" customHeight="1">
      <c r="A32" s="169"/>
      <c r="B32" s="106" t="s">
        <v>59</v>
      </c>
      <c r="C32" s="66">
        <v>1074000</v>
      </c>
      <c r="D32" s="66">
        <v>4220000</v>
      </c>
      <c r="E32" s="66">
        <v>4220000</v>
      </c>
      <c r="F32" s="66">
        <v>4220000</v>
      </c>
      <c r="G32" s="66">
        <v>6400000</v>
      </c>
      <c r="H32" s="66">
        <v>18000000</v>
      </c>
      <c r="I32" s="66">
        <v>44688000</v>
      </c>
      <c r="J32" s="66">
        <v>78000000</v>
      </c>
      <c r="K32" s="66">
        <v>0</v>
      </c>
      <c r="L32" s="106">
        <f t="shared" ref="L32:P32" si="4">SUM(L28:L31)</f>
        <v>488284000</v>
      </c>
      <c r="M32" s="106">
        <f t="shared" si="4"/>
        <v>341378800</v>
      </c>
      <c r="N32" s="106">
        <f t="shared" si="4"/>
        <v>264644800</v>
      </c>
      <c r="O32" s="106">
        <f t="shared" si="4"/>
        <v>289708800</v>
      </c>
      <c r="P32" s="106">
        <f t="shared" si="4"/>
        <v>389708800</v>
      </c>
      <c r="Q32" s="106">
        <f>SUM(Q28:Q31)</f>
        <v>533708800</v>
      </c>
      <c r="R32" s="105">
        <f t="shared" si="0"/>
        <v>144000000</v>
      </c>
    </row>
    <row r="33" spans="1:18" ht="27.95" customHeight="1">
      <c r="A33" s="249">
        <v>2230</v>
      </c>
      <c r="B33" s="106" t="s">
        <v>88</v>
      </c>
      <c r="C33" s="66"/>
      <c r="D33" s="66">
        <v>0</v>
      </c>
      <c r="E33" s="66">
        <v>5000000</v>
      </c>
      <c r="F33" s="66">
        <v>5000000</v>
      </c>
      <c r="G33" s="66">
        <v>8000000</v>
      </c>
      <c r="H33" s="66">
        <v>10000000</v>
      </c>
      <c r="I33" s="66">
        <v>7448000</v>
      </c>
      <c r="J33" s="66">
        <v>15000000</v>
      </c>
      <c r="K33" s="66">
        <v>0</v>
      </c>
      <c r="L33" s="66"/>
      <c r="M33" s="66"/>
      <c r="N33" s="66"/>
      <c r="O33" s="66"/>
      <c r="P33" s="66"/>
      <c r="Q33" s="66"/>
      <c r="R33" s="100">
        <f t="shared" si="0"/>
        <v>0</v>
      </c>
    </row>
    <row r="34" spans="1:18" s="267" customFormat="1" ht="27.95" customHeight="1">
      <c r="A34" s="169">
        <v>22301</v>
      </c>
      <c r="B34" s="66" t="s">
        <v>31</v>
      </c>
      <c r="C34" s="106">
        <f>SUM(C28:C33)</f>
        <v>12537969</v>
      </c>
      <c r="D34" s="106">
        <f>SUM(D28:D33)</f>
        <v>13020000</v>
      </c>
      <c r="E34" s="106">
        <f>SUM(E27:E33)</f>
        <v>20820000</v>
      </c>
      <c r="F34" s="106">
        <f>SUM(F27:F33)</f>
        <v>24796760</v>
      </c>
      <c r="G34" s="106">
        <f>SUM(G28:G33)</f>
        <v>33958400</v>
      </c>
      <c r="H34" s="106">
        <f>SUM(H28:H33)</f>
        <v>58000000</v>
      </c>
      <c r="I34" s="106">
        <f>SUM(I28:I33)</f>
        <v>94303597</v>
      </c>
      <c r="J34" s="106">
        <f>SUM(J28:J33)</f>
        <v>153000000</v>
      </c>
      <c r="K34" s="106">
        <f>SUM(K32:K33)</f>
        <v>0</v>
      </c>
      <c r="L34" s="66">
        <v>55000000</v>
      </c>
      <c r="M34" s="66">
        <v>38500000</v>
      </c>
      <c r="N34" s="66">
        <v>38500000</v>
      </c>
      <c r="O34" s="66">
        <v>38500000</v>
      </c>
      <c r="P34" s="66">
        <v>38500000</v>
      </c>
      <c r="Q34" s="66">
        <v>38500000</v>
      </c>
      <c r="R34" s="100">
        <f t="shared" si="0"/>
        <v>0</v>
      </c>
    </row>
    <row r="35" spans="1:18" s="267" customFormat="1" ht="27.95" customHeight="1">
      <c r="A35" s="169">
        <v>22302</v>
      </c>
      <c r="B35" s="66" t="s">
        <v>162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100">
        <f t="shared" si="0"/>
        <v>0</v>
      </c>
    </row>
    <row r="36" spans="1:18" s="267" customFormat="1" ht="27.95" customHeight="1">
      <c r="A36" s="169">
        <v>22303</v>
      </c>
      <c r="B36" s="66" t="s">
        <v>301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6">
        <v>0</v>
      </c>
      <c r="M36" s="116">
        <v>0</v>
      </c>
      <c r="N36" s="66">
        <v>0</v>
      </c>
      <c r="O36" s="66">
        <v>0</v>
      </c>
      <c r="P36" s="66">
        <v>0</v>
      </c>
      <c r="Q36" s="66">
        <v>0</v>
      </c>
      <c r="R36" s="100">
        <f t="shared" si="0"/>
        <v>0</v>
      </c>
    </row>
    <row r="37" spans="1:18" ht="27.95" customHeight="1">
      <c r="A37" s="169"/>
      <c r="B37" s="106" t="s">
        <v>59</v>
      </c>
      <c r="C37" s="118"/>
      <c r="D37" s="118"/>
      <c r="E37" s="118"/>
      <c r="F37" s="118">
        <v>378957227</v>
      </c>
      <c r="G37" s="118"/>
      <c r="H37" s="118"/>
      <c r="I37" s="118"/>
      <c r="J37" s="118"/>
      <c r="K37" s="118"/>
      <c r="L37" s="105">
        <f t="shared" ref="L37:P37" si="5">SUM(L34:L36)</f>
        <v>55000000</v>
      </c>
      <c r="M37" s="105">
        <f t="shared" si="5"/>
        <v>38500000</v>
      </c>
      <c r="N37" s="106">
        <f t="shared" si="5"/>
        <v>38500000</v>
      </c>
      <c r="O37" s="106">
        <f t="shared" si="5"/>
        <v>38500000</v>
      </c>
      <c r="P37" s="106">
        <f t="shared" si="5"/>
        <v>38500000</v>
      </c>
      <c r="Q37" s="106">
        <f>SUM(Q34:Q36)</f>
        <v>38500000</v>
      </c>
      <c r="R37" s="105">
        <f t="shared" si="0"/>
        <v>0</v>
      </c>
    </row>
    <row r="38" spans="1:18" ht="27.95" customHeight="1">
      <c r="A38" s="249">
        <v>230</v>
      </c>
      <c r="B38" s="106" t="s">
        <v>165</v>
      </c>
      <c r="C38" s="118"/>
      <c r="D38" s="118"/>
      <c r="E38" s="118"/>
      <c r="F38" s="100" t="e">
        <f>F37+#REF!</f>
        <v>#REF!</v>
      </c>
      <c r="G38" s="100"/>
      <c r="H38" s="100"/>
      <c r="I38" s="100"/>
      <c r="J38" s="100"/>
      <c r="K38" s="100"/>
      <c r="L38" s="133"/>
      <c r="M38" s="133"/>
      <c r="N38" s="66"/>
      <c r="O38" s="66"/>
      <c r="P38" s="66"/>
      <c r="Q38" s="66"/>
      <c r="R38" s="100">
        <f t="shared" si="0"/>
        <v>0</v>
      </c>
    </row>
    <row r="39" spans="1:18" ht="27.95" customHeight="1">
      <c r="A39" s="249">
        <v>2310</v>
      </c>
      <c r="B39" s="106" t="s">
        <v>164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6"/>
      <c r="M39" s="116"/>
      <c r="N39" s="66"/>
      <c r="O39" s="66"/>
      <c r="P39" s="66"/>
      <c r="Q39" s="66"/>
      <c r="R39" s="100">
        <f t="shared" si="0"/>
        <v>0</v>
      </c>
    </row>
    <row r="40" spans="1:18" ht="27.95" customHeight="1">
      <c r="A40" s="169">
        <v>23101</v>
      </c>
      <c r="B40" s="66" t="s">
        <v>193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6">
        <v>15000000</v>
      </c>
      <c r="M40" s="116">
        <f>15000000*70%</f>
        <v>10500000</v>
      </c>
      <c r="N40" s="66">
        <v>0</v>
      </c>
      <c r="O40" s="66">
        <v>0</v>
      </c>
      <c r="P40" s="66">
        <v>0</v>
      </c>
      <c r="Q40" s="66">
        <v>0</v>
      </c>
      <c r="R40" s="100">
        <f t="shared" si="0"/>
        <v>0</v>
      </c>
    </row>
    <row r="41" spans="1:18" ht="27.95" customHeight="1">
      <c r="A41" s="169">
        <v>23102</v>
      </c>
      <c r="B41" s="66" t="s">
        <v>194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6">
        <v>0</v>
      </c>
      <c r="M41" s="116">
        <v>0</v>
      </c>
      <c r="N41" s="66">
        <v>0</v>
      </c>
      <c r="O41" s="66">
        <v>84000000</v>
      </c>
      <c r="P41" s="66">
        <v>0</v>
      </c>
      <c r="Q41" s="66">
        <v>0</v>
      </c>
      <c r="R41" s="100">
        <f t="shared" si="0"/>
        <v>0</v>
      </c>
    </row>
    <row r="42" spans="1:18" ht="27.95" customHeight="1">
      <c r="A42" s="169">
        <v>23103</v>
      </c>
      <c r="B42" s="66" t="s">
        <v>106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6">
        <v>24000000</v>
      </c>
      <c r="M42" s="116">
        <v>8000000</v>
      </c>
      <c r="N42" s="66">
        <v>0</v>
      </c>
      <c r="O42" s="66">
        <v>0</v>
      </c>
      <c r="P42" s="66">
        <v>0</v>
      </c>
      <c r="Q42" s="66">
        <v>0</v>
      </c>
      <c r="R42" s="100">
        <f t="shared" si="0"/>
        <v>0</v>
      </c>
    </row>
    <row r="43" spans="1:18" ht="27.95" customHeight="1">
      <c r="A43" s="169">
        <v>23104</v>
      </c>
      <c r="B43" s="66" t="s">
        <v>107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6">
        <v>6380000</v>
      </c>
      <c r="M43" s="116">
        <v>0</v>
      </c>
      <c r="N43" s="66">
        <v>0</v>
      </c>
      <c r="O43" s="66">
        <v>0</v>
      </c>
      <c r="P43" s="66">
        <v>0</v>
      </c>
      <c r="Q43" s="66">
        <v>0</v>
      </c>
      <c r="R43" s="100">
        <f t="shared" si="0"/>
        <v>0</v>
      </c>
    </row>
    <row r="44" spans="1:18" ht="27.95" customHeight="1">
      <c r="A44" s="169"/>
      <c r="B44" s="106" t="s">
        <v>59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7">
        <f t="shared" ref="L44:Q44" si="6">SUM(L40:L43)</f>
        <v>45380000</v>
      </c>
      <c r="M44" s="117">
        <f t="shared" si="6"/>
        <v>18500000</v>
      </c>
      <c r="N44" s="106">
        <f t="shared" si="6"/>
        <v>0</v>
      </c>
      <c r="O44" s="106">
        <f t="shared" si="6"/>
        <v>84000000</v>
      </c>
      <c r="P44" s="106">
        <f t="shared" si="6"/>
        <v>0</v>
      </c>
      <c r="Q44" s="106">
        <f t="shared" si="6"/>
        <v>0</v>
      </c>
      <c r="R44" s="100">
        <f t="shared" si="0"/>
        <v>0</v>
      </c>
    </row>
    <row r="45" spans="1:18" ht="27.95" customHeight="1">
      <c r="A45" s="169"/>
      <c r="B45" s="106" t="s">
        <v>18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7">
        <f t="shared" ref="L45:P45" si="7">L44+L37+L32+L26+L8</f>
        <v>1770580400</v>
      </c>
      <c r="M45" s="117" t="e">
        <f t="shared" si="7"/>
        <v>#REF!</v>
      </c>
      <c r="N45" s="106">
        <f t="shared" si="7"/>
        <v>1694840320</v>
      </c>
      <c r="O45" s="106">
        <f t="shared" si="7"/>
        <v>2253987520</v>
      </c>
      <c r="P45" s="106">
        <f t="shared" si="7"/>
        <v>3142374240</v>
      </c>
      <c r="Q45" s="106">
        <f>Q44+Q37+Q32+Q26+Q8</f>
        <v>3485444000</v>
      </c>
      <c r="R45" s="105">
        <f t="shared" si="0"/>
        <v>343069760</v>
      </c>
    </row>
    <row r="46" spans="1:18" ht="27.95" customHeight="1">
      <c r="L46" s="380"/>
    </row>
    <row r="47" spans="1:18" ht="27.95" customHeight="1">
      <c r="L47" s="381"/>
    </row>
  </sheetData>
  <phoneticPr fontId="0" type="noConversion"/>
  <printOptions gridLines="1"/>
  <pageMargins left="0.64" right="0.25" top="0.53" bottom="0.57999999999999996" header="0.17" footer="0.27"/>
  <pageSetup scale="55" orientation="portrait" r:id="rId1"/>
  <headerFooter alignWithMargins="0">
    <oddHeader xml:space="preserve">&amp;C&amp;"Algerian,Bold"&amp;36WASAARAdDA QORSHAYNTA QARANKA </oddHeader>
    <oddFooter>&amp;R&amp;"Times New Roman,Bold"&amp;14 28</oddFooter>
  </headerFooter>
  <ignoredErrors>
    <ignoredError sqref="J13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topLeftCell="A49" zoomScale="60" workbookViewId="0">
      <selection activeCell="Q50" sqref="Q50"/>
    </sheetView>
  </sheetViews>
  <sheetFormatPr defaultRowHeight="20.100000000000001" customHeight="1"/>
  <cols>
    <col min="1" max="1" width="17.5" style="392" bestFit="1" customWidth="1"/>
    <col min="2" max="2" width="93.6640625" style="393" customWidth="1"/>
    <col min="3" max="3" width="0.1640625" style="393" hidden="1" customWidth="1"/>
    <col min="4" max="10" width="9.33203125" style="393" hidden="1" customWidth="1"/>
    <col min="11" max="11" width="1.1640625" style="393" hidden="1" customWidth="1"/>
    <col min="12" max="15" width="28.5" style="393" hidden="1" customWidth="1"/>
    <col min="16" max="16" width="31" style="393" bestFit="1" customWidth="1"/>
    <col min="17" max="17" width="31" style="393" customWidth="1"/>
    <col min="18" max="18" width="28.83203125" style="393" bestFit="1" customWidth="1"/>
    <col min="19" max="16384" width="9.33203125" style="393"/>
  </cols>
  <sheetData>
    <row r="1" spans="1:18" s="384" customFormat="1" ht="20.100000000000001" customHeight="1">
      <c r="A1" s="382" t="s">
        <v>21</v>
      </c>
      <c r="B1" s="146" t="s">
        <v>785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83"/>
    </row>
    <row r="2" spans="1:18" s="384" customFormat="1" ht="20.100000000000001" customHeight="1">
      <c r="A2" s="382" t="s">
        <v>6</v>
      </c>
      <c r="B2" s="147" t="s">
        <v>7</v>
      </c>
      <c r="C2" s="147" t="s">
        <v>19</v>
      </c>
      <c r="D2" s="357" t="s">
        <v>2</v>
      </c>
      <c r="E2" s="357" t="s">
        <v>24</v>
      </c>
      <c r="F2" s="357" t="s">
        <v>28</v>
      </c>
      <c r="G2" s="357" t="s">
        <v>33</v>
      </c>
      <c r="H2" s="357" t="s">
        <v>40</v>
      </c>
      <c r="I2" s="357" t="s">
        <v>66</v>
      </c>
      <c r="J2" s="357" t="s">
        <v>69</v>
      </c>
      <c r="K2" s="357" t="s">
        <v>75</v>
      </c>
      <c r="L2" s="357" t="s">
        <v>96</v>
      </c>
      <c r="M2" s="357" t="s">
        <v>166</v>
      </c>
      <c r="N2" s="357" t="s">
        <v>318</v>
      </c>
      <c r="O2" s="357" t="s">
        <v>538</v>
      </c>
      <c r="P2" s="357" t="s">
        <v>607</v>
      </c>
      <c r="Q2" s="357" t="s">
        <v>722</v>
      </c>
      <c r="R2" s="357" t="s">
        <v>34</v>
      </c>
    </row>
    <row r="3" spans="1:18" s="384" customFormat="1" ht="20.100000000000001" customHeight="1">
      <c r="A3" s="385">
        <v>210</v>
      </c>
      <c r="B3" s="125" t="s">
        <v>95</v>
      </c>
      <c r="C3" s="14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6"/>
    </row>
    <row r="4" spans="1:18" s="384" customFormat="1" ht="20.100000000000001" customHeight="1">
      <c r="A4" s="385">
        <v>2110</v>
      </c>
      <c r="B4" s="125" t="s">
        <v>155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18" s="384" customFormat="1" ht="20.100000000000001" customHeight="1">
      <c r="A5" s="386">
        <v>21101</v>
      </c>
      <c r="B5" s="99" t="s">
        <v>9</v>
      </c>
      <c r="C5" s="99">
        <v>854415660</v>
      </c>
      <c r="D5" s="99">
        <v>1013164000</v>
      </c>
      <c r="E5" s="99">
        <v>1124508000</v>
      </c>
      <c r="F5" s="99">
        <v>1127304000</v>
      </c>
      <c r="G5" s="99">
        <f>1115808000+3912000</f>
        <v>1119720000</v>
      </c>
      <c r="H5" s="99">
        <f>1119720000+25536000</f>
        <v>1145256000</v>
      </c>
      <c r="I5" s="99">
        <f>1488832800+60839200</f>
        <v>1549672000</v>
      </c>
      <c r="J5" s="99">
        <v>1844010400</v>
      </c>
      <c r="K5" s="99">
        <f>1856281200+112600800-3198000</f>
        <v>1965684000</v>
      </c>
      <c r="L5" s="99">
        <f>2194309800+50000000</f>
        <v>2244309800</v>
      </c>
      <c r="M5" s="99">
        <f>'[2]shaq,3'!H29+72000000+279881720</f>
        <v>3676460120</v>
      </c>
      <c r="N5" s="99">
        <v>4240454400</v>
      </c>
      <c r="O5" s="99">
        <v>6327110400</v>
      </c>
      <c r="P5" s="99">
        <v>9712609920</v>
      </c>
      <c r="Q5" s="99">
        <v>10788117120</v>
      </c>
      <c r="R5" s="387">
        <f>Q5-P5</f>
        <v>1075507200</v>
      </c>
    </row>
    <row r="6" spans="1:18" s="384" customFormat="1" ht="20.100000000000001" customHeight="1">
      <c r="A6" s="386">
        <v>21102</v>
      </c>
      <c r="B6" s="99" t="s">
        <v>471</v>
      </c>
      <c r="C6" s="99">
        <v>19094340</v>
      </c>
      <c r="D6" s="99">
        <v>13000000</v>
      </c>
      <c r="E6" s="99">
        <v>21600000</v>
      </c>
      <c r="F6" s="99">
        <v>45756000</v>
      </c>
      <c r="G6" s="99">
        <f>45756000+15000000+16800000</f>
        <v>77556000</v>
      </c>
      <c r="H6" s="99">
        <f>45756000+15000000+16800000</f>
        <v>77556000</v>
      </c>
      <c r="I6" s="99">
        <v>77556000</v>
      </c>
      <c r="J6" s="99">
        <v>77556000</v>
      </c>
      <c r="K6" s="99">
        <v>77556000</v>
      </c>
      <c r="L6" s="99">
        <f>127556000-50000000</f>
        <v>77556000</v>
      </c>
      <c r="M6" s="99">
        <f>L6+21*423800*12+74*345800*12+2*266500+10*156000*12</f>
        <v>510677000</v>
      </c>
      <c r="N6" s="99">
        <v>1898400000</v>
      </c>
      <c r="O6" s="99">
        <v>629400000</v>
      </c>
      <c r="P6" s="99">
        <v>629400000</v>
      </c>
      <c r="Q6" s="99">
        <v>629400000</v>
      </c>
      <c r="R6" s="387">
        <f t="shared" ref="R6:R69" si="0">Q6-P6</f>
        <v>0</v>
      </c>
    </row>
    <row r="7" spans="1:18" s="384" customFormat="1" ht="20.100000000000001" customHeight="1">
      <c r="A7" s="386">
        <v>21103</v>
      </c>
      <c r="B7" s="99" t="s">
        <v>11</v>
      </c>
      <c r="C7" s="99">
        <v>18000000</v>
      </c>
      <c r="D7" s="99">
        <v>36576000</v>
      </c>
      <c r="E7" s="99">
        <v>36576000</v>
      </c>
      <c r="F7" s="99">
        <v>36576000</v>
      </c>
      <c r="G7" s="99">
        <v>64176000</v>
      </c>
      <c r="H7" s="99">
        <v>64176000</v>
      </c>
      <c r="I7" s="99">
        <v>64176000</v>
      </c>
      <c r="J7" s="99">
        <f>64176000+32400000+1440000</f>
        <v>98016000</v>
      </c>
      <c r="K7" s="99">
        <f>98016000+1440000+7920000+30000000</f>
        <v>137376000</v>
      </c>
      <c r="L7" s="99">
        <f>137376000+6000000</f>
        <v>143376000</v>
      </c>
      <c r="M7" s="99">
        <f>137376000+6000000</f>
        <v>143376000</v>
      </c>
      <c r="N7" s="99">
        <v>142800000</v>
      </c>
      <c r="O7" s="99">
        <v>291600000</v>
      </c>
      <c r="P7" s="99">
        <v>1214000000</v>
      </c>
      <c r="Q7" s="99">
        <v>1935000000</v>
      </c>
      <c r="R7" s="387">
        <f t="shared" si="0"/>
        <v>721000000</v>
      </c>
    </row>
    <row r="8" spans="1:18" s="384" customFormat="1" ht="20.100000000000001" customHeight="1">
      <c r="A8" s="386">
        <v>21105</v>
      </c>
      <c r="B8" s="99" t="s">
        <v>331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387">
        <f>2473400000+132000000</f>
        <v>2605400000</v>
      </c>
      <c r="L8" s="99">
        <v>2871200000</v>
      </c>
      <c r="M8" s="99">
        <f>4500000000+200000000</f>
        <v>4700000000</v>
      </c>
      <c r="N8" s="99">
        <v>10119600000</v>
      </c>
      <c r="O8" s="99">
        <v>15180000000</v>
      </c>
      <c r="P8" s="99">
        <v>19290400000</v>
      </c>
      <c r="Q8" s="99">
        <v>21426400000</v>
      </c>
      <c r="R8" s="387">
        <f t="shared" si="0"/>
        <v>2136000000</v>
      </c>
    </row>
    <row r="9" spans="1:18" s="384" customFormat="1" ht="20.100000000000001" customHeight="1">
      <c r="A9" s="385">
        <v>2120</v>
      </c>
      <c r="B9" s="125" t="s">
        <v>156</v>
      </c>
      <c r="C9" s="99">
        <v>148900000</v>
      </c>
      <c r="D9" s="99">
        <v>2000000</v>
      </c>
      <c r="E9" s="99">
        <v>0</v>
      </c>
      <c r="F9" s="99">
        <v>0</v>
      </c>
      <c r="G9" s="99">
        <v>2870000</v>
      </c>
      <c r="H9" s="99">
        <v>0</v>
      </c>
      <c r="I9" s="99">
        <v>0</v>
      </c>
      <c r="J9" s="99">
        <v>56990000</v>
      </c>
      <c r="K9" s="99">
        <v>0</v>
      </c>
      <c r="L9" s="99">
        <v>0</v>
      </c>
      <c r="M9" s="99">
        <v>0</v>
      </c>
      <c r="N9" s="99"/>
      <c r="O9" s="99"/>
      <c r="P9" s="99"/>
      <c r="Q9" s="99"/>
      <c r="R9" s="387">
        <f t="shared" si="0"/>
        <v>0</v>
      </c>
    </row>
    <row r="10" spans="1:18" s="384" customFormat="1" ht="20.100000000000001" customHeight="1">
      <c r="A10" s="386">
        <v>21202</v>
      </c>
      <c r="B10" s="99" t="s">
        <v>154</v>
      </c>
      <c r="C10" s="99">
        <v>42000000</v>
      </c>
      <c r="D10" s="99">
        <v>19000000</v>
      </c>
      <c r="E10" s="99">
        <v>21000000</v>
      </c>
      <c r="F10" s="99">
        <v>30000000</v>
      </c>
      <c r="G10" s="99">
        <v>50000000</v>
      </c>
      <c r="H10" s="99">
        <v>50000000</v>
      </c>
      <c r="I10" s="99">
        <v>50000000</v>
      </c>
      <c r="J10" s="99">
        <v>37500000</v>
      </c>
      <c r="K10" s="125">
        <f>SUM(K4:K9)</f>
        <v>4786016000</v>
      </c>
      <c r="L10" s="99">
        <v>94490000</v>
      </c>
      <c r="M10" s="99">
        <v>94490000</v>
      </c>
      <c r="N10" s="99"/>
      <c r="O10" s="99"/>
      <c r="P10" s="99">
        <v>300000000</v>
      </c>
      <c r="Q10" s="99">
        <v>0</v>
      </c>
      <c r="R10" s="387">
        <f t="shared" si="0"/>
        <v>-300000000</v>
      </c>
    </row>
    <row r="11" spans="1:18" s="384" customFormat="1" ht="20.100000000000001" customHeight="1">
      <c r="A11" s="386"/>
      <c r="B11" s="125" t="s">
        <v>59</v>
      </c>
      <c r="C11" s="99"/>
      <c r="D11" s="99"/>
      <c r="E11" s="99" t="s">
        <v>4</v>
      </c>
      <c r="F11" s="99" t="s">
        <v>4</v>
      </c>
      <c r="G11" s="99" t="s">
        <v>4</v>
      </c>
      <c r="H11" s="99" t="s">
        <v>4</v>
      </c>
      <c r="I11" s="99" t="s">
        <v>4</v>
      </c>
      <c r="J11" s="99"/>
      <c r="K11" s="99">
        <v>75075840</v>
      </c>
      <c r="L11" s="125">
        <f t="shared" ref="L11:P11" si="1">SUM(L5:L10)</f>
        <v>5430931800</v>
      </c>
      <c r="M11" s="125">
        <f t="shared" si="1"/>
        <v>9125003120</v>
      </c>
      <c r="N11" s="125">
        <f t="shared" si="1"/>
        <v>16401254400</v>
      </c>
      <c r="O11" s="125">
        <f t="shared" si="1"/>
        <v>22428110400</v>
      </c>
      <c r="P11" s="125">
        <f t="shared" si="1"/>
        <v>31146409920</v>
      </c>
      <c r="Q11" s="125">
        <f>SUM(Q5:Q10)</f>
        <v>34778917120</v>
      </c>
      <c r="R11" s="388">
        <f t="shared" si="0"/>
        <v>3632507200</v>
      </c>
    </row>
    <row r="12" spans="1:18" s="384" customFormat="1" ht="20.100000000000001" customHeight="1">
      <c r="A12" s="385">
        <v>220</v>
      </c>
      <c r="B12" s="125" t="s">
        <v>159</v>
      </c>
      <c r="C12" s="99">
        <v>46356000</v>
      </c>
      <c r="D12" s="99">
        <v>18000000</v>
      </c>
      <c r="E12" s="99">
        <v>0</v>
      </c>
      <c r="F12" s="99">
        <v>20000000</v>
      </c>
      <c r="G12" s="99">
        <v>32000000</v>
      </c>
      <c r="H12" s="99">
        <v>40000000</v>
      </c>
      <c r="I12" s="99">
        <v>29792000</v>
      </c>
      <c r="J12" s="99">
        <v>14896000</v>
      </c>
      <c r="K12" s="99">
        <v>14896000</v>
      </c>
      <c r="L12" s="99"/>
      <c r="M12" s="99"/>
      <c r="N12" s="99"/>
      <c r="O12" s="99"/>
      <c r="P12" s="99"/>
      <c r="Q12" s="99"/>
      <c r="R12" s="387">
        <f t="shared" si="0"/>
        <v>0</v>
      </c>
    </row>
    <row r="13" spans="1:18" s="384" customFormat="1" ht="20.100000000000001" customHeight="1">
      <c r="A13" s="385">
        <v>2210</v>
      </c>
      <c r="B13" s="125" t="s">
        <v>160</v>
      </c>
      <c r="C13" s="99">
        <v>270000000</v>
      </c>
      <c r="D13" s="99">
        <v>700000000</v>
      </c>
      <c r="E13" s="99">
        <v>850900000</v>
      </c>
      <c r="F13" s="99">
        <v>885527289</v>
      </c>
      <c r="G13" s="99">
        <v>855000000</v>
      </c>
      <c r="H13" s="99">
        <v>855000000</v>
      </c>
      <c r="I13" s="99">
        <v>855000000</v>
      </c>
      <c r="J13" s="99">
        <v>1381000000</v>
      </c>
      <c r="K13" s="99">
        <v>2000000000</v>
      </c>
      <c r="L13" s="99"/>
      <c r="M13" s="99"/>
      <c r="N13" s="99"/>
      <c r="O13" s="99"/>
      <c r="P13" s="99"/>
      <c r="Q13" s="99"/>
      <c r="R13" s="387">
        <f t="shared" si="0"/>
        <v>0</v>
      </c>
    </row>
    <row r="14" spans="1:18" s="384" customFormat="1" ht="20.100000000000001" customHeight="1">
      <c r="A14" s="386">
        <v>22101</v>
      </c>
      <c r="B14" s="99" t="s">
        <v>14</v>
      </c>
      <c r="C14" s="99">
        <v>103390300</v>
      </c>
      <c r="D14" s="99">
        <v>229000000</v>
      </c>
      <c r="E14" s="99">
        <v>229000000</v>
      </c>
      <c r="F14" s="99">
        <v>229000000</v>
      </c>
      <c r="G14" s="99">
        <v>151200000</v>
      </c>
      <c r="H14" s="99">
        <v>189000000</v>
      </c>
      <c r="I14" s="99">
        <v>189000000</v>
      </c>
      <c r="J14" s="99">
        <v>219441000</v>
      </c>
      <c r="K14" s="99">
        <v>109000000</v>
      </c>
      <c r="L14" s="99">
        <v>55000000</v>
      </c>
      <c r="M14" s="99">
        <f>96000000</f>
        <v>96000000</v>
      </c>
      <c r="N14" s="99">
        <v>219200000</v>
      </c>
      <c r="O14" s="99">
        <v>431376000</v>
      </c>
      <c r="P14" s="99">
        <v>501376000</v>
      </c>
      <c r="Q14" s="99">
        <v>501376000</v>
      </c>
      <c r="R14" s="387">
        <f t="shared" si="0"/>
        <v>0</v>
      </c>
    </row>
    <row r="15" spans="1:18" s="384" customFormat="1" ht="20.100000000000001" customHeight="1">
      <c r="A15" s="386">
        <v>22102</v>
      </c>
      <c r="B15" s="99" t="s">
        <v>82</v>
      </c>
      <c r="C15" s="99">
        <v>25247000</v>
      </c>
      <c r="D15" s="99">
        <v>12184000</v>
      </c>
      <c r="E15" s="99">
        <v>15184000</v>
      </c>
      <c r="F15" s="99">
        <v>15184000</v>
      </c>
      <c r="G15" s="99">
        <v>28147200</v>
      </c>
      <c r="H15" s="99">
        <v>35184000</v>
      </c>
      <c r="I15" s="99">
        <v>26205043</v>
      </c>
      <c r="J15" s="99">
        <v>26205043</v>
      </c>
      <c r="K15" s="99">
        <v>105566000</v>
      </c>
      <c r="L15" s="99">
        <v>14896000</v>
      </c>
      <c r="M15" s="99">
        <f>14896000</f>
        <v>14896000</v>
      </c>
      <c r="N15" s="99">
        <v>89376000</v>
      </c>
      <c r="O15" s="99">
        <v>0</v>
      </c>
      <c r="P15" s="99">
        <v>0</v>
      </c>
      <c r="Q15" s="99">
        <v>0</v>
      </c>
      <c r="R15" s="387">
        <f t="shared" si="0"/>
        <v>0</v>
      </c>
    </row>
    <row r="16" spans="1:18" s="384" customFormat="1" ht="20.100000000000001" customHeight="1">
      <c r="A16" s="386">
        <v>22103</v>
      </c>
      <c r="B16" s="99" t="s">
        <v>362</v>
      </c>
      <c r="C16" s="99">
        <v>97356000</v>
      </c>
      <c r="D16" s="99">
        <v>60000000</v>
      </c>
      <c r="E16" s="99">
        <v>60000000</v>
      </c>
      <c r="F16" s="99">
        <v>181972636</v>
      </c>
      <c r="G16" s="99">
        <v>650000000</v>
      </c>
      <c r="H16" s="99">
        <v>650000000</v>
      </c>
      <c r="I16" s="99">
        <v>650000000</v>
      </c>
      <c r="J16" s="99">
        <v>1000000000</v>
      </c>
      <c r="K16" s="99">
        <v>22814714</v>
      </c>
      <c r="L16" s="99">
        <v>3152136000</v>
      </c>
      <c r="M16" s="99">
        <f>3152136000-2000000000</f>
        <v>1152136000</v>
      </c>
      <c r="N16" s="99">
        <v>859536750</v>
      </c>
      <c r="O16" s="99">
        <v>0</v>
      </c>
      <c r="P16" s="99">
        <v>0</v>
      </c>
      <c r="Q16" s="99">
        <v>0</v>
      </c>
      <c r="R16" s="387">
        <f t="shared" si="0"/>
        <v>0</v>
      </c>
    </row>
    <row r="17" spans="1:18" s="384" customFormat="1" ht="20.100000000000001" customHeight="1">
      <c r="A17" s="386">
        <v>22104</v>
      </c>
      <c r="B17" s="99" t="s">
        <v>116</v>
      </c>
      <c r="C17" s="99"/>
      <c r="D17" s="99"/>
      <c r="E17" s="99"/>
      <c r="F17" s="99"/>
      <c r="G17" s="99"/>
      <c r="H17" s="99">
        <v>0</v>
      </c>
      <c r="I17" s="99">
        <v>1326000000</v>
      </c>
      <c r="J17" s="99">
        <v>650000000</v>
      </c>
      <c r="K17" s="99">
        <v>94480000</v>
      </c>
      <c r="L17" s="99">
        <v>159000000</v>
      </c>
      <c r="M17" s="99">
        <f>100000000</f>
        <v>100000000</v>
      </c>
      <c r="N17" s="99">
        <v>185000000</v>
      </c>
      <c r="O17" s="99">
        <v>245000000</v>
      </c>
      <c r="P17" s="99">
        <v>295000000</v>
      </c>
      <c r="Q17" s="99">
        <v>295000000</v>
      </c>
      <c r="R17" s="387">
        <f t="shared" si="0"/>
        <v>0</v>
      </c>
    </row>
    <row r="18" spans="1:18" s="384" customFormat="1" ht="20.100000000000001" customHeight="1">
      <c r="A18" s="386">
        <v>22105</v>
      </c>
      <c r="B18" s="99" t="s">
        <v>93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33928619</v>
      </c>
      <c r="L18" s="99">
        <v>155000000</v>
      </c>
      <c r="M18" s="99">
        <f>270000000</f>
        <v>270000000</v>
      </c>
      <c r="N18" s="99">
        <v>270000000</v>
      </c>
      <c r="O18" s="99">
        <v>600000000</v>
      </c>
      <c r="P18" s="99">
        <v>600000000</v>
      </c>
      <c r="Q18" s="99">
        <v>600000000</v>
      </c>
      <c r="R18" s="387">
        <f t="shared" si="0"/>
        <v>0</v>
      </c>
    </row>
    <row r="19" spans="1:18" s="384" customFormat="1" ht="20.100000000000001" customHeight="1">
      <c r="A19" s="386">
        <v>22106</v>
      </c>
      <c r="B19" s="99" t="s">
        <v>337</v>
      </c>
      <c r="C19" s="125">
        <f>SUM(C12:C18)</f>
        <v>542349300</v>
      </c>
      <c r="D19" s="125">
        <f>SUM(D12:D18)</f>
        <v>1019184000</v>
      </c>
      <c r="E19" s="125">
        <f>SUM(E11:E18)</f>
        <v>1155084000</v>
      </c>
      <c r="F19" s="125">
        <f>SUM(F12:F18)</f>
        <v>1331683925</v>
      </c>
      <c r="G19" s="125">
        <f>SUM(G12:G18)</f>
        <v>1716347200</v>
      </c>
      <c r="H19" s="125">
        <f>SUM(H12:H18)</f>
        <v>1769184000</v>
      </c>
      <c r="I19" s="125">
        <f>SUM(I12:I18)</f>
        <v>3075997043</v>
      </c>
      <c r="J19" s="125">
        <f>SUM(J12:J18)</f>
        <v>3291542043</v>
      </c>
      <c r="K19" s="99">
        <v>145000000</v>
      </c>
      <c r="L19" s="99">
        <v>22814000</v>
      </c>
      <c r="M19" s="99">
        <f>160000000</f>
        <v>160000000</v>
      </c>
      <c r="N19" s="99">
        <v>330000000</v>
      </c>
      <c r="O19" s="99">
        <v>490000000</v>
      </c>
      <c r="P19" s="99">
        <v>735000000</v>
      </c>
      <c r="Q19" s="99">
        <v>535000000</v>
      </c>
      <c r="R19" s="387">
        <f t="shared" si="0"/>
        <v>-200000000</v>
      </c>
    </row>
    <row r="20" spans="1:18" s="384" customFormat="1" ht="20.100000000000001" customHeight="1">
      <c r="A20" s="386">
        <v>22107</v>
      </c>
      <c r="B20" s="99" t="s">
        <v>30</v>
      </c>
      <c r="C20" s="125"/>
      <c r="D20" s="125"/>
      <c r="E20" s="125"/>
      <c r="F20" s="125"/>
      <c r="G20" s="125"/>
      <c r="H20" s="125"/>
      <c r="I20" s="125"/>
      <c r="J20" s="125"/>
      <c r="K20" s="99">
        <v>546300000</v>
      </c>
      <c r="L20" s="99">
        <v>94480000</v>
      </c>
      <c r="M20" s="99">
        <v>0</v>
      </c>
      <c r="N20" s="99">
        <v>50000000</v>
      </c>
      <c r="O20" s="99">
        <v>200000000</v>
      </c>
      <c r="P20" s="99">
        <v>250000000</v>
      </c>
      <c r="Q20" s="99">
        <v>250000000</v>
      </c>
      <c r="R20" s="387">
        <f t="shared" si="0"/>
        <v>0</v>
      </c>
    </row>
    <row r="21" spans="1:18" s="384" customFormat="1" ht="20.100000000000001" customHeight="1">
      <c r="A21" s="386">
        <v>22109</v>
      </c>
      <c r="B21" s="99" t="s">
        <v>94</v>
      </c>
      <c r="C21" s="125"/>
      <c r="D21" s="125"/>
      <c r="E21" s="125"/>
      <c r="F21" s="125"/>
      <c r="G21" s="125"/>
      <c r="H21" s="125"/>
      <c r="I21" s="125"/>
      <c r="J21" s="125"/>
      <c r="K21" s="99">
        <v>2860000000</v>
      </c>
      <c r="L21" s="99">
        <v>80000000</v>
      </c>
      <c r="M21" s="99">
        <f>80000000</f>
        <v>80000000</v>
      </c>
      <c r="N21" s="99">
        <v>90000000</v>
      </c>
      <c r="O21" s="99">
        <v>150000000</v>
      </c>
      <c r="P21" s="99">
        <v>220000000</v>
      </c>
      <c r="Q21" s="99">
        <v>220000000</v>
      </c>
      <c r="R21" s="387">
        <f t="shared" si="0"/>
        <v>0</v>
      </c>
    </row>
    <row r="22" spans="1:18" s="384" customFormat="1" ht="20.100000000000001" customHeight="1">
      <c r="A22" s="386">
        <v>22110</v>
      </c>
      <c r="B22" s="99" t="s">
        <v>212</v>
      </c>
      <c r="C22" s="125"/>
      <c r="D22" s="125"/>
      <c r="E22" s="125"/>
      <c r="F22" s="125"/>
      <c r="G22" s="125"/>
      <c r="H22" s="125"/>
      <c r="I22" s="125"/>
      <c r="J22" s="125"/>
      <c r="K22" s="99"/>
      <c r="L22" s="99">
        <v>145000000</v>
      </c>
      <c r="M22" s="99">
        <f>100000000</f>
        <v>100000000</v>
      </c>
      <c r="N22" s="99">
        <v>250000000</v>
      </c>
      <c r="O22" s="99">
        <v>300000000</v>
      </c>
      <c r="P22" s="99">
        <v>600000000</v>
      </c>
      <c r="Q22" s="99">
        <v>400000000</v>
      </c>
      <c r="R22" s="387">
        <f t="shared" si="0"/>
        <v>-200000000</v>
      </c>
    </row>
    <row r="23" spans="1:18" s="384" customFormat="1" ht="20.100000000000001" customHeight="1">
      <c r="A23" s="386">
        <v>22111</v>
      </c>
      <c r="B23" s="99" t="s">
        <v>99</v>
      </c>
      <c r="C23" s="125"/>
      <c r="D23" s="125"/>
      <c r="E23" s="125"/>
      <c r="F23" s="125"/>
      <c r="G23" s="125"/>
      <c r="H23" s="125"/>
      <c r="I23" s="125"/>
      <c r="J23" s="125"/>
      <c r="K23" s="99"/>
      <c r="L23" s="99">
        <v>546300000</v>
      </c>
      <c r="M23" s="99">
        <f>8581957092-2000000000-216000000-68493120+702536028</f>
        <v>7000000000</v>
      </c>
      <c r="N23" s="99">
        <v>6586288000</v>
      </c>
      <c r="O23" s="99">
        <v>0</v>
      </c>
      <c r="P23" s="99">
        <v>0</v>
      </c>
      <c r="Q23" s="99">
        <v>0</v>
      </c>
      <c r="R23" s="387">
        <f t="shared" si="0"/>
        <v>0</v>
      </c>
    </row>
    <row r="24" spans="1:18" s="384" customFormat="1" ht="20.100000000000001" customHeight="1">
      <c r="A24" s="386">
        <v>22112</v>
      </c>
      <c r="B24" s="99" t="s">
        <v>16</v>
      </c>
      <c r="C24" s="125"/>
      <c r="D24" s="125"/>
      <c r="E24" s="125"/>
      <c r="F24" s="125"/>
      <c r="G24" s="125"/>
      <c r="H24" s="125"/>
      <c r="I24" s="125"/>
      <c r="J24" s="125"/>
      <c r="K24" s="99">
        <v>786200000</v>
      </c>
      <c r="L24" s="99">
        <v>174000000</v>
      </c>
      <c r="M24" s="99">
        <f>174000000</f>
        <v>174000000</v>
      </c>
      <c r="N24" s="99">
        <v>200000000</v>
      </c>
      <c r="O24" s="99">
        <v>250000000</v>
      </c>
      <c r="P24" s="99">
        <v>300000000</v>
      </c>
      <c r="Q24" s="99">
        <v>300000000</v>
      </c>
      <c r="R24" s="387">
        <f t="shared" si="0"/>
        <v>0</v>
      </c>
    </row>
    <row r="25" spans="1:18" s="384" customFormat="1" ht="20.100000000000001" customHeight="1">
      <c r="A25" s="386">
        <v>22122</v>
      </c>
      <c r="B25" s="99" t="s">
        <v>645</v>
      </c>
      <c r="C25" s="125"/>
      <c r="D25" s="125"/>
      <c r="E25" s="125"/>
      <c r="F25" s="125"/>
      <c r="G25" s="125"/>
      <c r="H25" s="125"/>
      <c r="I25" s="125"/>
      <c r="J25" s="125"/>
      <c r="K25" s="99"/>
      <c r="L25" s="99"/>
      <c r="M25" s="99"/>
      <c r="N25" s="99"/>
      <c r="O25" s="99">
        <v>0</v>
      </c>
      <c r="P25" s="99">
        <v>250000000</v>
      </c>
      <c r="Q25" s="99">
        <v>250000000</v>
      </c>
      <c r="R25" s="387">
        <f t="shared" si="0"/>
        <v>0</v>
      </c>
    </row>
    <row r="26" spans="1:18" s="384" customFormat="1" ht="20.100000000000001" customHeight="1">
      <c r="A26" s="386">
        <v>22126</v>
      </c>
      <c r="B26" s="99" t="s">
        <v>219</v>
      </c>
      <c r="C26" s="125"/>
      <c r="D26" s="125"/>
      <c r="E26" s="125"/>
      <c r="F26" s="125"/>
      <c r="G26" s="125"/>
      <c r="H26" s="125"/>
      <c r="I26" s="125"/>
      <c r="J26" s="125"/>
      <c r="K26" s="99"/>
      <c r="L26" s="99">
        <v>786200000</v>
      </c>
      <c r="M26" s="99">
        <f>500000000</f>
        <v>500000000</v>
      </c>
      <c r="N26" s="99">
        <v>600000000</v>
      </c>
      <c r="O26" s="99">
        <v>1500000000</v>
      </c>
      <c r="P26" s="99">
        <v>2000000000</v>
      </c>
      <c r="Q26" s="99">
        <v>2144000000</v>
      </c>
      <c r="R26" s="387">
        <f t="shared" si="0"/>
        <v>144000000</v>
      </c>
    </row>
    <row r="27" spans="1:18" s="384" customFormat="1" ht="20.100000000000001" customHeight="1">
      <c r="A27" s="386">
        <v>22129</v>
      </c>
      <c r="B27" s="99" t="s">
        <v>220</v>
      </c>
      <c r="C27" s="125"/>
      <c r="D27" s="125"/>
      <c r="E27" s="125"/>
      <c r="F27" s="125"/>
      <c r="G27" s="125"/>
      <c r="H27" s="125"/>
      <c r="I27" s="125"/>
      <c r="J27" s="125"/>
      <c r="K27" s="99"/>
      <c r="L27" s="99">
        <v>50000000</v>
      </c>
      <c r="M27" s="99">
        <f>30000000</f>
        <v>30000000</v>
      </c>
      <c r="N27" s="99">
        <v>0</v>
      </c>
      <c r="O27" s="99">
        <v>0</v>
      </c>
      <c r="P27" s="99">
        <v>45000000</v>
      </c>
      <c r="Q27" s="99">
        <v>75000000</v>
      </c>
      <c r="R27" s="387">
        <f t="shared" si="0"/>
        <v>30000000</v>
      </c>
    </row>
    <row r="28" spans="1:18" s="384" customFormat="1" ht="20.100000000000001" customHeight="1">
      <c r="A28" s="386">
        <v>22128</v>
      </c>
      <c r="B28" s="99" t="s">
        <v>591</v>
      </c>
      <c r="C28" s="125"/>
      <c r="D28" s="125"/>
      <c r="E28" s="125"/>
      <c r="F28" s="125"/>
      <c r="G28" s="125"/>
      <c r="H28" s="125"/>
      <c r="I28" s="125"/>
      <c r="J28" s="125"/>
      <c r="K28" s="99"/>
      <c r="L28" s="99">
        <v>200000000</v>
      </c>
      <c r="M28" s="99">
        <f>360000000+100000000</f>
        <v>460000000</v>
      </c>
      <c r="N28" s="99">
        <v>462000000</v>
      </c>
      <c r="O28" s="99">
        <v>962000000</v>
      </c>
      <c r="P28" s="99">
        <v>1100000000</v>
      </c>
      <c r="Q28" s="99">
        <v>1500000000</v>
      </c>
      <c r="R28" s="387">
        <f t="shared" si="0"/>
        <v>400000000</v>
      </c>
    </row>
    <row r="29" spans="1:18" s="384" customFormat="1" ht="20.100000000000001" customHeight="1">
      <c r="A29" s="386">
        <v>22128</v>
      </c>
      <c r="B29" s="99" t="s">
        <v>653</v>
      </c>
      <c r="C29" s="125"/>
      <c r="D29" s="125"/>
      <c r="E29" s="125"/>
      <c r="F29" s="125"/>
      <c r="G29" s="125"/>
      <c r="H29" s="125"/>
      <c r="I29" s="125"/>
      <c r="J29" s="125"/>
      <c r="K29" s="99"/>
      <c r="L29" s="99"/>
      <c r="M29" s="99"/>
      <c r="N29" s="99"/>
      <c r="O29" s="99">
        <v>0</v>
      </c>
      <c r="P29" s="99">
        <v>800000000</v>
      </c>
      <c r="Q29" s="99">
        <v>800000000</v>
      </c>
      <c r="R29" s="387">
        <f t="shared" si="0"/>
        <v>0</v>
      </c>
    </row>
    <row r="30" spans="1:18" s="384" customFormat="1" ht="20.100000000000001" customHeight="1">
      <c r="A30" s="386">
        <v>22130</v>
      </c>
      <c r="B30" s="99" t="s">
        <v>560</v>
      </c>
      <c r="C30" s="125"/>
      <c r="D30" s="125"/>
      <c r="E30" s="125"/>
      <c r="F30" s="125"/>
      <c r="G30" s="125"/>
      <c r="H30" s="125"/>
      <c r="I30" s="125"/>
      <c r="J30" s="125"/>
      <c r="K30" s="99"/>
      <c r="L30" s="99"/>
      <c r="M30" s="99"/>
      <c r="N30" s="99">
        <v>0</v>
      </c>
      <c r="O30" s="99">
        <v>1120000000</v>
      </c>
      <c r="P30" s="99">
        <v>1575000000</v>
      </c>
      <c r="Q30" s="99">
        <v>1575000000</v>
      </c>
      <c r="R30" s="387">
        <f t="shared" si="0"/>
        <v>0</v>
      </c>
    </row>
    <row r="31" spans="1:18" s="384" customFormat="1" ht="20.100000000000001" customHeight="1">
      <c r="A31" s="386">
        <v>22131</v>
      </c>
      <c r="B31" s="99" t="s">
        <v>592</v>
      </c>
      <c r="C31" s="125"/>
      <c r="D31" s="125"/>
      <c r="E31" s="125"/>
      <c r="F31" s="125"/>
      <c r="G31" s="125"/>
      <c r="H31" s="125"/>
      <c r="I31" s="125"/>
      <c r="J31" s="125"/>
      <c r="K31" s="99"/>
      <c r="L31" s="99">
        <v>179000000</v>
      </c>
      <c r="M31" s="99">
        <f>179000000</f>
        <v>179000000</v>
      </c>
      <c r="N31" s="99">
        <v>219000000</v>
      </c>
      <c r="O31" s="99">
        <v>1150000000</v>
      </c>
      <c r="P31" s="99">
        <v>1450000000</v>
      </c>
      <c r="Q31" s="99">
        <v>2450000000</v>
      </c>
      <c r="R31" s="387">
        <f t="shared" si="0"/>
        <v>1000000000</v>
      </c>
    </row>
    <row r="32" spans="1:18" s="384" customFormat="1" ht="20.100000000000001" customHeight="1">
      <c r="A32" s="386">
        <v>22137</v>
      </c>
      <c r="B32" s="99" t="s">
        <v>122</v>
      </c>
      <c r="C32" s="125"/>
      <c r="D32" s="125"/>
      <c r="E32" s="125"/>
      <c r="F32" s="125"/>
      <c r="G32" s="125"/>
      <c r="H32" s="125"/>
      <c r="I32" s="125"/>
      <c r="J32" s="125"/>
      <c r="K32" s="99"/>
      <c r="L32" s="99">
        <v>80000000</v>
      </c>
      <c r="M32" s="99">
        <f>80000000</f>
        <v>80000000</v>
      </c>
      <c r="N32" s="99">
        <v>378000000</v>
      </c>
      <c r="O32" s="99">
        <v>1200000000</v>
      </c>
      <c r="P32" s="99">
        <v>1500000000</v>
      </c>
      <c r="Q32" s="99">
        <v>1500000000</v>
      </c>
      <c r="R32" s="387">
        <f t="shared" si="0"/>
        <v>0</v>
      </c>
    </row>
    <row r="33" spans="1:18" s="384" customFormat="1" ht="20.100000000000001" customHeight="1">
      <c r="A33" s="386">
        <v>22138</v>
      </c>
      <c r="B33" s="99" t="s">
        <v>315</v>
      </c>
      <c r="C33" s="125"/>
      <c r="D33" s="125"/>
      <c r="E33" s="125"/>
      <c r="F33" s="125"/>
      <c r="G33" s="125"/>
      <c r="H33" s="125"/>
      <c r="I33" s="125"/>
      <c r="J33" s="125"/>
      <c r="K33" s="99">
        <v>148960000</v>
      </c>
      <c r="L33" s="99">
        <v>1648294720</v>
      </c>
      <c r="M33" s="99">
        <v>701000000</v>
      </c>
      <c r="N33" s="99">
        <v>0</v>
      </c>
      <c r="O33" s="99">
        <v>0</v>
      </c>
      <c r="P33" s="99">
        <v>0</v>
      </c>
      <c r="Q33" s="99">
        <v>0</v>
      </c>
      <c r="R33" s="387">
        <f t="shared" si="0"/>
        <v>0</v>
      </c>
    </row>
    <row r="34" spans="1:18" s="384" customFormat="1" ht="20.100000000000001" customHeight="1">
      <c r="A34" s="386">
        <v>22141</v>
      </c>
      <c r="B34" s="99" t="s">
        <v>311</v>
      </c>
      <c r="C34" s="125"/>
      <c r="D34" s="125"/>
      <c r="E34" s="125"/>
      <c r="F34" s="125"/>
      <c r="G34" s="125"/>
      <c r="H34" s="125"/>
      <c r="I34" s="125"/>
      <c r="J34" s="125"/>
      <c r="K34" s="99"/>
      <c r="L34" s="99">
        <v>0</v>
      </c>
      <c r="M34" s="99">
        <f>20000000000-1733260000-600000-72000000-108000000-300000000-500000000-452441754+166301754-1000000000-1000000000</f>
        <v>15000000000</v>
      </c>
      <c r="N34" s="99">
        <v>7200000000</v>
      </c>
      <c r="O34" s="99">
        <v>750000000</v>
      </c>
      <c r="P34" s="99">
        <v>600000000</v>
      </c>
      <c r="Q34" s="99">
        <v>600000000</v>
      </c>
      <c r="R34" s="387">
        <f t="shared" si="0"/>
        <v>0</v>
      </c>
    </row>
    <row r="35" spans="1:18" s="384" customFormat="1" ht="20.100000000000001" customHeight="1">
      <c r="A35" s="386">
        <v>22149</v>
      </c>
      <c r="B35" s="99" t="s">
        <v>654</v>
      </c>
      <c r="C35" s="125"/>
      <c r="D35" s="125"/>
      <c r="E35" s="125"/>
      <c r="F35" s="125"/>
      <c r="G35" s="125"/>
      <c r="H35" s="125"/>
      <c r="I35" s="125"/>
      <c r="J35" s="125"/>
      <c r="K35" s="99"/>
      <c r="L35" s="99"/>
      <c r="M35" s="99"/>
      <c r="N35" s="99"/>
      <c r="O35" s="99">
        <v>0</v>
      </c>
      <c r="P35" s="99">
        <v>200000000</v>
      </c>
      <c r="Q35" s="99">
        <v>200000000</v>
      </c>
      <c r="R35" s="387">
        <f t="shared" si="0"/>
        <v>0</v>
      </c>
    </row>
    <row r="36" spans="1:18" s="384" customFormat="1" ht="20.100000000000001" customHeight="1">
      <c r="A36" s="386">
        <v>22155</v>
      </c>
      <c r="B36" s="99" t="s">
        <v>655</v>
      </c>
      <c r="C36" s="125"/>
      <c r="D36" s="125"/>
      <c r="E36" s="125"/>
      <c r="F36" s="125"/>
      <c r="G36" s="125"/>
      <c r="H36" s="125"/>
      <c r="I36" s="125"/>
      <c r="J36" s="125"/>
      <c r="K36" s="99"/>
      <c r="L36" s="99"/>
      <c r="M36" s="99"/>
      <c r="N36" s="99"/>
      <c r="O36" s="99">
        <v>0</v>
      </c>
      <c r="P36" s="99">
        <v>300000000</v>
      </c>
      <c r="Q36" s="99">
        <v>0</v>
      </c>
      <c r="R36" s="387">
        <f t="shared" si="0"/>
        <v>-300000000</v>
      </c>
    </row>
    <row r="37" spans="1:18" s="384" customFormat="1" ht="20.100000000000001" customHeight="1">
      <c r="A37" s="386">
        <v>22157</v>
      </c>
      <c r="B37" s="99" t="s">
        <v>559</v>
      </c>
      <c r="C37" s="125"/>
      <c r="D37" s="125"/>
      <c r="E37" s="125"/>
      <c r="F37" s="125"/>
      <c r="G37" s="125"/>
      <c r="H37" s="125"/>
      <c r="I37" s="125"/>
      <c r="J37" s="125"/>
      <c r="K37" s="99"/>
      <c r="L37" s="99"/>
      <c r="M37" s="99"/>
      <c r="N37" s="99">
        <v>0</v>
      </c>
      <c r="O37" s="99">
        <v>250000000</v>
      </c>
      <c r="P37" s="99">
        <v>200000000</v>
      </c>
      <c r="Q37" s="99">
        <v>0</v>
      </c>
      <c r="R37" s="387">
        <f t="shared" si="0"/>
        <v>-200000000</v>
      </c>
    </row>
    <row r="38" spans="1:18" s="384" customFormat="1" ht="20.100000000000001" customHeight="1">
      <c r="A38" s="386"/>
      <c r="B38" s="125" t="s">
        <v>59</v>
      </c>
      <c r="C38" s="125"/>
      <c r="D38" s="125"/>
      <c r="E38" s="125"/>
      <c r="F38" s="125"/>
      <c r="G38" s="125"/>
      <c r="H38" s="125"/>
      <c r="I38" s="125"/>
      <c r="J38" s="125"/>
      <c r="K38" s="99">
        <v>0</v>
      </c>
      <c r="L38" s="125">
        <f>SUM(L14:L34)</f>
        <v>7542120720</v>
      </c>
      <c r="M38" s="125">
        <f>SUM(M14:M34)</f>
        <v>26097032000</v>
      </c>
      <c r="N38" s="125">
        <f>SUM(N14:N37)</f>
        <v>17988400750</v>
      </c>
      <c r="O38" s="125">
        <f>SUM(O14:O37)</f>
        <v>9598376000</v>
      </c>
      <c r="P38" s="125">
        <f>SUM(P14:P37)</f>
        <v>13521376000</v>
      </c>
      <c r="Q38" s="125">
        <f>SUM(Q14:Q37)</f>
        <v>14195376000</v>
      </c>
      <c r="R38" s="388">
        <f t="shared" si="0"/>
        <v>674000000</v>
      </c>
    </row>
    <row r="39" spans="1:18" s="384" customFormat="1" ht="20.100000000000001" customHeight="1">
      <c r="A39" s="385">
        <v>2220</v>
      </c>
      <c r="B39" s="125" t="s">
        <v>161</v>
      </c>
      <c r="C39" s="125"/>
      <c r="D39" s="125"/>
      <c r="E39" s="125"/>
      <c r="F39" s="125"/>
      <c r="G39" s="125"/>
      <c r="H39" s="125"/>
      <c r="I39" s="125"/>
      <c r="J39" s="125"/>
      <c r="K39" s="99">
        <v>59584000</v>
      </c>
      <c r="L39" s="99"/>
      <c r="M39" s="99"/>
      <c r="N39" s="99"/>
      <c r="O39" s="99"/>
      <c r="P39" s="99"/>
      <c r="Q39" s="99"/>
      <c r="R39" s="387">
        <f t="shared" si="0"/>
        <v>0</v>
      </c>
    </row>
    <row r="40" spans="1:18" s="384" customFormat="1" ht="20.100000000000001" customHeight="1">
      <c r="A40" s="386">
        <v>22201</v>
      </c>
      <c r="B40" s="99" t="s">
        <v>90</v>
      </c>
      <c r="C40" s="125"/>
      <c r="D40" s="125"/>
      <c r="E40" s="125"/>
      <c r="F40" s="125"/>
      <c r="G40" s="125"/>
      <c r="H40" s="125"/>
      <c r="I40" s="125"/>
      <c r="J40" s="125"/>
      <c r="K40" s="99">
        <v>645294720</v>
      </c>
      <c r="L40" s="99">
        <v>14896000</v>
      </c>
      <c r="M40" s="99">
        <f>14896000</f>
        <v>14896000</v>
      </c>
      <c r="N40" s="99">
        <v>60000000</v>
      </c>
      <c r="O40" s="99">
        <v>260000000</v>
      </c>
      <c r="P40" s="99">
        <v>260000000</v>
      </c>
      <c r="Q40" s="99">
        <v>260000000</v>
      </c>
      <c r="R40" s="387">
        <f t="shared" si="0"/>
        <v>0</v>
      </c>
    </row>
    <row r="41" spans="1:18" s="384" customFormat="1" ht="20.100000000000001" customHeight="1">
      <c r="A41" s="386">
        <v>22202</v>
      </c>
      <c r="B41" s="99" t="s">
        <v>405</v>
      </c>
      <c r="C41" s="99"/>
      <c r="D41" s="99"/>
      <c r="E41" s="99" t="s">
        <v>4</v>
      </c>
      <c r="F41" s="99" t="s">
        <v>4</v>
      </c>
      <c r="G41" s="99" t="s">
        <v>4</v>
      </c>
      <c r="H41" s="99" t="s">
        <v>4</v>
      </c>
      <c r="I41" s="99" t="s">
        <v>4</v>
      </c>
      <c r="J41" s="99"/>
      <c r="K41" s="125">
        <f>SUM(K11:K40)</f>
        <v>7647099893</v>
      </c>
      <c r="L41" s="99">
        <v>1760000000</v>
      </c>
      <c r="M41" s="99">
        <f>1700000000</f>
        <v>1700000000</v>
      </c>
      <c r="N41" s="99">
        <f>M41</f>
        <v>1700000000</v>
      </c>
      <c r="O41" s="99">
        <v>2000000000</v>
      </c>
      <c r="P41" s="99">
        <v>2500000000</v>
      </c>
      <c r="Q41" s="99">
        <v>2500000000</v>
      </c>
      <c r="R41" s="387">
        <f t="shared" si="0"/>
        <v>0</v>
      </c>
    </row>
    <row r="42" spans="1:18" s="384" customFormat="1" ht="20.100000000000001" customHeight="1">
      <c r="A42" s="386">
        <v>22203</v>
      </c>
      <c r="B42" s="99" t="s">
        <v>85</v>
      </c>
      <c r="C42" s="99">
        <v>72720000</v>
      </c>
      <c r="D42" s="99">
        <v>137761000</v>
      </c>
      <c r="E42" s="99">
        <v>0</v>
      </c>
      <c r="F42" s="99">
        <f>135300000+28698800</f>
        <v>163998800</v>
      </c>
      <c r="G42" s="99">
        <v>100000000</v>
      </c>
      <c r="H42" s="99">
        <v>140000000</v>
      </c>
      <c r="I42" s="99">
        <v>80000000</v>
      </c>
      <c r="J42" s="99">
        <v>80000000</v>
      </c>
      <c r="K42" s="99"/>
      <c r="L42" s="99">
        <v>230000000</v>
      </c>
      <c r="M42" s="99">
        <f>280000000</f>
        <v>280000000</v>
      </c>
      <c r="N42" s="99">
        <v>280000000</v>
      </c>
      <c r="O42" s="99">
        <v>360000000</v>
      </c>
      <c r="P42" s="99">
        <v>500000000</v>
      </c>
      <c r="Q42" s="99">
        <v>500000000</v>
      </c>
      <c r="R42" s="387">
        <f t="shared" si="0"/>
        <v>0</v>
      </c>
    </row>
    <row r="43" spans="1:18" s="384" customFormat="1" ht="20.100000000000001" customHeight="1">
      <c r="A43" s="386">
        <v>22204</v>
      </c>
      <c r="B43" s="99" t="s">
        <v>86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14896000</v>
      </c>
      <c r="L43" s="99">
        <v>30000000</v>
      </c>
      <c r="M43" s="99">
        <f>20000000</f>
        <v>20000000</v>
      </c>
      <c r="N43" s="99">
        <v>25000000</v>
      </c>
      <c r="O43" s="99">
        <v>25000000</v>
      </c>
      <c r="P43" s="99">
        <v>25000000</v>
      </c>
      <c r="Q43" s="99">
        <v>25000000</v>
      </c>
      <c r="R43" s="387">
        <f t="shared" si="0"/>
        <v>0</v>
      </c>
    </row>
    <row r="44" spans="1:18" s="384" customFormat="1" ht="20.100000000000001" customHeight="1">
      <c r="A44" s="386">
        <v>22205</v>
      </c>
      <c r="B44" s="99" t="s">
        <v>213</v>
      </c>
      <c r="C44" s="99">
        <v>36000000</v>
      </c>
      <c r="D44" s="99">
        <f>93221000+18000+300000</f>
        <v>93539000</v>
      </c>
      <c r="E44" s="99">
        <v>82800000</v>
      </c>
      <c r="F44" s="99">
        <v>297500000</v>
      </c>
      <c r="G44" s="99">
        <v>0</v>
      </c>
      <c r="H44" s="99">
        <v>281600000</v>
      </c>
      <c r="I44" s="99">
        <v>0</v>
      </c>
      <c r="J44" s="99">
        <v>200000000</v>
      </c>
      <c r="K44" s="99"/>
      <c r="L44" s="99">
        <v>1029600000</v>
      </c>
      <c r="M44" s="99">
        <v>900000000</v>
      </c>
      <c r="N44" s="99">
        <f>M44</f>
        <v>900000000</v>
      </c>
      <c r="O44" s="99">
        <v>0</v>
      </c>
      <c r="P44" s="99">
        <v>0</v>
      </c>
      <c r="Q44" s="99">
        <v>0</v>
      </c>
      <c r="R44" s="387">
        <f t="shared" si="0"/>
        <v>0</v>
      </c>
    </row>
    <row r="45" spans="1:18" s="384" customFormat="1" ht="20.100000000000001" customHeight="1">
      <c r="A45" s="386">
        <v>22207</v>
      </c>
      <c r="B45" s="99" t="s">
        <v>376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>
        <v>0</v>
      </c>
      <c r="N45" s="99">
        <v>972000000</v>
      </c>
      <c r="O45" s="99">
        <v>0</v>
      </c>
      <c r="P45" s="99">
        <v>0</v>
      </c>
      <c r="Q45" s="99">
        <v>0</v>
      </c>
      <c r="R45" s="387">
        <f t="shared" si="0"/>
        <v>0</v>
      </c>
    </row>
    <row r="46" spans="1:18" s="384" customFormat="1" ht="20.100000000000001" customHeight="1">
      <c r="A46" s="386">
        <v>22209</v>
      </c>
      <c r="B46" s="99" t="s">
        <v>350</v>
      </c>
      <c r="C46" s="99"/>
      <c r="D46" s="99"/>
      <c r="E46" s="99"/>
      <c r="F46" s="99"/>
      <c r="G46" s="99"/>
      <c r="H46" s="99"/>
      <c r="I46" s="99"/>
      <c r="J46" s="99"/>
      <c r="K46" s="99"/>
      <c r="L46" s="99">
        <v>60000000</v>
      </c>
      <c r="M46" s="99">
        <f>160000000+100000000</f>
        <v>260000000</v>
      </c>
      <c r="N46" s="99">
        <v>1940199628</v>
      </c>
      <c r="O46" s="99">
        <v>1000000000</v>
      </c>
      <c r="P46" s="99">
        <v>500000000</v>
      </c>
      <c r="Q46" s="99">
        <v>500000000</v>
      </c>
      <c r="R46" s="387">
        <f t="shared" si="0"/>
        <v>0</v>
      </c>
    </row>
    <row r="47" spans="1:18" s="384" customFormat="1" ht="20.100000000000001" customHeight="1">
      <c r="A47" s="386">
        <v>22211</v>
      </c>
      <c r="B47" s="99" t="s">
        <v>214</v>
      </c>
      <c r="C47" s="99">
        <v>20624396</v>
      </c>
      <c r="D47" s="99">
        <v>24651000</v>
      </c>
      <c r="E47" s="99">
        <v>24651000</v>
      </c>
      <c r="F47" s="99">
        <f>24651000+1711500</f>
        <v>26362500</v>
      </c>
      <c r="G47" s="99">
        <v>21089600</v>
      </c>
      <c r="H47" s="99">
        <v>26362000</v>
      </c>
      <c r="I47" s="99">
        <v>19364418</v>
      </c>
      <c r="J47" s="99">
        <v>19364418</v>
      </c>
      <c r="K47" s="99">
        <v>189000000</v>
      </c>
      <c r="L47" s="99">
        <v>410400000</v>
      </c>
      <c r="M47" s="99">
        <f>570000000</f>
        <v>570000000</v>
      </c>
      <c r="N47" s="99">
        <v>900000000</v>
      </c>
      <c r="O47" s="99">
        <v>0</v>
      </c>
      <c r="P47" s="99">
        <v>0</v>
      </c>
      <c r="Q47" s="99">
        <v>0</v>
      </c>
      <c r="R47" s="387">
        <f t="shared" si="0"/>
        <v>0</v>
      </c>
    </row>
    <row r="48" spans="1:18" s="384" customFormat="1" ht="20.100000000000001" customHeight="1">
      <c r="A48" s="386">
        <v>22213</v>
      </c>
      <c r="B48" s="99" t="s">
        <v>377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>
        <v>0</v>
      </c>
      <c r="N48" s="99">
        <v>276000000</v>
      </c>
      <c r="O48" s="99">
        <v>0</v>
      </c>
      <c r="P48" s="99">
        <v>0</v>
      </c>
      <c r="Q48" s="99">
        <v>0</v>
      </c>
      <c r="R48" s="387">
        <f t="shared" si="0"/>
        <v>0</v>
      </c>
    </row>
    <row r="49" spans="1:18" s="384" customFormat="1" ht="20.100000000000001" customHeight="1">
      <c r="A49" s="386"/>
      <c r="B49" s="125" t="s">
        <v>59</v>
      </c>
      <c r="C49" s="125">
        <f t="shared" ref="C49:J49" si="2">SUM(C42:C47)</f>
        <v>129344396</v>
      </c>
      <c r="D49" s="125">
        <f t="shared" si="2"/>
        <v>255951000</v>
      </c>
      <c r="E49" s="125">
        <f t="shared" si="2"/>
        <v>107451000</v>
      </c>
      <c r="F49" s="125">
        <f t="shared" si="2"/>
        <v>487861300</v>
      </c>
      <c r="G49" s="125">
        <f t="shared" si="2"/>
        <v>121089600</v>
      </c>
      <c r="H49" s="125">
        <f t="shared" si="2"/>
        <v>447962000</v>
      </c>
      <c r="I49" s="125">
        <f t="shared" si="2"/>
        <v>99364418</v>
      </c>
      <c r="J49" s="125">
        <f t="shared" si="2"/>
        <v>299364418</v>
      </c>
      <c r="K49" s="99">
        <v>26205043</v>
      </c>
      <c r="L49" s="125">
        <f>SUM(L40:L47)</f>
        <v>3534896000</v>
      </c>
      <c r="M49" s="125">
        <f>SUM(M40:M47)</f>
        <v>3744896000</v>
      </c>
      <c r="N49" s="125">
        <f>SUM(N40:N48)</f>
        <v>7053199628</v>
      </c>
      <c r="O49" s="125">
        <f>SUM(O40:O48)</f>
        <v>3645000000</v>
      </c>
      <c r="P49" s="125">
        <f>SUM(P40:P48)</f>
        <v>3785000000</v>
      </c>
      <c r="Q49" s="125">
        <f>SUM(Q40:Q48)</f>
        <v>3785000000</v>
      </c>
      <c r="R49" s="388">
        <f t="shared" si="0"/>
        <v>0</v>
      </c>
    </row>
    <row r="50" spans="1:18" s="384" customFormat="1" ht="20.100000000000001" customHeight="1">
      <c r="A50" s="385">
        <v>2230</v>
      </c>
      <c r="B50" s="125" t="s">
        <v>88</v>
      </c>
      <c r="C50" s="99"/>
      <c r="D50" s="99"/>
      <c r="E50" s="99" t="s">
        <v>4</v>
      </c>
      <c r="F50" s="99">
        <v>0</v>
      </c>
      <c r="G50" s="99">
        <v>0</v>
      </c>
      <c r="H50" s="99">
        <v>0</v>
      </c>
      <c r="I50" s="99">
        <v>0</v>
      </c>
      <c r="J50" s="99"/>
      <c r="K50" s="99">
        <v>1000000000</v>
      </c>
      <c r="L50" s="99"/>
      <c r="M50" s="99"/>
      <c r="N50" s="99"/>
      <c r="O50" s="99"/>
      <c r="P50" s="99"/>
      <c r="Q50" s="99"/>
      <c r="R50" s="387">
        <f t="shared" si="0"/>
        <v>0</v>
      </c>
    </row>
    <row r="51" spans="1:18" s="384" customFormat="1" ht="20.100000000000001" customHeight="1">
      <c r="A51" s="386">
        <v>22301</v>
      </c>
      <c r="B51" s="99" t="s">
        <v>31</v>
      </c>
      <c r="C51" s="99"/>
      <c r="D51" s="99"/>
      <c r="E51" s="99"/>
      <c r="F51" s="99"/>
      <c r="G51" s="99"/>
      <c r="H51" s="99"/>
      <c r="I51" s="99"/>
      <c r="J51" s="99"/>
      <c r="K51" s="99">
        <v>350000000</v>
      </c>
      <c r="L51" s="99">
        <v>350000000</v>
      </c>
      <c r="M51" s="99">
        <f>200000000</f>
        <v>200000000</v>
      </c>
      <c r="N51" s="99">
        <v>200000000</v>
      </c>
      <c r="O51" s="99">
        <v>500000000</v>
      </c>
      <c r="P51" s="99">
        <v>500000000</v>
      </c>
      <c r="Q51" s="99">
        <v>500000000</v>
      </c>
      <c r="R51" s="387">
        <f t="shared" si="0"/>
        <v>0</v>
      </c>
    </row>
    <row r="52" spans="1:18" s="384" customFormat="1" ht="20.100000000000001" customHeight="1">
      <c r="A52" s="386">
        <v>22302</v>
      </c>
      <c r="B52" s="99" t="s">
        <v>162</v>
      </c>
      <c r="C52" s="99"/>
      <c r="D52" s="99"/>
      <c r="E52" s="99"/>
      <c r="F52" s="99"/>
      <c r="G52" s="99"/>
      <c r="H52" s="99"/>
      <c r="I52" s="99"/>
      <c r="J52" s="99"/>
      <c r="K52" s="99">
        <v>0</v>
      </c>
      <c r="L52" s="99">
        <v>50000000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387">
        <f t="shared" si="0"/>
        <v>0</v>
      </c>
    </row>
    <row r="53" spans="1:18" s="384" customFormat="1" ht="20.100000000000001" customHeight="1">
      <c r="A53" s="386">
        <v>22305</v>
      </c>
      <c r="B53" s="99" t="s">
        <v>163</v>
      </c>
      <c r="C53" s="99">
        <v>68773000</v>
      </c>
      <c r="D53" s="99">
        <v>134918000</v>
      </c>
      <c r="E53" s="99">
        <v>134918000</v>
      </c>
      <c r="F53" s="99">
        <f>195100000+5200000</f>
        <v>200300000</v>
      </c>
      <c r="G53" s="99">
        <v>160240000</v>
      </c>
      <c r="H53" s="99">
        <v>200300000</v>
      </c>
      <c r="I53" s="99">
        <v>200300000</v>
      </c>
      <c r="J53" s="99">
        <v>360280000</v>
      </c>
      <c r="K53" s="125">
        <f>SUM(K43:K52)</f>
        <v>1580101043</v>
      </c>
      <c r="L53" s="99">
        <v>10300000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387">
        <f t="shared" si="0"/>
        <v>0</v>
      </c>
    </row>
    <row r="54" spans="1:18" s="384" customFormat="1" ht="20.100000000000001" customHeight="1">
      <c r="A54" s="386"/>
      <c r="B54" s="125" t="s">
        <v>59</v>
      </c>
      <c r="C54" s="99"/>
      <c r="D54" s="99"/>
      <c r="E54" s="99"/>
      <c r="F54" s="99"/>
      <c r="G54" s="99"/>
      <c r="H54" s="99"/>
      <c r="I54" s="99"/>
      <c r="J54" s="99"/>
      <c r="K54" s="125"/>
      <c r="L54" s="125">
        <f t="shared" ref="L54:P54" si="3">SUM(L51:L53)</f>
        <v>410300000</v>
      </c>
      <c r="M54" s="125">
        <f t="shared" si="3"/>
        <v>200000000</v>
      </c>
      <c r="N54" s="125">
        <f t="shared" si="3"/>
        <v>200000000</v>
      </c>
      <c r="O54" s="125">
        <f t="shared" si="3"/>
        <v>500000000</v>
      </c>
      <c r="P54" s="125">
        <f t="shared" si="3"/>
        <v>500000000</v>
      </c>
      <c r="Q54" s="125">
        <f>SUM(Q51:Q53)</f>
        <v>500000000</v>
      </c>
      <c r="R54" s="387">
        <f t="shared" si="0"/>
        <v>0</v>
      </c>
    </row>
    <row r="55" spans="1:18" s="384" customFormat="1" ht="20.100000000000001" customHeight="1">
      <c r="A55" s="385">
        <v>230</v>
      </c>
      <c r="B55" s="125" t="s">
        <v>165</v>
      </c>
      <c r="C55" s="99"/>
      <c r="D55" s="99"/>
      <c r="E55" s="99"/>
      <c r="F55" s="99"/>
      <c r="G55" s="99"/>
      <c r="H55" s="99"/>
      <c r="I55" s="99"/>
      <c r="J55" s="99"/>
      <c r="K55" s="125"/>
      <c r="L55" s="125"/>
      <c r="M55" s="125"/>
      <c r="N55" s="125"/>
      <c r="O55" s="125"/>
      <c r="P55" s="125"/>
      <c r="Q55" s="125"/>
      <c r="R55" s="387">
        <f t="shared" si="0"/>
        <v>0</v>
      </c>
    </row>
    <row r="56" spans="1:18" s="384" customFormat="1" ht="20.100000000000001" customHeight="1">
      <c r="A56" s="385">
        <v>2310</v>
      </c>
      <c r="B56" s="125" t="s">
        <v>164</v>
      </c>
      <c r="C56" s="99"/>
      <c r="D56" s="99"/>
      <c r="E56" s="99"/>
      <c r="F56" s="99"/>
      <c r="G56" s="99"/>
      <c r="H56" s="99"/>
      <c r="I56" s="99"/>
      <c r="J56" s="99"/>
      <c r="K56" s="99">
        <v>80000000</v>
      </c>
      <c r="L56" s="99"/>
      <c r="M56" s="99"/>
      <c r="N56" s="99"/>
      <c r="O56" s="99"/>
      <c r="P56" s="99"/>
      <c r="Q56" s="99"/>
      <c r="R56" s="387">
        <f t="shared" si="0"/>
        <v>0</v>
      </c>
    </row>
    <row r="57" spans="1:18" s="384" customFormat="1" ht="20.100000000000001" customHeight="1">
      <c r="A57" s="386">
        <v>23101</v>
      </c>
      <c r="B57" s="99" t="s">
        <v>172</v>
      </c>
      <c r="C57" s="99"/>
      <c r="D57" s="99"/>
      <c r="E57" s="99"/>
      <c r="F57" s="99"/>
      <c r="G57" s="99"/>
      <c r="H57" s="99"/>
      <c r="I57" s="99"/>
      <c r="J57" s="99"/>
      <c r="K57" s="99">
        <v>0</v>
      </c>
      <c r="L57" s="99">
        <v>180000000</v>
      </c>
      <c r="M57" s="99">
        <f>300000000</f>
        <v>300000000</v>
      </c>
      <c r="N57" s="99">
        <f>M57</f>
        <v>300000000</v>
      </c>
      <c r="O57" s="99">
        <f>N57</f>
        <v>300000000</v>
      </c>
      <c r="P57" s="99">
        <f>O57</f>
        <v>300000000</v>
      </c>
      <c r="Q57" s="99">
        <f>P57</f>
        <v>300000000</v>
      </c>
      <c r="R57" s="387">
        <f t="shared" si="0"/>
        <v>0</v>
      </c>
    </row>
    <row r="58" spans="1:18" s="384" customFormat="1" ht="20.100000000000001" customHeight="1">
      <c r="A58" s="386">
        <v>23102</v>
      </c>
      <c r="B58" s="99" t="s">
        <v>274</v>
      </c>
      <c r="C58" s="99"/>
      <c r="D58" s="99"/>
      <c r="E58" s="99"/>
      <c r="F58" s="99"/>
      <c r="G58" s="99"/>
      <c r="H58" s="99"/>
      <c r="I58" s="99"/>
      <c r="J58" s="99"/>
      <c r="K58" s="99"/>
      <c r="L58" s="99">
        <v>0</v>
      </c>
      <c r="M58" s="99">
        <f>900000000</f>
        <v>900000000</v>
      </c>
      <c r="N58" s="99">
        <v>660000000</v>
      </c>
      <c r="O58" s="99">
        <v>2540000000</v>
      </c>
      <c r="P58" s="99">
        <v>0</v>
      </c>
      <c r="Q58" s="99">
        <v>0</v>
      </c>
      <c r="R58" s="387">
        <f t="shared" si="0"/>
        <v>0</v>
      </c>
    </row>
    <row r="59" spans="1:18" s="384" customFormat="1" ht="20.100000000000001" customHeight="1">
      <c r="A59" s="386">
        <v>23103</v>
      </c>
      <c r="B59" s="99" t="s">
        <v>106</v>
      </c>
      <c r="C59" s="99"/>
      <c r="D59" s="99"/>
      <c r="E59" s="99"/>
      <c r="F59" s="99"/>
      <c r="G59" s="99"/>
      <c r="H59" s="99"/>
      <c r="I59" s="99"/>
      <c r="J59" s="99"/>
      <c r="K59" s="99">
        <v>0</v>
      </c>
      <c r="L59" s="99">
        <v>20000000</v>
      </c>
      <c r="M59" s="99">
        <f>25000000</f>
        <v>25000000</v>
      </c>
      <c r="N59" s="99">
        <f>M59</f>
        <v>25000000</v>
      </c>
      <c r="O59" s="99">
        <v>60000000</v>
      </c>
      <c r="P59" s="99">
        <v>60000000</v>
      </c>
      <c r="Q59" s="99">
        <v>60000000</v>
      </c>
      <c r="R59" s="387">
        <f t="shared" si="0"/>
        <v>0</v>
      </c>
    </row>
    <row r="60" spans="1:18" s="384" customFormat="1" ht="20.100000000000001" customHeight="1">
      <c r="A60" s="386">
        <v>23104</v>
      </c>
      <c r="B60" s="99" t="s">
        <v>107</v>
      </c>
      <c r="C60" s="99"/>
      <c r="D60" s="99"/>
      <c r="E60" s="99"/>
      <c r="F60" s="99"/>
      <c r="G60" s="99"/>
      <c r="H60" s="99"/>
      <c r="I60" s="99"/>
      <c r="J60" s="99"/>
      <c r="K60" s="99">
        <v>0</v>
      </c>
      <c r="L60" s="99">
        <v>20000000</v>
      </c>
      <c r="M60" s="99">
        <f>20000000</f>
        <v>20000000</v>
      </c>
      <c r="N60" s="99">
        <f>M60</f>
        <v>20000000</v>
      </c>
      <c r="O60" s="99">
        <f t="shared" ref="O60:Q61" si="4">N60</f>
        <v>20000000</v>
      </c>
      <c r="P60" s="99">
        <f t="shared" si="4"/>
        <v>20000000</v>
      </c>
      <c r="Q60" s="99">
        <f t="shared" si="4"/>
        <v>20000000</v>
      </c>
      <c r="R60" s="387">
        <f t="shared" si="0"/>
        <v>0</v>
      </c>
    </row>
    <row r="61" spans="1:18" s="384" customFormat="1" ht="20.100000000000001" customHeight="1">
      <c r="A61" s="386">
        <v>23111</v>
      </c>
      <c r="B61" s="99" t="s">
        <v>215</v>
      </c>
      <c r="C61" s="99"/>
      <c r="D61" s="99"/>
      <c r="E61" s="99"/>
      <c r="F61" s="99"/>
      <c r="G61" s="99"/>
      <c r="H61" s="99"/>
      <c r="I61" s="99"/>
      <c r="J61" s="99"/>
      <c r="K61" s="99"/>
      <c r="L61" s="99">
        <v>15000000</v>
      </c>
      <c r="M61" s="99">
        <v>0</v>
      </c>
      <c r="N61" s="99">
        <f>M61</f>
        <v>0</v>
      </c>
      <c r="O61" s="99">
        <f t="shared" si="4"/>
        <v>0</v>
      </c>
      <c r="P61" s="99">
        <f t="shared" si="4"/>
        <v>0</v>
      </c>
      <c r="Q61" s="99">
        <f t="shared" si="4"/>
        <v>0</v>
      </c>
      <c r="R61" s="387">
        <f t="shared" si="0"/>
        <v>0</v>
      </c>
    </row>
    <row r="62" spans="1:18" s="384" customFormat="1" ht="20.100000000000001" customHeight="1">
      <c r="A62" s="386"/>
      <c r="B62" s="125" t="s">
        <v>59</v>
      </c>
      <c r="C62" s="99"/>
      <c r="D62" s="99"/>
      <c r="E62" s="99"/>
      <c r="F62" s="99"/>
      <c r="G62" s="99"/>
      <c r="H62" s="99"/>
      <c r="I62" s="99"/>
      <c r="J62" s="99"/>
      <c r="K62" s="99"/>
      <c r="L62" s="125">
        <f t="shared" ref="L62:P62" si="5">SUM(L57:L61)</f>
        <v>235000000</v>
      </c>
      <c r="M62" s="125">
        <f t="shared" si="5"/>
        <v>1245000000</v>
      </c>
      <c r="N62" s="125">
        <f t="shared" si="5"/>
        <v>1005000000</v>
      </c>
      <c r="O62" s="125">
        <f t="shared" si="5"/>
        <v>2920000000</v>
      </c>
      <c r="P62" s="125">
        <f t="shared" si="5"/>
        <v>380000000</v>
      </c>
      <c r="Q62" s="125">
        <f>SUM(Q57:Q61)</f>
        <v>380000000</v>
      </c>
      <c r="R62" s="388">
        <f t="shared" si="0"/>
        <v>0</v>
      </c>
    </row>
    <row r="63" spans="1:18" s="384" customFormat="1" ht="20.100000000000001" customHeight="1">
      <c r="A63" s="385">
        <v>2320</v>
      </c>
      <c r="B63" s="125" t="s">
        <v>87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387">
        <f t="shared" si="0"/>
        <v>0</v>
      </c>
    </row>
    <row r="64" spans="1:18" s="384" customFormat="1" ht="20.100000000000001" customHeight="1">
      <c r="A64" s="386">
        <v>23201</v>
      </c>
      <c r="B64" s="99" t="s">
        <v>336</v>
      </c>
      <c r="C64" s="99"/>
      <c r="D64" s="99"/>
      <c r="E64" s="99"/>
      <c r="F64" s="99"/>
      <c r="G64" s="99"/>
      <c r="H64" s="99"/>
      <c r="I64" s="99"/>
      <c r="J64" s="99"/>
      <c r="K64" s="99"/>
      <c r="L64" s="99">
        <v>0</v>
      </c>
      <c r="M64" s="99">
        <f>1200000000</f>
        <v>1200000000</v>
      </c>
      <c r="N64" s="99">
        <v>840000000</v>
      </c>
      <c r="O64" s="99">
        <v>1500000000</v>
      </c>
      <c r="P64" s="99">
        <v>0</v>
      </c>
      <c r="Q64" s="99">
        <v>0</v>
      </c>
      <c r="R64" s="387">
        <f t="shared" si="0"/>
        <v>0</v>
      </c>
    </row>
    <row r="65" spans="1:18" s="384" customFormat="1" ht="20.100000000000001" customHeight="1">
      <c r="A65" s="386"/>
      <c r="B65" s="99" t="s">
        <v>59</v>
      </c>
      <c r="C65" s="99"/>
      <c r="D65" s="99"/>
      <c r="E65" s="99"/>
      <c r="F65" s="99"/>
      <c r="G65" s="99"/>
      <c r="H65" s="99"/>
      <c r="I65" s="99"/>
      <c r="J65" s="99"/>
      <c r="K65" s="99"/>
      <c r="L65" s="125">
        <f t="shared" ref="L65:Q65" si="6">SUM(L64)</f>
        <v>0</v>
      </c>
      <c r="M65" s="125">
        <f t="shared" si="6"/>
        <v>1200000000</v>
      </c>
      <c r="N65" s="125">
        <f t="shared" si="6"/>
        <v>840000000</v>
      </c>
      <c r="O65" s="125">
        <f t="shared" si="6"/>
        <v>1500000000</v>
      </c>
      <c r="P65" s="125">
        <f t="shared" si="6"/>
        <v>0</v>
      </c>
      <c r="Q65" s="125">
        <f t="shared" si="6"/>
        <v>0</v>
      </c>
      <c r="R65" s="387">
        <f t="shared" si="0"/>
        <v>0</v>
      </c>
    </row>
    <row r="66" spans="1:18" s="384" customFormat="1" ht="20.100000000000001" customHeight="1">
      <c r="A66" s="389">
        <v>2630</v>
      </c>
      <c r="B66" s="390" t="s">
        <v>306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387">
        <f t="shared" si="0"/>
        <v>0</v>
      </c>
    </row>
    <row r="67" spans="1:18" s="384" customFormat="1" ht="20.100000000000001" customHeight="1">
      <c r="A67" s="386">
        <v>26301</v>
      </c>
      <c r="B67" s="99" t="s">
        <v>455</v>
      </c>
      <c r="C67" s="125"/>
      <c r="D67" s="125"/>
      <c r="E67" s="125"/>
      <c r="F67" s="125"/>
      <c r="G67" s="125"/>
      <c r="H67" s="125"/>
      <c r="I67" s="125"/>
      <c r="J67" s="125"/>
      <c r="K67" s="99"/>
      <c r="L67" s="99">
        <v>1000000000</v>
      </c>
      <c r="M67" s="99">
        <f>700000000+300000000</f>
        <v>1000000000</v>
      </c>
      <c r="N67" s="99">
        <v>1050000000</v>
      </c>
      <c r="O67" s="99">
        <v>650000000</v>
      </c>
      <c r="P67" s="99">
        <v>0</v>
      </c>
      <c r="Q67" s="99">
        <v>0</v>
      </c>
      <c r="R67" s="387">
        <f t="shared" si="0"/>
        <v>0</v>
      </c>
    </row>
    <row r="68" spans="1:18" s="384" customFormat="1" ht="20.100000000000001" customHeight="1">
      <c r="A68" s="386">
        <v>26301</v>
      </c>
      <c r="B68" s="125" t="s">
        <v>422</v>
      </c>
      <c r="C68" s="125"/>
      <c r="D68" s="125"/>
      <c r="E68" s="125"/>
      <c r="F68" s="125"/>
      <c r="G68" s="125"/>
      <c r="H68" s="125"/>
      <c r="I68" s="125"/>
      <c r="J68" s="125"/>
      <c r="K68" s="99"/>
      <c r="L68" s="99"/>
      <c r="M68" s="99">
        <v>0</v>
      </c>
      <c r="N68" s="99">
        <v>410000000</v>
      </c>
      <c r="O68" s="99">
        <v>0</v>
      </c>
      <c r="P68" s="99">
        <v>0</v>
      </c>
      <c r="Q68" s="99">
        <v>0</v>
      </c>
      <c r="R68" s="387">
        <f t="shared" si="0"/>
        <v>0</v>
      </c>
    </row>
    <row r="69" spans="1:18" s="384" customFormat="1" ht="20.100000000000001" customHeight="1">
      <c r="A69" s="386"/>
      <c r="B69" s="125" t="s">
        <v>59</v>
      </c>
      <c r="C69" s="99"/>
      <c r="D69" s="99"/>
      <c r="E69" s="99"/>
      <c r="F69" s="99"/>
      <c r="G69" s="99"/>
      <c r="H69" s="99"/>
      <c r="I69" s="99"/>
      <c r="J69" s="125">
        <f>SUM(J67)</f>
        <v>0</v>
      </c>
      <c r="K69" s="125">
        <f>SUM(K67)</f>
        <v>0</v>
      </c>
      <c r="L69" s="125">
        <f>SUM(L67)</f>
        <v>1000000000</v>
      </c>
      <c r="M69" s="125">
        <f>SUM(M67)</f>
        <v>1000000000</v>
      </c>
      <c r="N69" s="125">
        <f>SUM(N67:N68)</f>
        <v>1460000000</v>
      </c>
      <c r="O69" s="125">
        <f>SUM(O67:O68)</f>
        <v>650000000</v>
      </c>
      <c r="P69" s="125">
        <f>SUM(P67:P68)</f>
        <v>0</v>
      </c>
      <c r="Q69" s="125">
        <f>SUM(Q67:Q68)</f>
        <v>0</v>
      </c>
      <c r="R69" s="387">
        <f t="shared" si="0"/>
        <v>0</v>
      </c>
    </row>
    <row r="70" spans="1:18" s="384" customFormat="1" ht="20.100000000000001" customHeight="1">
      <c r="A70" s="385">
        <v>21010</v>
      </c>
      <c r="B70" s="125" t="s">
        <v>415</v>
      </c>
      <c r="C70" s="99"/>
      <c r="D70" s="99"/>
      <c r="E70" s="99"/>
      <c r="F70" s="99"/>
      <c r="G70" s="99"/>
      <c r="H70" s="99"/>
      <c r="I70" s="99"/>
      <c r="J70" s="125"/>
      <c r="K70" s="125"/>
      <c r="L70" s="125"/>
      <c r="M70" s="125"/>
      <c r="N70" s="125">
        <v>40836096697</v>
      </c>
      <c r="O70" s="125">
        <v>0</v>
      </c>
      <c r="P70" s="125">
        <v>0</v>
      </c>
      <c r="Q70" s="125">
        <v>0</v>
      </c>
      <c r="R70" s="387">
        <f>Q70-P70</f>
        <v>0</v>
      </c>
    </row>
    <row r="71" spans="1:18" s="384" customFormat="1" ht="20.100000000000001" customHeight="1">
      <c r="A71" s="391"/>
      <c r="B71" s="147" t="s">
        <v>61</v>
      </c>
      <c r="C71" s="147"/>
      <c r="D71" s="147"/>
      <c r="E71" s="147"/>
      <c r="F71" s="125">
        <v>6556984977</v>
      </c>
      <c r="G71" s="125"/>
      <c r="H71" s="125"/>
      <c r="I71" s="125"/>
      <c r="J71" s="125"/>
      <c r="K71" s="125"/>
      <c r="L71" s="125">
        <f>L69+L65+L62+L54+L49+L38+L11</f>
        <v>18153248520</v>
      </c>
      <c r="M71" s="125">
        <f>M69+M65+M62+M54+M49+M38+M11</f>
        <v>42611931120</v>
      </c>
      <c r="N71" s="125">
        <f>N69+N65+N62+N54+N49+N38+N11+N70</f>
        <v>85783951475</v>
      </c>
      <c r="O71" s="125">
        <f>O69+O65+O62+O54+O49+O38+O11+O70</f>
        <v>41241486400</v>
      </c>
      <c r="P71" s="125">
        <f>P69+P65+P62+P54+P49+P38+P11+P70</f>
        <v>49332785920</v>
      </c>
      <c r="Q71" s="125">
        <f>Q69+Q65+Q62+Q54+Q49+Q38+Q11+Q70</f>
        <v>53639293120</v>
      </c>
      <c r="R71" s="388">
        <f>Q71-P71</f>
        <v>4306507200</v>
      </c>
    </row>
    <row r="73" spans="1:18" ht="20.100000000000001" customHeight="1">
      <c r="L73" s="394"/>
    </row>
  </sheetData>
  <pageMargins left="0.42" right="0.34" top="0.59" bottom="0.43" header="0.17" footer="0.17"/>
  <pageSetup scale="50" orientation="portrait" r:id="rId1"/>
  <headerFooter>
    <oddHeader>&amp;C&amp;"Algerian,Bold"&amp;36WASAARAdDA MAALIYADdA</oddHeader>
    <oddFooter>&amp;R&amp;"Times New Roman,Bold"&amp;14 29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topLeftCell="A37" zoomScale="55" zoomScaleSheetLayoutView="55" workbookViewId="0">
      <selection activeCell="B42" sqref="B42"/>
    </sheetView>
  </sheetViews>
  <sheetFormatPr defaultRowHeight="24" customHeight="1"/>
  <cols>
    <col min="1" max="1" width="24.83203125" style="398" bestFit="1" customWidth="1"/>
    <col min="2" max="2" width="108.1640625" style="395" bestFit="1" customWidth="1"/>
    <col min="3" max="10" width="9.33203125" style="395" hidden="1" customWidth="1"/>
    <col min="11" max="11" width="0.1640625" style="395" hidden="1" customWidth="1"/>
    <col min="12" max="12" width="9.33203125" style="395" hidden="1" customWidth="1"/>
    <col min="13" max="13" width="0.1640625" style="395" hidden="1" customWidth="1"/>
    <col min="14" max="15" width="9.33203125" style="395" hidden="1" customWidth="1"/>
    <col min="16" max="16" width="37.83203125" style="395" hidden="1" customWidth="1"/>
    <col min="17" max="17" width="39.33203125" style="395" hidden="1" customWidth="1"/>
    <col min="18" max="19" width="39" style="395" customWidth="1"/>
    <col min="20" max="20" width="41.83203125" style="395" bestFit="1" customWidth="1"/>
    <col min="21" max="16384" width="9.33203125" style="395"/>
  </cols>
  <sheetData>
    <row r="1" spans="1:20" ht="24" customHeight="1">
      <c r="A1" s="382" t="s">
        <v>21</v>
      </c>
      <c r="B1" s="147" t="s">
        <v>786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 t="s">
        <v>320</v>
      </c>
      <c r="Q1" s="147" t="s">
        <v>538</v>
      </c>
      <c r="R1" s="147" t="s">
        <v>607</v>
      </c>
      <c r="S1" s="147" t="s">
        <v>722</v>
      </c>
      <c r="T1" s="147" t="s">
        <v>34</v>
      </c>
    </row>
    <row r="2" spans="1:20" ht="24" customHeight="1">
      <c r="A2" s="382" t="s">
        <v>6</v>
      </c>
      <c r="B2" s="147" t="s">
        <v>7</v>
      </c>
      <c r="C2" s="147" t="s">
        <v>19</v>
      </c>
      <c r="D2" s="147" t="s">
        <v>2</v>
      </c>
      <c r="E2" s="147" t="s">
        <v>24</v>
      </c>
      <c r="F2" s="147" t="s">
        <v>28</v>
      </c>
      <c r="G2" s="147" t="s">
        <v>33</v>
      </c>
      <c r="H2" s="147" t="s">
        <v>40</v>
      </c>
      <c r="I2" s="147" t="s">
        <v>66</v>
      </c>
      <c r="J2" s="147" t="s">
        <v>69</v>
      </c>
      <c r="K2" s="147" t="s">
        <v>75</v>
      </c>
      <c r="L2" s="147" t="s">
        <v>96</v>
      </c>
      <c r="M2" s="147" t="s">
        <v>166</v>
      </c>
      <c r="N2" s="147" t="s">
        <v>318</v>
      </c>
      <c r="O2" s="147"/>
      <c r="P2" s="147"/>
      <c r="Q2" s="147"/>
      <c r="R2" s="147"/>
      <c r="S2" s="147"/>
      <c r="T2" s="171"/>
    </row>
    <row r="3" spans="1:20" ht="24" customHeight="1">
      <c r="A3" s="396">
        <v>2110</v>
      </c>
      <c r="B3" s="147" t="s">
        <v>155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99"/>
      <c r="R3" s="147"/>
      <c r="S3" s="147"/>
      <c r="T3" s="171"/>
    </row>
    <row r="4" spans="1:20" ht="24" customHeight="1">
      <c r="A4" s="391">
        <v>21101</v>
      </c>
      <c r="B4" s="147" t="s">
        <v>744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99">
        <v>0</v>
      </c>
      <c r="R4" s="99">
        <v>2153848320</v>
      </c>
      <c r="S4" s="99">
        <v>1222041600</v>
      </c>
      <c r="T4" s="121">
        <f>S4-R4</f>
        <v>-931806720</v>
      </c>
    </row>
    <row r="5" spans="1:20" ht="24" customHeight="1">
      <c r="A5" s="391">
        <v>21106</v>
      </c>
      <c r="B5" s="99" t="s">
        <v>613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>
        <v>0</v>
      </c>
      <c r="R5" s="99">
        <v>1494008160</v>
      </c>
      <c r="S5" s="99">
        <v>1876008160</v>
      </c>
      <c r="T5" s="121">
        <f t="shared" ref="T5:T64" si="0">S5-R5</f>
        <v>382000000</v>
      </c>
    </row>
    <row r="6" spans="1:20" ht="24" customHeight="1">
      <c r="A6" s="391"/>
      <c r="B6" s="125" t="s">
        <v>59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25">
        <f>SUM(R4:R5)</f>
        <v>3647856480</v>
      </c>
      <c r="S6" s="125">
        <f>SUM(S4:S5)</f>
        <v>3098049760</v>
      </c>
      <c r="T6" s="397">
        <f t="shared" si="0"/>
        <v>-549806720</v>
      </c>
    </row>
    <row r="7" spans="1:20" ht="24" customHeight="1">
      <c r="A7" s="385">
        <v>220</v>
      </c>
      <c r="B7" s="125" t="s">
        <v>159</v>
      </c>
      <c r="C7" s="99">
        <v>46356000</v>
      </c>
      <c r="D7" s="99">
        <v>18000000</v>
      </c>
      <c r="E7" s="99">
        <v>0</v>
      </c>
      <c r="F7" s="99">
        <v>20000000</v>
      </c>
      <c r="G7" s="99">
        <v>32000000</v>
      </c>
      <c r="H7" s="99">
        <v>40000000</v>
      </c>
      <c r="I7" s="99">
        <v>29792000</v>
      </c>
      <c r="J7" s="99">
        <v>14896000</v>
      </c>
      <c r="K7" s="99">
        <v>14896000</v>
      </c>
      <c r="L7" s="99"/>
      <c r="M7" s="99"/>
      <c r="N7" s="99"/>
      <c r="O7" s="99"/>
      <c r="P7" s="99"/>
      <c r="Q7" s="147"/>
      <c r="R7" s="99"/>
      <c r="S7" s="99"/>
      <c r="T7" s="121">
        <f t="shared" si="0"/>
        <v>0</v>
      </c>
    </row>
    <row r="8" spans="1:20" ht="24" customHeight="1">
      <c r="A8" s="385">
        <v>2210</v>
      </c>
      <c r="B8" s="125" t="s">
        <v>160</v>
      </c>
      <c r="C8" s="99">
        <v>270000000</v>
      </c>
      <c r="D8" s="99">
        <v>700000000</v>
      </c>
      <c r="E8" s="99">
        <v>850900000</v>
      </c>
      <c r="F8" s="99">
        <v>885527289</v>
      </c>
      <c r="G8" s="99">
        <v>855000000</v>
      </c>
      <c r="H8" s="99">
        <v>855000000</v>
      </c>
      <c r="I8" s="99">
        <v>855000000</v>
      </c>
      <c r="J8" s="99">
        <v>1381000000</v>
      </c>
      <c r="K8" s="99">
        <v>2000000000</v>
      </c>
      <c r="L8" s="99"/>
      <c r="M8" s="99"/>
      <c r="N8" s="99"/>
      <c r="O8" s="99"/>
      <c r="P8" s="99"/>
      <c r="Q8" s="99"/>
      <c r="R8" s="99"/>
      <c r="S8" s="99"/>
      <c r="T8" s="121">
        <f t="shared" si="0"/>
        <v>0</v>
      </c>
    </row>
    <row r="9" spans="1:20" ht="24" customHeight="1">
      <c r="A9" s="386">
        <v>22103</v>
      </c>
      <c r="B9" s="99" t="s">
        <v>556</v>
      </c>
      <c r="C9" s="99">
        <v>97356000</v>
      </c>
      <c r="D9" s="99">
        <v>60000000</v>
      </c>
      <c r="E9" s="99">
        <v>60000000</v>
      </c>
      <c r="F9" s="99">
        <v>181972636</v>
      </c>
      <c r="G9" s="99">
        <v>650000000</v>
      </c>
      <c r="H9" s="99">
        <v>650000000</v>
      </c>
      <c r="I9" s="99">
        <v>650000000</v>
      </c>
      <c r="J9" s="99">
        <v>1000000000</v>
      </c>
      <c r="K9" s="99">
        <v>22814714</v>
      </c>
      <c r="L9" s="99">
        <v>3152136000</v>
      </c>
      <c r="M9" s="99">
        <f>3152136000-2000000000</f>
        <v>1152136000</v>
      </c>
      <c r="N9" s="99">
        <v>859536750</v>
      </c>
      <c r="O9" s="99"/>
      <c r="P9" s="99">
        <v>859536750</v>
      </c>
      <c r="Q9" s="99">
        <v>1500000000</v>
      </c>
      <c r="R9" s="99">
        <v>1500000000</v>
      </c>
      <c r="S9" s="99">
        <v>2000000000</v>
      </c>
      <c r="T9" s="121">
        <f t="shared" si="0"/>
        <v>500000000</v>
      </c>
    </row>
    <row r="10" spans="1:20" ht="24" customHeight="1">
      <c r="A10" s="386">
        <v>22107</v>
      </c>
      <c r="B10" s="99" t="s">
        <v>843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>
        <v>2400000000</v>
      </c>
      <c r="T10" s="121"/>
    </row>
    <row r="11" spans="1:20" ht="24" customHeight="1">
      <c r="A11" s="386">
        <v>22108</v>
      </c>
      <c r="B11" s="99" t="s">
        <v>647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>
        <v>0</v>
      </c>
      <c r="R11" s="99">
        <v>1051200000</v>
      </c>
      <c r="S11" s="99">
        <v>1051200000</v>
      </c>
      <c r="T11" s="121">
        <f t="shared" si="0"/>
        <v>0</v>
      </c>
    </row>
    <row r="12" spans="1:20" ht="24" customHeight="1">
      <c r="A12" s="386">
        <v>22111</v>
      </c>
      <c r="B12" s="99" t="s">
        <v>99</v>
      </c>
      <c r="C12" s="125"/>
      <c r="D12" s="125"/>
      <c r="E12" s="125"/>
      <c r="F12" s="125"/>
      <c r="G12" s="125"/>
      <c r="H12" s="125"/>
      <c r="I12" s="125"/>
      <c r="J12" s="125"/>
      <c r="K12" s="99"/>
      <c r="L12" s="99">
        <v>546300000</v>
      </c>
      <c r="M12" s="99">
        <f>8581957092-2000000000-216000000-68493120+702536028</f>
        <v>7000000000</v>
      </c>
      <c r="N12" s="99">
        <v>6586288000</v>
      </c>
      <c r="O12" s="99"/>
      <c r="P12" s="99">
        <v>6586288000</v>
      </c>
      <c r="Q12" s="99">
        <v>7000000000</v>
      </c>
      <c r="R12" s="99">
        <v>7000000000</v>
      </c>
      <c r="S12" s="99">
        <v>7000000000</v>
      </c>
      <c r="T12" s="121">
        <f t="shared" si="0"/>
        <v>0</v>
      </c>
    </row>
    <row r="13" spans="1:20" ht="24" customHeight="1">
      <c r="A13" s="386">
        <v>22118</v>
      </c>
      <c r="B13" s="99" t="s">
        <v>650</v>
      </c>
      <c r="C13" s="125"/>
      <c r="D13" s="125"/>
      <c r="E13" s="125"/>
      <c r="F13" s="125"/>
      <c r="G13" s="125"/>
      <c r="H13" s="125"/>
      <c r="I13" s="125"/>
      <c r="J13" s="125"/>
      <c r="K13" s="99"/>
      <c r="L13" s="99"/>
      <c r="M13" s="99"/>
      <c r="N13" s="99"/>
      <c r="O13" s="99"/>
      <c r="P13" s="99"/>
      <c r="Q13" s="99">
        <v>0</v>
      </c>
      <c r="R13" s="99">
        <v>220815000</v>
      </c>
      <c r="S13" s="99">
        <v>220815000</v>
      </c>
      <c r="T13" s="121">
        <f t="shared" si="0"/>
        <v>0</v>
      </c>
    </row>
    <row r="14" spans="1:20" ht="24" customHeight="1">
      <c r="A14" s="386">
        <v>22130</v>
      </c>
      <c r="B14" s="99" t="s">
        <v>594</v>
      </c>
      <c r="C14" s="125"/>
      <c r="D14" s="125"/>
      <c r="E14" s="125"/>
      <c r="F14" s="125"/>
      <c r="G14" s="125"/>
      <c r="H14" s="125"/>
      <c r="I14" s="125"/>
      <c r="J14" s="125"/>
      <c r="K14" s="99"/>
      <c r="L14" s="99"/>
      <c r="M14" s="99"/>
      <c r="N14" s="99"/>
      <c r="O14" s="99"/>
      <c r="P14" s="99">
        <v>0</v>
      </c>
      <c r="Q14" s="99">
        <v>9600000000</v>
      </c>
      <c r="R14" s="99">
        <v>11900000000</v>
      </c>
      <c r="S14" s="99">
        <v>62900000000</v>
      </c>
      <c r="T14" s="121">
        <f t="shared" si="0"/>
        <v>51000000000</v>
      </c>
    </row>
    <row r="15" spans="1:20" ht="24" customHeight="1">
      <c r="A15" s="386">
        <v>22135</v>
      </c>
      <c r="B15" s="99" t="s">
        <v>554</v>
      </c>
      <c r="C15" s="125"/>
      <c r="D15" s="125"/>
      <c r="E15" s="125"/>
      <c r="F15" s="125"/>
      <c r="G15" s="125"/>
      <c r="H15" s="125"/>
      <c r="I15" s="125"/>
      <c r="J15" s="125"/>
      <c r="K15" s="99"/>
      <c r="L15" s="99">
        <v>0</v>
      </c>
      <c r="M15" s="99">
        <f>20000000000-1733260000-600000-72000000-108000000-300000000-500000000-452441754+166301754-1000000000-1000000000</f>
        <v>15000000000</v>
      </c>
      <c r="N15" s="99">
        <v>7200000000</v>
      </c>
      <c r="O15" s="99"/>
      <c r="P15" s="99"/>
      <c r="Q15" s="99">
        <v>1611200000</v>
      </c>
      <c r="R15" s="99">
        <v>1500000000</v>
      </c>
      <c r="S15" s="99">
        <v>2000000000</v>
      </c>
      <c r="T15" s="121">
        <f t="shared" si="0"/>
        <v>500000000</v>
      </c>
    </row>
    <row r="16" spans="1:20" ht="24" customHeight="1">
      <c r="A16" s="386">
        <v>22138</v>
      </c>
      <c r="B16" s="99" t="s">
        <v>651</v>
      </c>
      <c r="C16" s="125"/>
      <c r="D16" s="125"/>
      <c r="E16" s="125"/>
      <c r="F16" s="125"/>
      <c r="G16" s="125"/>
      <c r="H16" s="125"/>
      <c r="I16" s="125"/>
      <c r="J16" s="125"/>
      <c r="K16" s="99"/>
      <c r="L16" s="99"/>
      <c r="M16" s="99"/>
      <c r="N16" s="99"/>
      <c r="O16" s="99"/>
      <c r="P16" s="99"/>
      <c r="Q16" s="99">
        <v>0</v>
      </c>
      <c r="R16" s="99">
        <v>1384507534</v>
      </c>
      <c r="S16" s="99">
        <v>3602996306</v>
      </c>
      <c r="T16" s="121">
        <f t="shared" si="0"/>
        <v>2218488772</v>
      </c>
    </row>
    <row r="17" spans="1:20" ht="24" customHeight="1">
      <c r="A17" s="386">
        <v>22141</v>
      </c>
      <c r="B17" s="99" t="s">
        <v>381</v>
      </c>
      <c r="C17" s="125"/>
      <c r="D17" s="125"/>
      <c r="E17" s="125"/>
      <c r="F17" s="125"/>
      <c r="G17" s="125"/>
      <c r="H17" s="125"/>
      <c r="I17" s="125"/>
      <c r="J17" s="125"/>
      <c r="K17" s="99"/>
      <c r="L17" s="99"/>
      <c r="M17" s="99"/>
      <c r="N17" s="99"/>
      <c r="O17" s="99"/>
      <c r="P17" s="99">
        <v>7200000000</v>
      </c>
      <c r="Q17" s="99">
        <v>0</v>
      </c>
      <c r="R17" s="99">
        <v>0</v>
      </c>
      <c r="S17" s="99">
        <v>0</v>
      </c>
      <c r="T17" s="121">
        <f t="shared" si="0"/>
        <v>0</v>
      </c>
    </row>
    <row r="18" spans="1:20" ht="24" customHeight="1">
      <c r="A18" s="386">
        <v>22151</v>
      </c>
      <c r="B18" s="99" t="s">
        <v>619</v>
      </c>
      <c r="C18" s="125"/>
      <c r="D18" s="125"/>
      <c r="E18" s="125"/>
      <c r="F18" s="125"/>
      <c r="G18" s="125"/>
      <c r="H18" s="125"/>
      <c r="I18" s="125"/>
      <c r="J18" s="125"/>
      <c r="K18" s="99"/>
      <c r="L18" s="99"/>
      <c r="M18" s="99"/>
      <c r="N18" s="99"/>
      <c r="O18" s="99"/>
      <c r="P18" s="99">
        <v>0</v>
      </c>
      <c r="Q18" s="99">
        <v>1800000000</v>
      </c>
      <c r="R18" s="99">
        <v>1200000000</v>
      </c>
      <c r="S18" s="99">
        <v>1200000000</v>
      </c>
      <c r="T18" s="121">
        <f t="shared" si="0"/>
        <v>0</v>
      </c>
    </row>
    <row r="19" spans="1:20" ht="24" customHeight="1">
      <c r="A19" s="386">
        <v>22158</v>
      </c>
      <c r="B19" s="99" t="s">
        <v>562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>
        <v>0</v>
      </c>
      <c r="Q19" s="99">
        <v>900000000</v>
      </c>
      <c r="R19" s="99">
        <v>900000000</v>
      </c>
      <c r="S19" s="99">
        <v>900000000</v>
      </c>
      <c r="T19" s="121">
        <f t="shared" si="0"/>
        <v>0</v>
      </c>
    </row>
    <row r="20" spans="1:20" ht="24" customHeight="1">
      <c r="A20" s="386">
        <v>22159</v>
      </c>
      <c r="B20" s="99" t="s">
        <v>576</v>
      </c>
      <c r="C20" s="125"/>
      <c r="D20" s="125"/>
      <c r="E20" s="125"/>
      <c r="F20" s="125"/>
      <c r="G20" s="125"/>
      <c r="H20" s="125"/>
      <c r="I20" s="125"/>
      <c r="J20" s="125"/>
      <c r="K20" s="99"/>
      <c r="L20" s="99"/>
      <c r="M20" s="99"/>
      <c r="N20" s="99"/>
      <c r="O20" s="99"/>
      <c r="P20" s="99">
        <v>0</v>
      </c>
      <c r="Q20" s="99">
        <v>11729200000</v>
      </c>
      <c r="R20" s="99">
        <v>11729200000</v>
      </c>
      <c r="S20" s="99">
        <v>13729200000</v>
      </c>
      <c r="T20" s="121">
        <f t="shared" si="0"/>
        <v>2000000000</v>
      </c>
    </row>
    <row r="21" spans="1:20" ht="24" customHeight="1">
      <c r="A21" s="386">
        <v>22160</v>
      </c>
      <c r="B21" s="99" t="s">
        <v>578</v>
      </c>
      <c r="C21" s="125"/>
      <c r="D21" s="125"/>
      <c r="E21" s="125"/>
      <c r="F21" s="125"/>
      <c r="G21" s="125"/>
      <c r="H21" s="125"/>
      <c r="I21" s="125"/>
      <c r="J21" s="125"/>
      <c r="K21" s="99"/>
      <c r="L21" s="99"/>
      <c r="M21" s="99"/>
      <c r="N21" s="99"/>
      <c r="O21" s="99"/>
      <c r="P21" s="99">
        <v>0</v>
      </c>
      <c r="Q21" s="99">
        <v>6000000000</v>
      </c>
      <c r="R21" s="171"/>
      <c r="S21" s="171"/>
      <c r="T21" s="121">
        <f t="shared" si="0"/>
        <v>0</v>
      </c>
    </row>
    <row r="22" spans="1:20" ht="24" customHeight="1">
      <c r="A22" s="386">
        <v>22161</v>
      </c>
      <c r="B22" s="99" t="s">
        <v>579</v>
      </c>
      <c r="C22" s="125"/>
      <c r="D22" s="125"/>
      <c r="E22" s="125"/>
      <c r="F22" s="125"/>
      <c r="G22" s="125"/>
      <c r="H22" s="125"/>
      <c r="I22" s="125"/>
      <c r="J22" s="125"/>
      <c r="K22" s="99"/>
      <c r="L22" s="99"/>
      <c r="M22" s="99"/>
      <c r="N22" s="99"/>
      <c r="O22" s="99"/>
      <c r="P22" s="99">
        <v>0</v>
      </c>
      <c r="Q22" s="99">
        <v>12000000000</v>
      </c>
      <c r="R22" s="99">
        <v>23244904000</v>
      </c>
      <c r="S22" s="99">
        <v>0</v>
      </c>
      <c r="T22" s="121">
        <f t="shared" si="0"/>
        <v>-23244904000</v>
      </c>
    </row>
    <row r="23" spans="1:20" ht="24" customHeight="1">
      <c r="A23" s="386">
        <v>22173</v>
      </c>
      <c r="B23" s="99" t="s">
        <v>700</v>
      </c>
      <c r="C23" s="125"/>
      <c r="D23" s="125"/>
      <c r="E23" s="125"/>
      <c r="F23" s="125"/>
      <c r="G23" s="125"/>
      <c r="H23" s="125"/>
      <c r="I23" s="125"/>
      <c r="J23" s="125"/>
      <c r="K23" s="99"/>
      <c r="L23" s="99"/>
      <c r="M23" s="99"/>
      <c r="N23" s="99"/>
      <c r="O23" s="99"/>
      <c r="P23" s="99"/>
      <c r="Q23" s="99">
        <v>0</v>
      </c>
      <c r="R23" s="99">
        <v>6000000000</v>
      </c>
      <c r="S23" s="99">
        <v>0</v>
      </c>
      <c r="T23" s="121">
        <f t="shared" si="0"/>
        <v>-6000000000</v>
      </c>
    </row>
    <row r="24" spans="1:20" ht="24" customHeight="1">
      <c r="A24" s="386">
        <v>22175</v>
      </c>
      <c r="B24" s="99" t="s">
        <v>701</v>
      </c>
      <c r="C24" s="125"/>
      <c r="D24" s="125"/>
      <c r="E24" s="125"/>
      <c r="F24" s="125"/>
      <c r="G24" s="125"/>
      <c r="H24" s="125"/>
      <c r="I24" s="125"/>
      <c r="J24" s="125"/>
      <c r="K24" s="99"/>
      <c r="L24" s="99"/>
      <c r="M24" s="99"/>
      <c r="N24" s="99"/>
      <c r="O24" s="99"/>
      <c r="P24" s="99"/>
      <c r="Q24" s="99">
        <v>0</v>
      </c>
      <c r="R24" s="99">
        <v>210000000</v>
      </c>
      <c r="S24" s="99">
        <v>210000000</v>
      </c>
      <c r="T24" s="121">
        <f t="shared" si="0"/>
        <v>0</v>
      </c>
    </row>
    <row r="25" spans="1:20" ht="24" customHeight="1">
      <c r="A25" s="386"/>
      <c r="B25" s="125" t="s">
        <v>59</v>
      </c>
      <c r="C25" s="125"/>
      <c r="D25" s="125"/>
      <c r="E25" s="125"/>
      <c r="F25" s="125"/>
      <c r="G25" s="125"/>
      <c r="H25" s="125"/>
      <c r="I25" s="125"/>
      <c r="J25" s="125"/>
      <c r="K25" s="99">
        <v>0</v>
      </c>
      <c r="L25" s="125">
        <f>SUM(L9:L15)</f>
        <v>3698436000</v>
      </c>
      <c r="M25" s="125">
        <f>SUM(M9:M15)</f>
        <v>23152136000</v>
      </c>
      <c r="N25" s="125">
        <f>SUM(N9:N15)</f>
        <v>14645824750</v>
      </c>
      <c r="O25" s="125"/>
      <c r="P25" s="125">
        <f>SUM(P9:P22)</f>
        <v>14645824750</v>
      </c>
      <c r="Q25" s="125">
        <f>SUM(Q9:Q24)</f>
        <v>52140400000</v>
      </c>
      <c r="R25" s="125">
        <f>SUM(R9:R24)</f>
        <v>67840626534</v>
      </c>
      <c r="S25" s="125">
        <f>SUM(S9:S24)</f>
        <v>97214211306</v>
      </c>
      <c r="T25" s="397">
        <f t="shared" si="0"/>
        <v>29373584772</v>
      </c>
    </row>
    <row r="26" spans="1:20" ht="24" customHeight="1">
      <c r="A26" s="385">
        <v>2220</v>
      </c>
      <c r="B26" s="125" t="s">
        <v>161</v>
      </c>
      <c r="C26" s="125"/>
      <c r="D26" s="125"/>
      <c r="E26" s="125"/>
      <c r="F26" s="125"/>
      <c r="G26" s="125"/>
      <c r="H26" s="125"/>
      <c r="I26" s="125"/>
      <c r="J26" s="125"/>
      <c r="K26" s="99">
        <v>59584000</v>
      </c>
      <c r="L26" s="99"/>
      <c r="M26" s="99"/>
      <c r="N26" s="99"/>
      <c r="O26" s="99"/>
      <c r="P26" s="99"/>
      <c r="Q26" s="99"/>
      <c r="R26" s="99"/>
      <c r="S26" s="99"/>
      <c r="T26" s="121">
        <f t="shared" si="0"/>
        <v>0</v>
      </c>
    </row>
    <row r="27" spans="1:20" ht="24" customHeight="1">
      <c r="A27" s="386">
        <v>22205</v>
      </c>
      <c r="B27" s="99" t="s">
        <v>213</v>
      </c>
      <c r="C27" s="99">
        <v>36000000</v>
      </c>
      <c r="D27" s="99">
        <f>93221000+18000+300000</f>
        <v>93539000</v>
      </c>
      <c r="E27" s="99">
        <v>82800000</v>
      </c>
      <c r="F27" s="99">
        <v>297500000</v>
      </c>
      <c r="G27" s="99">
        <v>0</v>
      </c>
      <c r="H27" s="99">
        <v>281600000</v>
      </c>
      <c r="I27" s="99">
        <v>0</v>
      </c>
      <c r="J27" s="99">
        <v>200000000</v>
      </c>
      <c r="K27" s="99"/>
      <c r="L27" s="99">
        <v>1029600000</v>
      </c>
      <c r="M27" s="99">
        <v>900000000</v>
      </c>
      <c r="N27" s="99">
        <f>M27</f>
        <v>900000000</v>
      </c>
      <c r="O27" s="99"/>
      <c r="P27" s="99">
        <v>900000000</v>
      </c>
      <c r="Q27" s="99">
        <v>1000000000</v>
      </c>
      <c r="R27" s="99">
        <v>1000000000</v>
      </c>
      <c r="S27" s="99">
        <v>1500000000</v>
      </c>
      <c r="T27" s="121">
        <f t="shared" si="0"/>
        <v>500000000</v>
      </c>
    </row>
    <row r="28" spans="1:20" ht="24" customHeight="1">
      <c r="A28" s="386">
        <v>22207</v>
      </c>
      <c r="B28" s="99" t="s">
        <v>376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>
        <v>0</v>
      </c>
      <c r="N28" s="99">
        <v>972000000</v>
      </c>
      <c r="O28" s="99"/>
      <c r="P28" s="99">
        <v>972000000</v>
      </c>
      <c r="Q28" s="99">
        <v>972000000</v>
      </c>
      <c r="R28" s="99">
        <v>972000000</v>
      </c>
      <c r="S28" s="99">
        <v>972000000</v>
      </c>
      <c r="T28" s="121">
        <f t="shared" si="0"/>
        <v>0</v>
      </c>
    </row>
    <row r="29" spans="1:20" ht="24" customHeight="1">
      <c r="A29" s="386">
        <v>22209</v>
      </c>
      <c r="B29" s="99" t="s">
        <v>563</v>
      </c>
      <c r="C29" s="99"/>
      <c r="D29" s="99"/>
      <c r="E29" s="99"/>
      <c r="F29" s="99"/>
      <c r="G29" s="99"/>
      <c r="H29" s="99"/>
      <c r="I29" s="99"/>
      <c r="J29" s="99"/>
      <c r="K29" s="99"/>
      <c r="L29" s="99">
        <v>60000000</v>
      </c>
      <c r="M29" s="99">
        <f>160000000+100000000</f>
        <v>260000000</v>
      </c>
      <c r="N29" s="99">
        <v>1940199628</v>
      </c>
      <c r="O29" s="99"/>
      <c r="P29" s="99">
        <v>1940199628</v>
      </c>
      <c r="Q29" s="99">
        <v>2900000000</v>
      </c>
      <c r="R29" s="99">
        <v>3000000000</v>
      </c>
      <c r="S29" s="99">
        <v>3000000000</v>
      </c>
      <c r="T29" s="121">
        <f t="shared" si="0"/>
        <v>0</v>
      </c>
    </row>
    <row r="30" spans="1:20" ht="24" customHeight="1">
      <c r="A30" s="386">
        <v>22208</v>
      </c>
      <c r="B30" s="99" t="s">
        <v>646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>
        <v>0</v>
      </c>
      <c r="R30" s="99">
        <v>527904000</v>
      </c>
      <c r="S30" s="99">
        <v>299520000</v>
      </c>
      <c r="T30" s="121">
        <f t="shared" si="0"/>
        <v>-228384000</v>
      </c>
    </row>
    <row r="31" spans="1:20" ht="24" customHeight="1">
      <c r="A31" s="386">
        <v>22211</v>
      </c>
      <c r="B31" s="99" t="s">
        <v>214</v>
      </c>
      <c r="C31" s="99">
        <v>20624396</v>
      </c>
      <c r="D31" s="99">
        <v>24651000</v>
      </c>
      <c r="E31" s="99">
        <v>24651000</v>
      </c>
      <c r="F31" s="99">
        <f>24651000+1711500</f>
        <v>26362500</v>
      </c>
      <c r="G31" s="99">
        <v>21089600</v>
      </c>
      <c r="H31" s="99">
        <v>26362000</v>
      </c>
      <c r="I31" s="99">
        <v>19364418</v>
      </c>
      <c r="J31" s="99">
        <v>19364418</v>
      </c>
      <c r="K31" s="99">
        <v>189000000</v>
      </c>
      <c r="L31" s="99">
        <v>410400000</v>
      </c>
      <c r="M31" s="99">
        <f>570000000</f>
        <v>570000000</v>
      </c>
      <c r="N31" s="99">
        <v>900000000</v>
      </c>
      <c r="O31" s="99"/>
      <c r="P31" s="99">
        <v>900000000</v>
      </c>
      <c r="Q31" s="99">
        <v>1100000000</v>
      </c>
      <c r="R31" s="99">
        <v>1100000000</v>
      </c>
      <c r="S31" s="99">
        <v>1500000000</v>
      </c>
      <c r="T31" s="121">
        <f t="shared" si="0"/>
        <v>400000000</v>
      </c>
    </row>
    <row r="32" spans="1:20" ht="24" customHeight="1">
      <c r="A32" s="386">
        <v>22213</v>
      </c>
      <c r="B32" s="99" t="s">
        <v>575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>
        <v>0</v>
      </c>
      <c r="N32" s="99">
        <v>276000000</v>
      </c>
      <c r="O32" s="99"/>
      <c r="P32" s="99">
        <v>0</v>
      </c>
      <c r="Q32" s="99">
        <v>6000000000</v>
      </c>
      <c r="R32" s="99">
        <v>6000000000</v>
      </c>
      <c r="S32" s="99">
        <v>3000000000</v>
      </c>
      <c r="T32" s="121">
        <f t="shared" si="0"/>
        <v>-3000000000</v>
      </c>
    </row>
    <row r="33" spans="1:20" ht="24" customHeight="1">
      <c r="A33" s="386"/>
      <c r="B33" s="125" t="s">
        <v>59</v>
      </c>
      <c r="C33" s="125">
        <f t="shared" ref="C33:J33" si="1">SUM(C27:C31)</f>
        <v>56624396</v>
      </c>
      <c r="D33" s="125">
        <f t="shared" si="1"/>
        <v>118190000</v>
      </c>
      <c r="E33" s="125">
        <f t="shared" si="1"/>
        <v>107451000</v>
      </c>
      <c r="F33" s="125">
        <f t="shared" si="1"/>
        <v>323862500</v>
      </c>
      <c r="G33" s="125">
        <f t="shared" si="1"/>
        <v>21089600</v>
      </c>
      <c r="H33" s="125">
        <f t="shared" si="1"/>
        <v>307962000</v>
      </c>
      <c r="I33" s="125">
        <f t="shared" si="1"/>
        <v>19364418</v>
      </c>
      <c r="J33" s="125">
        <f t="shared" si="1"/>
        <v>219364418</v>
      </c>
      <c r="K33" s="99">
        <v>26205043</v>
      </c>
      <c r="L33" s="125">
        <f>SUM(L27:L31)</f>
        <v>1500000000</v>
      </c>
      <c r="M33" s="125">
        <f>SUM(M27:M31)</f>
        <v>1730000000</v>
      </c>
      <c r="N33" s="125">
        <f>SUM(N27:N32)</f>
        <v>4988199628</v>
      </c>
      <c r="O33" s="125"/>
      <c r="P33" s="125">
        <f>SUM(P27:P32)</f>
        <v>4712199628</v>
      </c>
      <c r="Q33" s="125">
        <f>SUM(Q27:Q32)</f>
        <v>11972000000</v>
      </c>
      <c r="R33" s="125">
        <f>SUM(R27:R32)</f>
        <v>12599904000</v>
      </c>
      <c r="S33" s="125">
        <f>SUM(S27:S32)</f>
        <v>10271520000</v>
      </c>
      <c r="T33" s="397">
        <f t="shared" si="0"/>
        <v>-2328384000</v>
      </c>
    </row>
    <row r="34" spans="1:20" ht="24" customHeight="1">
      <c r="A34" s="385">
        <v>2310</v>
      </c>
      <c r="B34" s="125" t="s">
        <v>729</v>
      </c>
      <c r="C34" s="125"/>
      <c r="D34" s="125"/>
      <c r="E34" s="125"/>
      <c r="F34" s="125"/>
      <c r="G34" s="125"/>
      <c r="H34" s="125"/>
      <c r="I34" s="125"/>
      <c r="J34" s="125"/>
      <c r="K34" s="99"/>
      <c r="L34" s="125"/>
      <c r="M34" s="125"/>
      <c r="N34" s="125"/>
      <c r="O34" s="125"/>
      <c r="P34" s="125"/>
      <c r="Q34" s="125"/>
      <c r="R34" s="125"/>
      <c r="S34" s="125"/>
      <c r="T34" s="121">
        <f t="shared" si="0"/>
        <v>0</v>
      </c>
    </row>
    <row r="35" spans="1:20" ht="24" customHeight="1">
      <c r="A35" s="386">
        <v>23102</v>
      </c>
      <c r="B35" s="99" t="s">
        <v>752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>
        <v>0</v>
      </c>
      <c r="Q35" s="99">
        <v>1800000000</v>
      </c>
      <c r="R35" s="99">
        <v>600000000</v>
      </c>
      <c r="S35" s="99">
        <v>600000000</v>
      </c>
      <c r="T35" s="121">
        <f t="shared" si="0"/>
        <v>0</v>
      </c>
    </row>
    <row r="36" spans="1:20" ht="24" customHeight="1">
      <c r="A36" s="386">
        <v>23105</v>
      </c>
      <c r="B36" s="99" t="s">
        <v>912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>
        <v>0</v>
      </c>
      <c r="S36" s="99">
        <v>280000000</v>
      </c>
      <c r="T36" s="121">
        <f t="shared" si="0"/>
        <v>280000000</v>
      </c>
    </row>
    <row r="37" spans="1:20" ht="24" customHeight="1">
      <c r="A37" s="386">
        <v>23106</v>
      </c>
      <c r="B37" s="99" t="s">
        <v>745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>
        <v>3158000000</v>
      </c>
      <c r="Q37" s="99">
        <v>7200000000</v>
      </c>
      <c r="R37" s="99">
        <v>1600000000</v>
      </c>
      <c r="S37" s="99">
        <v>2000000000</v>
      </c>
      <c r="T37" s="121">
        <f t="shared" si="0"/>
        <v>400000000</v>
      </c>
    </row>
    <row r="38" spans="1:20" ht="24" customHeight="1">
      <c r="A38" s="386">
        <v>23107</v>
      </c>
      <c r="B38" s="99" t="s">
        <v>746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>
        <v>0</v>
      </c>
      <c r="R38" s="99">
        <v>1000000000</v>
      </c>
      <c r="S38" s="99">
        <v>2000000000</v>
      </c>
      <c r="T38" s="121">
        <f t="shared" si="0"/>
        <v>1000000000</v>
      </c>
    </row>
    <row r="39" spans="1:20" ht="24" customHeight="1">
      <c r="A39" s="386">
        <v>23108</v>
      </c>
      <c r="B39" s="99" t="s">
        <v>747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>
        <v>300000000</v>
      </c>
      <c r="S39" s="99">
        <v>300000000</v>
      </c>
      <c r="T39" s="121">
        <f t="shared" si="0"/>
        <v>0</v>
      </c>
    </row>
    <row r="40" spans="1:20" ht="24" customHeight="1">
      <c r="A40" s="386">
        <v>23109</v>
      </c>
      <c r="B40" s="99" t="s">
        <v>748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>
        <v>0</v>
      </c>
      <c r="R40" s="99">
        <v>600000000</v>
      </c>
      <c r="S40" s="99">
        <v>700000000</v>
      </c>
      <c r="T40" s="121">
        <f t="shared" si="0"/>
        <v>100000000</v>
      </c>
    </row>
    <row r="41" spans="1:20" ht="24" customHeight="1">
      <c r="A41" s="386"/>
      <c r="B41" s="125" t="s">
        <v>59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25">
        <f>SUM(P35:P39)</f>
        <v>3158000000</v>
      </c>
      <c r="Q41" s="125">
        <f>SUM(Q35:Q40)</f>
        <v>9000000000</v>
      </c>
      <c r="R41" s="125">
        <f>SUM(R35:R40)</f>
        <v>4100000000</v>
      </c>
      <c r="S41" s="125">
        <f>SUM(S35:S40)</f>
        <v>5880000000</v>
      </c>
      <c r="T41" s="397">
        <f t="shared" si="0"/>
        <v>1780000000</v>
      </c>
    </row>
    <row r="42" spans="1:20" ht="24" customHeight="1">
      <c r="A42" s="385">
        <v>2320</v>
      </c>
      <c r="B42" s="125" t="s">
        <v>88</v>
      </c>
      <c r="C42" s="99"/>
      <c r="D42" s="99"/>
      <c r="E42" s="99" t="s">
        <v>4</v>
      </c>
      <c r="F42" s="99">
        <v>0</v>
      </c>
      <c r="G42" s="99">
        <v>0</v>
      </c>
      <c r="H42" s="99">
        <v>0</v>
      </c>
      <c r="I42" s="99">
        <v>0</v>
      </c>
      <c r="J42" s="99"/>
      <c r="K42" s="99">
        <v>1000000000</v>
      </c>
      <c r="L42" s="99"/>
      <c r="M42" s="99"/>
      <c r="N42" s="99"/>
      <c r="O42" s="99"/>
      <c r="P42" s="99"/>
      <c r="Q42" s="99"/>
      <c r="R42" s="99"/>
      <c r="S42" s="99"/>
      <c r="T42" s="121">
        <f t="shared" si="0"/>
        <v>0</v>
      </c>
    </row>
    <row r="43" spans="1:20" ht="24" customHeight="1">
      <c r="A43" s="386">
        <v>23201</v>
      </c>
      <c r="B43" s="99" t="s">
        <v>372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>
        <v>0</v>
      </c>
      <c r="R43" s="99">
        <v>6700000000</v>
      </c>
      <c r="S43" s="99">
        <v>6700000000</v>
      </c>
      <c r="T43" s="121">
        <f t="shared" ref="T43" si="2">S43-R43</f>
        <v>0</v>
      </c>
    </row>
    <row r="44" spans="1:20" ht="24" customHeight="1">
      <c r="A44" s="386">
        <v>23202</v>
      </c>
      <c r="B44" s="99" t="s">
        <v>911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>
        <v>2300000000</v>
      </c>
      <c r="Q44" s="99">
        <v>13200000000</v>
      </c>
      <c r="R44" s="99">
        <v>24000000000</v>
      </c>
      <c r="S44" s="99">
        <v>24000000000</v>
      </c>
      <c r="T44" s="121">
        <f>S44-R44</f>
        <v>0</v>
      </c>
    </row>
    <row r="45" spans="1:20" ht="24" customHeight="1">
      <c r="A45" s="386">
        <v>23203</v>
      </c>
      <c r="B45" s="99" t="s">
        <v>985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>
        <v>2400000000</v>
      </c>
      <c r="R45" s="99">
        <v>3000000000</v>
      </c>
      <c r="S45" s="99">
        <v>7000000000</v>
      </c>
      <c r="T45" s="121">
        <f t="shared" si="0"/>
        <v>4000000000</v>
      </c>
    </row>
    <row r="46" spans="1:20" ht="24" customHeight="1">
      <c r="A46" s="386">
        <v>23204</v>
      </c>
      <c r="B46" s="99" t="s">
        <v>894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>
        <v>0</v>
      </c>
      <c r="S46" s="99">
        <v>1530000000</v>
      </c>
      <c r="T46" s="121">
        <f t="shared" si="0"/>
        <v>1530000000</v>
      </c>
    </row>
    <row r="47" spans="1:20" ht="24" customHeight="1">
      <c r="A47" s="386">
        <v>23205</v>
      </c>
      <c r="B47" s="99" t="s">
        <v>846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0</v>
      </c>
      <c r="S47" s="99">
        <v>1400000000</v>
      </c>
      <c r="T47" s="121">
        <f t="shared" si="0"/>
        <v>1400000000</v>
      </c>
    </row>
    <row r="48" spans="1:20" ht="24" customHeight="1">
      <c r="A48" s="386"/>
      <c r="B48" s="125" t="s">
        <v>59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25">
        <f>SUM(P44:P45)</f>
        <v>2300000000</v>
      </c>
      <c r="Q48" s="125">
        <f>SUM(Q44:Q45)</f>
        <v>15600000000</v>
      </c>
      <c r="R48" s="125">
        <f>SUM(R43:R47)</f>
        <v>33700000000</v>
      </c>
      <c r="S48" s="125">
        <f>SUM(S43:S47)</f>
        <v>40630000000</v>
      </c>
      <c r="T48" s="397">
        <f>S48-R48</f>
        <v>6930000000</v>
      </c>
    </row>
    <row r="49" spans="1:20" ht="24" customHeight="1">
      <c r="A49" s="389">
        <v>2630</v>
      </c>
      <c r="B49" s="390" t="s">
        <v>306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21">
        <f t="shared" si="0"/>
        <v>0</v>
      </c>
    </row>
    <row r="50" spans="1:20" ht="24" customHeight="1">
      <c r="A50" s="386">
        <v>26301</v>
      </c>
      <c r="B50" s="99" t="s">
        <v>555</v>
      </c>
      <c r="C50" s="125"/>
      <c r="D50" s="125"/>
      <c r="E50" s="125"/>
      <c r="F50" s="125"/>
      <c r="G50" s="125"/>
      <c r="H50" s="125"/>
      <c r="I50" s="125"/>
      <c r="J50" s="125"/>
      <c r="K50" s="99"/>
      <c r="L50" s="99">
        <v>1000000000</v>
      </c>
      <c r="M50" s="99">
        <f>700000000+300000000</f>
        <v>1000000000</v>
      </c>
      <c r="N50" s="99">
        <v>1050000000</v>
      </c>
      <c r="O50" s="99"/>
      <c r="P50" s="99">
        <v>540000000</v>
      </c>
      <c r="Q50" s="99">
        <v>1080000000</v>
      </c>
      <c r="R50" s="99">
        <v>1728000000</v>
      </c>
      <c r="S50" s="99">
        <v>2592000000</v>
      </c>
      <c r="T50" s="121">
        <f t="shared" si="0"/>
        <v>864000000</v>
      </c>
    </row>
    <row r="51" spans="1:20" ht="24" customHeight="1">
      <c r="A51" s="386">
        <v>26302</v>
      </c>
      <c r="B51" s="99" t="s">
        <v>422</v>
      </c>
      <c r="C51" s="125"/>
      <c r="D51" s="125"/>
      <c r="E51" s="125"/>
      <c r="F51" s="125"/>
      <c r="G51" s="125"/>
      <c r="H51" s="125"/>
      <c r="I51" s="125"/>
      <c r="J51" s="125"/>
      <c r="K51" s="99"/>
      <c r="L51" s="99"/>
      <c r="M51" s="99">
        <v>0</v>
      </c>
      <c r="N51" s="99">
        <v>410000000</v>
      </c>
      <c r="O51" s="99"/>
      <c r="P51" s="99">
        <v>410000000</v>
      </c>
      <c r="Q51" s="99">
        <v>600000000</v>
      </c>
      <c r="R51" s="99">
        <v>600000000</v>
      </c>
      <c r="S51" s="99">
        <v>800000000</v>
      </c>
      <c r="T51" s="121">
        <f t="shared" si="0"/>
        <v>200000000</v>
      </c>
    </row>
    <row r="52" spans="1:20" ht="24" customHeight="1">
      <c r="A52" s="386">
        <v>26303</v>
      </c>
      <c r="B52" s="99" t="s">
        <v>652</v>
      </c>
      <c r="C52" s="125"/>
      <c r="D52" s="125"/>
      <c r="E52" s="125"/>
      <c r="F52" s="125"/>
      <c r="G52" s="125"/>
      <c r="H52" s="125"/>
      <c r="I52" s="125"/>
      <c r="J52" s="125"/>
      <c r="K52" s="99"/>
      <c r="L52" s="99"/>
      <c r="M52" s="99"/>
      <c r="N52" s="99"/>
      <c r="O52" s="99"/>
      <c r="P52" s="99"/>
      <c r="Q52" s="99">
        <v>0</v>
      </c>
      <c r="R52" s="99">
        <v>300000000</v>
      </c>
      <c r="S52" s="99">
        <v>300000000</v>
      </c>
      <c r="T52" s="121">
        <f t="shared" si="0"/>
        <v>0</v>
      </c>
    </row>
    <row r="53" spans="1:20" ht="24" customHeight="1">
      <c r="A53" s="386">
        <v>26304</v>
      </c>
      <c r="B53" s="99" t="s">
        <v>403</v>
      </c>
      <c r="C53" s="125"/>
      <c r="D53" s="125"/>
      <c r="E53" s="125"/>
      <c r="F53" s="125"/>
      <c r="G53" s="125"/>
      <c r="H53" s="125"/>
      <c r="I53" s="125"/>
      <c r="J53" s="125"/>
      <c r="K53" s="99"/>
      <c r="L53" s="99"/>
      <c r="M53" s="99"/>
      <c r="N53" s="99"/>
      <c r="O53" s="99"/>
      <c r="P53" s="99"/>
      <c r="Q53" s="99">
        <v>0</v>
      </c>
      <c r="R53" s="99">
        <v>1000000000</v>
      </c>
      <c r="S53" s="99">
        <v>3000000000</v>
      </c>
      <c r="T53" s="121">
        <f t="shared" si="0"/>
        <v>2000000000</v>
      </c>
    </row>
    <row r="54" spans="1:20" ht="24" customHeight="1">
      <c r="A54" s="386">
        <v>26305</v>
      </c>
      <c r="B54" s="99" t="s">
        <v>847</v>
      </c>
      <c r="C54" s="125"/>
      <c r="D54" s="125"/>
      <c r="E54" s="125"/>
      <c r="F54" s="125"/>
      <c r="G54" s="125"/>
      <c r="H54" s="125"/>
      <c r="I54" s="125"/>
      <c r="J54" s="125"/>
      <c r="K54" s="99"/>
      <c r="L54" s="99"/>
      <c r="M54" s="99"/>
      <c r="N54" s="99"/>
      <c r="O54" s="99"/>
      <c r="P54" s="99"/>
      <c r="Q54" s="99"/>
      <c r="R54" s="99"/>
      <c r="S54" s="99">
        <v>1300000000</v>
      </c>
      <c r="T54" s="121">
        <f t="shared" si="0"/>
        <v>1300000000</v>
      </c>
    </row>
    <row r="55" spans="1:20" ht="24" customHeight="1">
      <c r="A55" s="386">
        <v>26306</v>
      </c>
      <c r="B55" s="99" t="s">
        <v>960</v>
      </c>
      <c r="C55" s="125"/>
      <c r="D55" s="125"/>
      <c r="E55" s="125"/>
      <c r="F55" s="125"/>
      <c r="G55" s="125"/>
      <c r="H55" s="125"/>
      <c r="I55" s="125"/>
      <c r="J55" s="125"/>
      <c r="K55" s="99"/>
      <c r="L55" s="99"/>
      <c r="M55" s="99"/>
      <c r="N55" s="99"/>
      <c r="O55" s="99"/>
      <c r="P55" s="99"/>
      <c r="Q55" s="99"/>
      <c r="R55" s="99">
        <v>0</v>
      </c>
      <c r="S55" s="99">
        <v>600000000</v>
      </c>
      <c r="T55" s="121">
        <f t="shared" si="0"/>
        <v>600000000</v>
      </c>
    </row>
    <row r="56" spans="1:20" ht="24" customHeight="1">
      <c r="A56" s="386">
        <v>26307</v>
      </c>
      <c r="B56" s="99" t="s">
        <v>901</v>
      </c>
      <c r="C56" s="125"/>
      <c r="D56" s="125"/>
      <c r="E56" s="125"/>
      <c r="F56" s="125"/>
      <c r="G56" s="125"/>
      <c r="H56" s="125"/>
      <c r="I56" s="125"/>
      <c r="J56" s="125"/>
      <c r="K56" s="99"/>
      <c r="L56" s="99"/>
      <c r="M56" s="99"/>
      <c r="N56" s="99"/>
      <c r="O56" s="99"/>
      <c r="P56" s="99"/>
      <c r="Q56" s="99"/>
      <c r="R56" s="99">
        <v>0</v>
      </c>
      <c r="S56" s="99">
        <v>1200000000</v>
      </c>
      <c r="T56" s="121">
        <f t="shared" si="0"/>
        <v>1200000000</v>
      </c>
    </row>
    <row r="57" spans="1:20" ht="24" customHeight="1">
      <c r="A57" s="386"/>
      <c r="B57" s="125" t="s">
        <v>59</v>
      </c>
      <c r="C57" s="99"/>
      <c r="D57" s="99"/>
      <c r="E57" s="99"/>
      <c r="F57" s="99"/>
      <c r="G57" s="99"/>
      <c r="H57" s="99"/>
      <c r="I57" s="99"/>
      <c r="J57" s="125">
        <f>SUM(J50)</f>
        <v>0</v>
      </c>
      <c r="K57" s="125">
        <f>SUM(K50)</f>
        <v>0</v>
      </c>
      <c r="L57" s="125">
        <f>SUM(L50)</f>
        <v>1000000000</v>
      </c>
      <c r="M57" s="125">
        <f>SUM(M50)</f>
        <v>1000000000</v>
      </c>
      <c r="N57" s="125">
        <f>SUM(N50:N51)</f>
        <v>1460000000</v>
      </c>
      <c r="O57" s="125"/>
      <c r="P57" s="125">
        <f>SUM(P50:P51)</f>
        <v>950000000</v>
      </c>
      <c r="Q57" s="125">
        <f>SUM(Q50:Q53)</f>
        <v>1680000000</v>
      </c>
      <c r="R57" s="125">
        <f>SUM(R50:R53)</f>
        <v>3628000000</v>
      </c>
      <c r="S57" s="125">
        <f>SUM(S50:S56)</f>
        <v>9792000000</v>
      </c>
      <c r="T57" s="397">
        <f t="shared" si="0"/>
        <v>6164000000</v>
      </c>
    </row>
    <row r="58" spans="1:20" ht="24" customHeight="1">
      <c r="A58" s="386">
        <v>27401</v>
      </c>
      <c r="B58" s="99" t="s">
        <v>415</v>
      </c>
      <c r="C58" s="99"/>
      <c r="D58" s="99"/>
      <c r="E58" s="99"/>
      <c r="F58" s="99"/>
      <c r="G58" s="99"/>
      <c r="H58" s="99"/>
      <c r="I58" s="99"/>
      <c r="J58" s="125"/>
      <c r="K58" s="125"/>
      <c r="L58" s="125"/>
      <c r="M58" s="125"/>
      <c r="N58" s="125">
        <v>40836096697</v>
      </c>
      <c r="O58" s="125"/>
      <c r="P58" s="99">
        <v>40836096697</v>
      </c>
      <c r="Q58" s="99">
        <v>2039602385</v>
      </c>
      <c r="R58" s="99">
        <v>6273987760</v>
      </c>
      <c r="S58" s="99">
        <v>12488257180</v>
      </c>
      <c r="T58" s="121">
        <f t="shared" si="0"/>
        <v>6214269420</v>
      </c>
    </row>
    <row r="59" spans="1:20" ht="24" customHeight="1">
      <c r="A59" s="386">
        <v>27402</v>
      </c>
      <c r="B59" s="99" t="s">
        <v>589</v>
      </c>
      <c r="C59" s="99"/>
      <c r="D59" s="99"/>
      <c r="E59" s="99"/>
      <c r="F59" s="99"/>
      <c r="G59" s="99"/>
      <c r="H59" s="99"/>
      <c r="I59" s="99"/>
      <c r="J59" s="125"/>
      <c r="K59" s="125"/>
      <c r="L59" s="125"/>
      <c r="M59" s="125"/>
      <c r="N59" s="125"/>
      <c r="O59" s="125"/>
      <c r="P59" s="99">
        <v>0</v>
      </c>
      <c r="Q59" s="99">
        <v>24000000000</v>
      </c>
      <c r="R59" s="99">
        <v>24000000000</v>
      </c>
      <c r="S59" s="99">
        <v>25842000000</v>
      </c>
      <c r="T59" s="121">
        <f t="shared" si="0"/>
        <v>1842000000</v>
      </c>
    </row>
    <row r="60" spans="1:20" ht="24" customHeight="1">
      <c r="A60" s="386">
        <v>27403</v>
      </c>
      <c r="B60" s="99" t="s">
        <v>590</v>
      </c>
      <c r="C60" s="99"/>
      <c r="D60" s="99"/>
      <c r="E60" s="99"/>
      <c r="F60" s="99"/>
      <c r="G60" s="99"/>
      <c r="H60" s="99"/>
      <c r="I60" s="99"/>
      <c r="J60" s="125"/>
      <c r="K60" s="125"/>
      <c r="L60" s="125"/>
      <c r="M60" s="125"/>
      <c r="N60" s="125"/>
      <c r="O60" s="125"/>
      <c r="P60" s="99">
        <v>0</v>
      </c>
      <c r="Q60" s="99">
        <v>8000000000</v>
      </c>
      <c r="R60" s="99">
        <v>8500000000</v>
      </c>
      <c r="S60" s="99">
        <v>12000000000</v>
      </c>
      <c r="T60" s="121">
        <f t="shared" si="0"/>
        <v>3500000000</v>
      </c>
    </row>
    <row r="61" spans="1:20" ht="24" customHeight="1">
      <c r="A61" s="386">
        <v>27404</v>
      </c>
      <c r="B61" s="99" t="s">
        <v>612</v>
      </c>
      <c r="C61" s="99"/>
      <c r="D61" s="99"/>
      <c r="E61" s="99"/>
      <c r="F61" s="99"/>
      <c r="G61" s="99"/>
      <c r="H61" s="99"/>
      <c r="I61" s="99"/>
      <c r="J61" s="125"/>
      <c r="K61" s="125"/>
      <c r="L61" s="125"/>
      <c r="M61" s="125"/>
      <c r="N61" s="125"/>
      <c r="O61" s="125"/>
      <c r="P61" s="99"/>
      <c r="Q61" s="99">
        <v>0</v>
      </c>
      <c r="R61" s="99">
        <v>1036800000</v>
      </c>
      <c r="S61" s="99">
        <v>1036800000</v>
      </c>
      <c r="T61" s="121">
        <f t="shared" si="0"/>
        <v>0</v>
      </c>
    </row>
    <row r="62" spans="1:20" ht="24" customHeight="1">
      <c r="A62" s="386">
        <v>27405</v>
      </c>
      <c r="B62" s="99" t="s">
        <v>848</v>
      </c>
      <c r="C62" s="99"/>
      <c r="D62" s="99"/>
      <c r="E62" s="99"/>
      <c r="F62" s="99"/>
      <c r="G62" s="99"/>
      <c r="H62" s="99"/>
      <c r="I62" s="99"/>
      <c r="J62" s="125"/>
      <c r="K62" s="125"/>
      <c r="L62" s="125"/>
      <c r="M62" s="125"/>
      <c r="N62" s="125"/>
      <c r="O62" s="125"/>
      <c r="P62" s="99"/>
      <c r="Q62" s="99"/>
      <c r="R62" s="99">
        <v>0</v>
      </c>
      <c r="S62" s="99">
        <v>18000000000</v>
      </c>
      <c r="T62" s="121">
        <f t="shared" si="0"/>
        <v>18000000000</v>
      </c>
    </row>
    <row r="63" spans="1:20" ht="24" customHeight="1">
      <c r="A63" s="385"/>
      <c r="B63" s="125" t="s">
        <v>59</v>
      </c>
      <c r="C63" s="99"/>
      <c r="D63" s="99"/>
      <c r="E63" s="99"/>
      <c r="F63" s="99"/>
      <c r="G63" s="99"/>
      <c r="H63" s="99"/>
      <c r="I63" s="99"/>
      <c r="J63" s="125"/>
      <c r="K63" s="125"/>
      <c r="L63" s="125"/>
      <c r="M63" s="125"/>
      <c r="N63" s="125"/>
      <c r="O63" s="125"/>
      <c r="P63" s="125"/>
      <c r="Q63" s="125"/>
      <c r="R63" s="125">
        <f>SUM(R58:R62)</f>
        <v>39810787760</v>
      </c>
      <c r="S63" s="125">
        <f>SUM(S58:S62)</f>
        <v>69367057180</v>
      </c>
      <c r="T63" s="121">
        <f t="shared" si="0"/>
        <v>29556269420</v>
      </c>
    </row>
    <row r="64" spans="1:20" ht="24" customHeight="1">
      <c r="A64" s="391"/>
      <c r="B64" s="147" t="s">
        <v>61</v>
      </c>
      <c r="C64" s="147"/>
      <c r="D64" s="147"/>
      <c r="E64" s="147"/>
      <c r="F64" s="125">
        <v>6556984977</v>
      </c>
      <c r="G64" s="125"/>
      <c r="H64" s="125"/>
      <c r="I64" s="125"/>
      <c r="J64" s="125"/>
      <c r="K64" s="125"/>
      <c r="L64" s="125" t="e">
        <f>L57+#REF!+#REF!+#REF!+L33+L25+#REF!</f>
        <v>#REF!</v>
      </c>
      <c r="M64" s="125" t="e">
        <f>M57+#REF!+#REF!+#REF!+M33+M25+#REF!</f>
        <v>#REF!</v>
      </c>
      <c r="N64" s="125" t="e">
        <f>N57+#REF!+#REF!+#REF!+N33+N25+#REF!+N58</f>
        <v>#REF!</v>
      </c>
      <c r="O64" s="125"/>
      <c r="P64" s="125">
        <f>P58+P57+P33+P25+P48+P41</f>
        <v>66602121075</v>
      </c>
      <c r="Q64" s="125" t="e">
        <f>Q57+Q33+Q25+Q48+Q41+#REF!</f>
        <v>#REF!</v>
      </c>
      <c r="R64" s="125">
        <f>R63+R57+R48+R41+R33+R25+R6</f>
        <v>165327174774</v>
      </c>
      <c r="S64" s="125">
        <f>S63+S57+S48+S41+S33+S25+S6</f>
        <v>236252838246</v>
      </c>
      <c r="T64" s="397">
        <f t="shared" si="0"/>
        <v>70925663472</v>
      </c>
    </row>
  </sheetData>
  <pageMargins left="0.7" right="0.7" top="1.18" bottom="0.75" header="0.3" footer="0.3"/>
  <pageSetup scale="40" orientation="portrait" r:id="rId1"/>
  <headerFooter>
    <oddHeader>&amp;C&amp;"Algerian,Bold"&amp;36KHASNADA GUUD EE QARANKA</oddHeader>
    <oddFooter>&amp;R&amp;"Times New Roman,Bold"&amp;18 30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"/>
  <dimension ref="A1:IY2438"/>
  <sheetViews>
    <sheetView view="pageBreakPreview" topLeftCell="A34" zoomScale="60" zoomScaleNormal="60" zoomScalePageLayoutView="70" workbookViewId="0">
      <selection activeCell="R18" sqref="R18"/>
    </sheetView>
  </sheetViews>
  <sheetFormatPr defaultRowHeight="29.1" customHeight="1"/>
  <cols>
    <col min="1" max="1" width="17.33203125" style="402" bestFit="1" customWidth="1"/>
    <col min="2" max="2" width="80.83203125" style="304" customWidth="1"/>
    <col min="3" max="3" width="20" style="304" hidden="1" customWidth="1"/>
    <col min="4" max="4" width="19.5" style="304" hidden="1" customWidth="1"/>
    <col min="5" max="5" width="18" style="304" hidden="1" customWidth="1"/>
    <col min="6" max="7" width="19.5" style="304" hidden="1" customWidth="1"/>
    <col min="8" max="8" width="0.6640625" style="304" hidden="1" customWidth="1"/>
    <col min="9" max="9" width="19.5" style="304" hidden="1" customWidth="1"/>
    <col min="10" max="10" width="21" style="304" hidden="1" customWidth="1"/>
    <col min="11" max="11" width="2.33203125" style="304" hidden="1" customWidth="1"/>
    <col min="12" max="12" width="23.1640625" style="304" hidden="1" customWidth="1"/>
    <col min="13" max="13" width="25.1640625" style="304" hidden="1" customWidth="1"/>
    <col min="14" max="14" width="27.6640625" style="304" hidden="1" customWidth="1"/>
    <col min="15" max="15" width="0.1640625" style="304" customWidth="1"/>
    <col min="16" max="16" width="29.5" style="273" bestFit="1" customWidth="1"/>
    <col min="17" max="17" width="29" style="273" customWidth="1"/>
    <col min="18" max="18" width="28" style="304" bestFit="1" customWidth="1"/>
    <col min="19" max="19" width="18" style="304" customWidth="1"/>
    <col min="20" max="20" width="17.33203125" style="304" customWidth="1"/>
    <col min="21" max="16384" width="9.33203125" style="304"/>
  </cols>
  <sheetData>
    <row r="1" spans="1:259" ht="29.1" customHeight="1">
      <c r="A1" s="353" t="s">
        <v>21</v>
      </c>
      <c r="B1" s="354" t="s">
        <v>787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06"/>
      <c r="Q1" s="106"/>
      <c r="R1" s="399"/>
    </row>
    <row r="2" spans="1:259" ht="29.1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75</v>
      </c>
      <c r="L2" s="256" t="s">
        <v>110</v>
      </c>
      <c r="M2" s="256" t="s">
        <v>166</v>
      </c>
      <c r="N2" s="256" t="s">
        <v>318</v>
      </c>
      <c r="O2" s="256" t="s">
        <v>538</v>
      </c>
      <c r="P2" s="256" t="s">
        <v>607</v>
      </c>
      <c r="Q2" s="256" t="s">
        <v>722</v>
      </c>
      <c r="R2" s="112" t="s">
        <v>34</v>
      </c>
    </row>
    <row r="3" spans="1:259" ht="29.1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399"/>
    </row>
    <row r="4" spans="1:259" ht="29.1" customHeight="1">
      <c r="A4" s="169">
        <v>21101</v>
      </c>
      <c r="B4" s="66" t="s">
        <v>9</v>
      </c>
      <c r="C4" s="118"/>
      <c r="D4" s="118"/>
      <c r="E4" s="118"/>
      <c r="F4" s="118"/>
      <c r="G4" s="118"/>
      <c r="H4" s="118"/>
      <c r="I4" s="116">
        <v>321389200</v>
      </c>
      <c r="J4" s="400">
        <f>348925200+54000000+6000000</f>
        <v>408925200</v>
      </c>
      <c r="K4" s="400">
        <f>408925200+12000000+4149600+936000-936000+1887600</f>
        <v>426962400</v>
      </c>
      <c r="L4" s="400">
        <v>731890800</v>
      </c>
      <c r="M4" s="400" t="e">
        <f>#REF!+36000000+64740000</f>
        <v>#REF!</v>
      </c>
      <c r="N4" s="400">
        <v>1285471200</v>
      </c>
      <c r="O4" s="400">
        <v>1027322400</v>
      </c>
      <c r="P4" s="400">
        <v>1403363520</v>
      </c>
      <c r="Q4" s="400">
        <v>1658779200</v>
      </c>
      <c r="R4" s="66">
        <f>Q4-P4</f>
        <v>255415680</v>
      </c>
    </row>
    <row r="5" spans="1:259" ht="29.1" customHeight="1">
      <c r="A5" s="169">
        <v>21102</v>
      </c>
      <c r="B5" s="66" t="s">
        <v>10</v>
      </c>
      <c r="C5" s="66">
        <v>7553000</v>
      </c>
      <c r="D5" s="66">
        <v>0</v>
      </c>
      <c r="E5" s="66">
        <v>0</v>
      </c>
      <c r="F5" s="66">
        <v>45000000</v>
      </c>
      <c r="G5" s="66">
        <f>F5</f>
        <v>45000000</v>
      </c>
      <c r="H5" s="66">
        <v>45000000</v>
      </c>
      <c r="I5" s="66">
        <v>0</v>
      </c>
      <c r="J5" s="70">
        <v>0</v>
      </c>
      <c r="K5" s="70">
        <v>0</v>
      </c>
      <c r="L5" s="70">
        <v>45000000</v>
      </c>
      <c r="M5" s="70">
        <f>L5*200%</f>
        <v>90000000</v>
      </c>
      <c r="N5" s="70">
        <v>187200000</v>
      </c>
      <c r="O5" s="70">
        <v>97200000</v>
      </c>
      <c r="P5" s="70">
        <v>194400000</v>
      </c>
      <c r="Q5" s="70">
        <v>194400000</v>
      </c>
      <c r="R5" s="66">
        <f t="shared" ref="R5:R43" si="0">Q5-P5</f>
        <v>0</v>
      </c>
      <c r="S5" s="401"/>
      <c r="T5" s="295"/>
      <c r="U5" s="295"/>
      <c r="V5" s="273"/>
      <c r="W5" s="273"/>
      <c r="X5" s="361"/>
      <c r="Y5" s="401"/>
      <c r="Z5" s="401"/>
      <c r="AA5" s="295"/>
      <c r="AB5" s="295"/>
      <c r="AC5" s="273"/>
      <c r="AD5" s="273"/>
      <c r="AE5" s="361"/>
      <c r="AF5" s="401"/>
      <c r="AG5" s="401"/>
      <c r="AH5" s="295"/>
      <c r="AI5" s="295"/>
      <c r="AJ5" s="273"/>
      <c r="AK5" s="273"/>
      <c r="AL5" s="361"/>
      <c r="AM5" s="401"/>
      <c r="AN5" s="401"/>
      <c r="AO5" s="295"/>
      <c r="AP5" s="295"/>
      <c r="AQ5" s="273"/>
      <c r="AR5" s="273"/>
      <c r="AS5" s="361"/>
      <c r="AT5" s="401"/>
      <c r="AU5" s="401"/>
      <c r="AV5" s="295"/>
      <c r="AW5" s="295"/>
      <c r="AX5" s="273"/>
      <c r="AY5" s="273"/>
      <c r="AZ5" s="361"/>
      <c r="BA5" s="401"/>
      <c r="BB5" s="401"/>
      <c r="BC5" s="295"/>
      <c r="BD5" s="295"/>
      <c r="BE5" s="273"/>
      <c r="BF5" s="273"/>
      <c r="BG5" s="361"/>
      <c r="BH5" s="401"/>
      <c r="BI5" s="401"/>
      <c r="BJ5" s="295"/>
      <c r="BK5" s="295"/>
      <c r="BL5" s="273"/>
      <c r="BM5" s="273"/>
      <c r="BN5" s="361"/>
      <c r="BO5" s="401"/>
      <c r="BP5" s="401"/>
      <c r="BQ5" s="295"/>
      <c r="BR5" s="295"/>
      <c r="BS5" s="273"/>
      <c r="BT5" s="273"/>
      <c r="BU5" s="361"/>
      <c r="BV5" s="401"/>
      <c r="BW5" s="401"/>
      <c r="BX5" s="295"/>
      <c r="BY5" s="295"/>
      <c r="BZ5" s="273"/>
      <c r="CA5" s="273"/>
      <c r="CB5" s="361"/>
      <c r="CC5" s="401"/>
      <c r="CD5" s="401"/>
      <c r="CE5" s="295"/>
      <c r="CF5" s="295"/>
      <c r="CG5" s="273"/>
      <c r="CH5" s="273"/>
      <c r="CI5" s="361"/>
      <c r="CJ5" s="401"/>
      <c r="CK5" s="401"/>
      <c r="CL5" s="295"/>
      <c r="CM5" s="295"/>
      <c r="CN5" s="273"/>
      <c r="CO5" s="273"/>
      <c r="CP5" s="361"/>
      <c r="CQ5" s="401"/>
      <c r="CR5" s="401"/>
      <c r="CS5" s="295"/>
      <c r="CT5" s="295"/>
      <c r="CU5" s="273"/>
      <c r="CV5" s="273"/>
      <c r="CW5" s="361"/>
      <c r="CX5" s="401"/>
      <c r="CY5" s="401"/>
      <c r="CZ5" s="295"/>
      <c r="DA5" s="295"/>
      <c r="DB5" s="273"/>
      <c r="DC5" s="273"/>
      <c r="DD5" s="361"/>
      <c r="DE5" s="401"/>
      <c r="DF5" s="401"/>
      <c r="DG5" s="295"/>
      <c r="DH5" s="295"/>
      <c r="DI5" s="273"/>
      <c r="DJ5" s="273"/>
      <c r="DK5" s="361"/>
      <c r="DL5" s="401"/>
      <c r="DM5" s="401"/>
      <c r="DN5" s="295"/>
      <c r="DO5" s="295"/>
      <c r="DP5" s="273"/>
      <c r="DQ5" s="273"/>
      <c r="DR5" s="361"/>
      <c r="DS5" s="401"/>
      <c r="DT5" s="401"/>
      <c r="DU5" s="295"/>
      <c r="DV5" s="295"/>
      <c r="DW5" s="273"/>
      <c r="DX5" s="273"/>
      <c r="DY5" s="361"/>
      <c r="DZ5" s="401"/>
      <c r="EA5" s="401"/>
      <c r="EB5" s="295"/>
      <c r="EC5" s="295"/>
      <c r="ED5" s="273"/>
      <c r="EE5" s="273"/>
      <c r="EF5" s="361"/>
      <c r="EG5" s="401"/>
      <c r="EH5" s="401"/>
      <c r="EI5" s="295"/>
      <c r="EJ5" s="295"/>
      <c r="EK5" s="273"/>
      <c r="EL5" s="273"/>
      <c r="EM5" s="361"/>
      <c r="EN5" s="401"/>
      <c r="EO5" s="401"/>
      <c r="EP5" s="295"/>
      <c r="EQ5" s="295"/>
      <c r="ER5" s="273"/>
      <c r="ES5" s="273"/>
      <c r="ET5" s="361"/>
      <c r="EU5" s="401"/>
      <c r="EV5" s="401"/>
      <c r="EW5" s="295"/>
      <c r="EX5" s="295"/>
      <c r="EY5" s="273"/>
      <c r="EZ5" s="273"/>
      <c r="FA5" s="361"/>
      <c r="FB5" s="401"/>
      <c r="FC5" s="401"/>
      <c r="FD5" s="295"/>
      <c r="FE5" s="295"/>
      <c r="FF5" s="273"/>
      <c r="FG5" s="273"/>
      <c r="FH5" s="361"/>
      <c r="FI5" s="401"/>
      <c r="FJ5" s="401"/>
      <c r="FK5" s="295"/>
      <c r="FL5" s="295"/>
      <c r="FM5" s="273"/>
      <c r="FN5" s="273"/>
      <c r="FO5" s="361"/>
      <c r="FP5" s="401"/>
      <c r="FQ5" s="401"/>
      <c r="FR5" s="295"/>
      <c r="FS5" s="295"/>
      <c r="FT5" s="273"/>
      <c r="FU5" s="273"/>
      <c r="FV5" s="361"/>
      <c r="FW5" s="401"/>
      <c r="FX5" s="401"/>
      <c r="FY5" s="295"/>
      <c r="FZ5" s="295"/>
      <c r="GA5" s="273"/>
      <c r="GB5" s="273"/>
      <c r="GC5" s="361"/>
      <c r="GD5" s="401"/>
      <c r="GE5" s="401"/>
      <c r="GF5" s="295"/>
      <c r="GG5" s="295"/>
      <c r="GH5" s="273"/>
      <c r="GI5" s="273"/>
      <c r="GJ5" s="361"/>
      <c r="GK5" s="401"/>
      <c r="GL5" s="401"/>
      <c r="GM5" s="295"/>
      <c r="GN5" s="295"/>
      <c r="GO5" s="273"/>
      <c r="GP5" s="273"/>
      <c r="GQ5" s="361"/>
      <c r="GR5" s="401"/>
      <c r="GS5" s="401"/>
      <c r="GT5" s="295"/>
      <c r="GU5" s="295"/>
      <c r="GV5" s="273"/>
      <c r="GW5" s="273"/>
      <c r="GX5" s="361"/>
      <c r="GY5" s="401"/>
      <c r="GZ5" s="401"/>
      <c r="HA5" s="295"/>
      <c r="HB5" s="295"/>
      <c r="HC5" s="273"/>
      <c r="HD5" s="273"/>
      <c r="HE5" s="361"/>
      <c r="HF5" s="401"/>
      <c r="HG5" s="401"/>
      <c r="HH5" s="295"/>
      <c r="HI5" s="295"/>
      <c r="HJ5" s="273"/>
      <c r="HK5" s="273"/>
      <c r="HL5" s="361"/>
      <c r="HM5" s="401"/>
      <c r="HN5" s="401"/>
      <c r="HO5" s="295"/>
      <c r="HP5" s="295"/>
      <c r="HQ5" s="273"/>
      <c r="HR5" s="273"/>
      <c r="HS5" s="361"/>
      <c r="HT5" s="401"/>
      <c r="HU5" s="401"/>
      <c r="HV5" s="295"/>
      <c r="HW5" s="295"/>
      <c r="HX5" s="273"/>
      <c r="HY5" s="273"/>
      <c r="HZ5" s="361"/>
      <c r="IA5" s="401"/>
      <c r="IB5" s="401"/>
      <c r="IC5" s="295"/>
      <c r="ID5" s="295"/>
      <c r="IE5" s="273"/>
      <c r="IF5" s="273"/>
      <c r="IG5" s="361"/>
      <c r="IH5" s="401"/>
      <c r="II5" s="401"/>
      <c r="IJ5" s="295"/>
      <c r="IK5" s="295"/>
      <c r="IL5" s="273"/>
      <c r="IM5" s="273"/>
      <c r="IN5" s="361"/>
      <c r="IO5" s="401"/>
      <c r="IP5" s="401"/>
      <c r="IQ5" s="295"/>
      <c r="IR5" s="295"/>
      <c r="IS5" s="273"/>
      <c r="IT5" s="273"/>
      <c r="IU5" s="361"/>
      <c r="IV5" s="401"/>
      <c r="IW5" s="401"/>
      <c r="IX5" s="295"/>
      <c r="IY5" s="295"/>
    </row>
    <row r="6" spans="1:259" ht="29.1" customHeight="1">
      <c r="A6" s="169">
        <v>21103</v>
      </c>
      <c r="B6" s="66" t="s">
        <v>11</v>
      </c>
      <c r="C6" s="66">
        <v>8400000</v>
      </c>
      <c r="D6" s="66">
        <v>10800000</v>
      </c>
      <c r="E6" s="66">
        <v>10800000</v>
      </c>
      <c r="F6" s="66">
        <v>21600000</v>
      </c>
      <c r="G6" s="66">
        <v>33288000</v>
      </c>
      <c r="H6" s="66">
        <v>33288000</v>
      </c>
      <c r="I6" s="66">
        <v>32400000</v>
      </c>
      <c r="J6" s="70">
        <f>30888000+32400000+1440000</f>
        <v>64728000</v>
      </c>
      <c r="K6" s="70">
        <f>64728000+1440000+7920000</f>
        <v>74088000</v>
      </c>
      <c r="L6" s="70">
        <v>166968000</v>
      </c>
      <c r="M6" s="70">
        <v>166968000</v>
      </c>
      <c r="N6" s="70">
        <v>231768000</v>
      </c>
      <c r="O6" s="70">
        <v>153314400</v>
      </c>
      <c r="P6" s="70">
        <v>318914400</v>
      </c>
      <c r="Q6" s="70">
        <v>306000000</v>
      </c>
      <c r="R6" s="66">
        <f t="shared" si="0"/>
        <v>-12914400</v>
      </c>
      <c r="S6" s="401"/>
      <c r="T6" s="295"/>
      <c r="U6" s="295"/>
      <c r="V6" s="273"/>
      <c r="W6" s="273"/>
      <c r="X6" s="361"/>
      <c r="Y6" s="401"/>
      <c r="Z6" s="401"/>
      <c r="AA6" s="295"/>
      <c r="AB6" s="295"/>
      <c r="AC6" s="273"/>
      <c r="AD6" s="273"/>
      <c r="AE6" s="361"/>
      <c r="AF6" s="401"/>
      <c r="AG6" s="401"/>
      <c r="AH6" s="295"/>
      <c r="AI6" s="295"/>
      <c r="AJ6" s="273"/>
      <c r="AK6" s="273"/>
      <c r="AL6" s="361"/>
      <c r="AM6" s="401"/>
      <c r="AN6" s="401"/>
      <c r="AO6" s="295"/>
      <c r="AP6" s="295"/>
      <c r="AQ6" s="273"/>
      <c r="AR6" s="273"/>
      <c r="AS6" s="361"/>
      <c r="AT6" s="401"/>
      <c r="AU6" s="401"/>
      <c r="AV6" s="295"/>
      <c r="AW6" s="295"/>
      <c r="AX6" s="273"/>
      <c r="AY6" s="273"/>
      <c r="AZ6" s="361"/>
      <c r="BA6" s="401"/>
      <c r="BB6" s="401"/>
      <c r="BC6" s="295"/>
      <c r="BD6" s="295"/>
      <c r="BE6" s="273"/>
      <c r="BF6" s="273"/>
      <c r="BG6" s="361"/>
      <c r="BH6" s="401"/>
      <c r="BI6" s="401"/>
      <c r="BJ6" s="295"/>
      <c r="BK6" s="295"/>
      <c r="BL6" s="273"/>
      <c r="BM6" s="273"/>
      <c r="BN6" s="361"/>
      <c r="BO6" s="401"/>
      <c r="BP6" s="401"/>
      <c r="BQ6" s="295"/>
      <c r="BR6" s="295"/>
      <c r="BS6" s="273"/>
      <c r="BT6" s="273"/>
      <c r="BU6" s="361"/>
      <c r="BV6" s="401"/>
      <c r="BW6" s="401"/>
      <c r="BX6" s="295"/>
      <c r="BY6" s="295"/>
      <c r="BZ6" s="273"/>
      <c r="CA6" s="273"/>
      <c r="CB6" s="361"/>
      <c r="CC6" s="401"/>
      <c r="CD6" s="401"/>
      <c r="CE6" s="295"/>
      <c r="CF6" s="295"/>
      <c r="CG6" s="273"/>
      <c r="CH6" s="273"/>
      <c r="CI6" s="361"/>
      <c r="CJ6" s="401"/>
      <c r="CK6" s="401"/>
      <c r="CL6" s="295"/>
      <c r="CM6" s="295"/>
      <c r="CN6" s="273"/>
      <c r="CO6" s="273"/>
      <c r="CP6" s="361"/>
      <c r="CQ6" s="401"/>
      <c r="CR6" s="401"/>
      <c r="CS6" s="295"/>
      <c r="CT6" s="295"/>
      <c r="CU6" s="273"/>
      <c r="CV6" s="273"/>
      <c r="CW6" s="361"/>
      <c r="CX6" s="401"/>
      <c r="CY6" s="401"/>
      <c r="CZ6" s="295"/>
      <c r="DA6" s="295"/>
      <c r="DB6" s="273"/>
      <c r="DC6" s="273"/>
      <c r="DD6" s="361"/>
      <c r="DE6" s="401"/>
      <c r="DF6" s="401"/>
      <c r="DG6" s="295"/>
      <c r="DH6" s="295"/>
      <c r="DI6" s="273"/>
      <c r="DJ6" s="273"/>
      <c r="DK6" s="361"/>
      <c r="DL6" s="401"/>
      <c r="DM6" s="401"/>
      <c r="DN6" s="295"/>
      <c r="DO6" s="295"/>
      <c r="DP6" s="273"/>
      <c r="DQ6" s="273"/>
      <c r="DR6" s="361"/>
      <c r="DS6" s="401"/>
      <c r="DT6" s="401"/>
      <c r="DU6" s="295"/>
      <c r="DV6" s="295"/>
      <c r="DW6" s="273"/>
      <c r="DX6" s="273"/>
      <c r="DY6" s="361"/>
      <c r="DZ6" s="401"/>
      <c r="EA6" s="401"/>
      <c r="EB6" s="295"/>
      <c r="EC6" s="295"/>
      <c r="ED6" s="273"/>
      <c r="EE6" s="273"/>
      <c r="EF6" s="361"/>
      <c r="EG6" s="401"/>
      <c r="EH6" s="401"/>
      <c r="EI6" s="295"/>
      <c r="EJ6" s="295"/>
      <c r="EK6" s="273"/>
      <c r="EL6" s="273"/>
      <c r="EM6" s="361"/>
      <c r="EN6" s="401"/>
      <c r="EO6" s="401"/>
      <c r="EP6" s="295"/>
      <c r="EQ6" s="295"/>
      <c r="ER6" s="273"/>
      <c r="ES6" s="273"/>
      <c r="ET6" s="361"/>
      <c r="EU6" s="401"/>
      <c r="EV6" s="401"/>
      <c r="EW6" s="295"/>
      <c r="EX6" s="295"/>
      <c r="EY6" s="273"/>
      <c r="EZ6" s="273"/>
      <c r="FA6" s="361"/>
      <c r="FB6" s="401"/>
      <c r="FC6" s="401"/>
      <c r="FD6" s="295"/>
      <c r="FE6" s="295"/>
      <c r="FF6" s="273"/>
      <c r="FG6" s="273"/>
      <c r="FH6" s="361"/>
      <c r="FI6" s="401"/>
      <c r="FJ6" s="401"/>
      <c r="FK6" s="295"/>
      <c r="FL6" s="295"/>
      <c r="FM6" s="273"/>
      <c r="FN6" s="273"/>
      <c r="FO6" s="361"/>
      <c r="FP6" s="401"/>
      <c r="FQ6" s="401"/>
      <c r="FR6" s="295"/>
      <c r="FS6" s="295"/>
      <c r="FT6" s="273"/>
      <c r="FU6" s="273"/>
      <c r="FV6" s="361"/>
      <c r="FW6" s="401"/>
      <c r="FX6" s="401"/>
      <c r="FY6" s="295"/>
      <c r="FZ6" s="295"/>
      <c r="GA6" s="273"/>
      <c r="GB6" s="273"/>
      <c r="GC6" s="361"/>
      <c r="GD6" s="401"/>
      <c r="GE6" s="401"/>
      <c r="GF6" s="295"/>
      <c r="GG6" s="295"/>
      <c r="GH6" s="273"/>
      <c r="GI6" s="273"/>
      <c r="GJ6" s="361"/>
      <c r="GK6" s="401"/>
      <c r="GL6" s="401"/>
      <c r="GM6" s="295"/>
      <c r="GN6" s="295"/>
      <c r="GO6" s="273"/>
      <c r="GP6" s="273"/>
      <c r="GQ6" s="361"/>
      <c r="GR6" s="401"/>
      <c r="GS6" s="401"/>
      <c r="GT6" s="295"/>
      <c r="GU6" s="295"/>
      <c r="GV6" s="273"/>
      <c r="GW6" s="273"/>
      <c r="GX6" s="361"/>
      <c r="GY6" s="401"/>
      <c r="GZ6" s="401"/>
      <c r="HA6" s="295"/>
      <c r="HB6" s="295"/>
      <c r="HC6" s="273"/>
      <c r="HD6" s="273"/>
      <c r="HE6" s="361"/>
      <c r="HF6" s="401"/>
      <c r="HG6" s="401"/>
      <c r="HH6" s="295"/>
      <c r="HI6" s="295"/>
      <c r="HJ6" s="273"/>
      <c r="HK6" s="273"/>
      <c r="HL6" s="361"/>
      <c r="HM6" s="401"/>
      <c r="HN6" s="401"/>
      <c r="HO6" s="295"/>
      <c r="HP6" s="295"/>
      <c r="HQ6" s="273"/>
      <c r="HR6" s="273"/>
      <c r="HS6" s="361"/>
      <c r="HT6" s="401"/>
      <c r="HU6" s="401"/>
      <c r="HV6" s="295"/>
      <c r="HW6" s="295"/>
      <c r="HX6" s="273"/>
      <c r="HY6" s="273"/>
      <c r="HZ6" s="361"/>
      <c r="IA6" s="401"/>
      <c r="IB6" s="401"/>
      <c r="IC6" s="295"/>
      <c r="ID6" s="295"/>
      <c r="IE6" s="273"/>
      <c r="IF6" s="273"/>
      <c r="IG6" s="361"/>
      <c r="IH6" s="401"/>
      <c r="II6" s="401"/>
      <c r="IJ6" s="295"/>
      <c r="IK6" s="295"/>
      <c r="IL6" s="273"/>
      <c r="IM6" s="273"/>
      <c r="IN6" s="361"/>
      <c r="IO6" s="401"/>
      <c r="IP6" s="401"/>
      <c r="IQ6" s="295"/>
      <c r="IR6" s="295"/>
      <c r="IS6" s="273"/>
      <c r="IT6" s="273"/>
      <c r="IU6" s="361"/>
      <c r="IV6" s="401"/>
      <c r="IW6" s="401"/>
      <c r="IX6" s="295"/>
      <c r="IY6" s="295"/>
    </row>
    <row r="7" spans="1:259" ht="29.1" customHeight="1">
      <c r="A7" s="169">
        <v>21105</v>
      </c>
      <c r="B7" s="66" t="s">
        <v>398</v>
      </c>
      <c r="C7" s="66"/>
      <c r="D7" s="66"/>
      <c r="E7" s="66"/>
      <c r="F7" s="66"/>
      <c r="G7" s="66"/>
      <c r="H7" s="66"/>
      <c r="I7" s="66"/>
      <c r="J7" s="70"/>
      <c r="K7" s="70"/>
      <c r="L7" s="70"/>
      <c r="M7" s="70">
        <v>834000000</v>
      </c>
      <c r="N7" s="70">
        <f>M7</f>
        <v>834000000</v>
      </c>
      <c r="O7" s="70">
        <v>615600000</v>
      </c>
      <c r="P7" s="70">
        <v>1058400000</v>
      </c>
      <c r="Q7" s="70">
        <v>1356314400</v>
      </c>
      <c r="R7" s="66">
        <f t="shared" si="0"/>
        <v>297914400</v>
      </c>
      <c r="S7" s="401"/>
      <c r="T7" s="295"/>
      <c r="U7" s="295"/>
      <c r="V7" s="273"/>
      <c r="W7" s="273"/>
      <c r="X7" s="361"/>
      <c r="Y7" s="401"/>
      <c r="Z7" s="401"/>
      <c r="AA7" s="295"/>
      <c r="AB7" s="295"/>
      <c r="AC7" s="273"/>
      <c r="AD7" s="273"/>
      <c r="AE7" s="361"/>
      <c r="AF7" s="401"/>
      <c r="AG7" s="401"/>
      <c r="AH7" s="295"/>
      <c r="AI7" s="295"/>
      <c r="AJ7" s="273"/>
      <c r="AK7" s="273"/>
      <c r="AL7" s="361"/>
      <c r="AM7" s="401"/>
      <c r="AN7" s="401"/>
      <c r="AO7" s="295"/>
      <c r="AP7" s="295"/>
      <c r="AQ7" s="273"/>
      <c r="AR7" s="273"/>
      <c r="AS7" s="361"/>
      <c r="AT7" s="401"/>
      <c r="AU7" s="401"/>
      <c r="AV7" s="295"/>
      <c r="AW7" s="295"/>
      <c r="AX7" s="273"/>
      <c r="AY7" s="273"/>
      <c r="AZ7" s="361"/>
      <c r="BA7" s="401"/>
      <c r="BB7" s="401"/>
      <c r="BC7" s="295"/>
      <c r="BD7" s="295"/>
      <c r="BE7" s="273"/>
      <c r="BF7" s="273"/>
      <c r="BG7" s="361"/>
      <c r="BH7" s="401"/>
      <c r="BI7" s="401"/>
      <c r="BJ7" s="295"/>
      <c r="BK7" s="295"/>
      <c r="BL7" s="273"/>
      <c r="BM7" s="273"/>
      <c r="BN7" s="361"/>
      <c r="BO7" s="401"/>
      <c r="BP7" s="401"/>
      <c r="BQ7" s="295"/>
      <c r="BR7" s="295"/>
      <c r="BS7" s="273"/>
      <c r="BT7" s="273"/>
      <c r="BU7" s="361"/>
      <c r="BV7" s="401"/>
      <c r="BW7" s="401"/>
      <c r="BX7" s="295"/>
      <c r="BY7" s="295"/>
      <c r="BZ7" s="273"/>
      <c r="CA7" s="273"/>
      <c r="CB7" s="361"/>
      <c r="CC7" s="401"/>
      <c r="CD7" s="401"/>
      <c r="CE7" s="295"/>
      <c r="CF7" s="295"/>
      <c r="CG7" s="273"/>
      <c r="CH7" s="273"/>
      <c r="CI7" s="361"/>
      <c r="CJ7" s="401"/>
      <c r="CK7" s="401"/>
      <c r="CL7" s="295"/>
      <c r="CM7" s="295"/>
      <c r="CN7" s="273"/>
      <c r="CO7" s="273"/>
      <c r="CP7" s="361"/>
      <c r="CQ7" s="401"/>
      <c r="CR7" s="401"/>
      <c r="CS7" s="295"/>
      <c r="CT7" s="295"/>
      <c r="CU7" s="273"/>
      <c r="CV7" s="273"/>
      <c r="CW7" s="361"/>
      <c r="CX7" s="401"/>
      <c r="CY7" s="401"/>
      <c r="CZ7" s="295"/>
      <c r="DA7" s="295"/>
      <c r="DB7" s="273"/>
      <c r="DC7" s="273"/>
      <c r="DD7" s="361"/>
      <c r="DE7" s="401"/>
      <c r="DF7" s="401"/>
      <c r="DG7" s="295"/>
      <c r="DH7" s="295"/>
      <c r="DI7" s="273"/>
      <c r="DJ7" s="273"/>
      <c r="DK7" s="361"/>
      <c r="DL7" s="401"/>
      <c r="DM7" s="401"/>
      <c r="DN7" s="295"/>
      <c r="DO7" s="295"/>
      <c r="DP7" s="273"/>
      <c r="DQ7" s="273"/>
      <c r="DR7" s="361"/>
      <c r="DS7" s="401"/>
      <c r="DT7" s="401"/>
      <c r="DU7" s="295"/>
      <c r="DV7" s="295"/>
      <c r="DW7" s="273"/>
      <c r="DX7" s="273"/>
      <c r="DY7" s="361"/>
      <c r="DZ7" s="401"/>
      <c r="EA7" s="401"/>
      <c r="EB7" s="295"/>
      <c r="EC7" s="295"/>
      <c r="ED7" s="273"/>
      <c r="EE7" s="273"/>
      <c r="EF7" s="361"/>
      <c r="EG7" s="401"/>
      <c r="EH7" s="401"/>
      <c r="EI7" s="295"/>
      <c r="EJ7" s="295"/>
      <c r="EK7" s="273"/>
      <c r="EL7" s="273"/>
      <c r="EM7" s="361"/>
      <c r="EN7" s="401"/>
      <c r="EO7" s="401"/>
      <c r="EP7" s="295"/>
      <c r="EQ7" s="295"/>
      <c r="ER7" s="273"/>
      <c r="ES7" s="273"/>
      <c r="ET7" s="361"/>
      <c r="EU7" s="401"/>
      <c r="EV7" s="401"/>
      <c r="EW7" s="295"/>
      <c r="EX7" s="295"/>
      <c r="EY7" s="273"/>
      <c r="EZ7" s="273"/>
      <c r="FA7" s="361"/>
      <c r="FB7" s="401"/>
      <c r="FC7" s="401"/>
      <c r="FD7" s="295"/>
      <c r="FE7" s="295"/>
      <c r="FF7" s="273"/>
      <c r="FG7" s="273"/>
      <c r="FH7" s="361"/>
      <c r="FI7" s="401"/>
      <c r="FJ7" s="401"/>
      <c r="FK7" s="295"/>
      <c r="FL7" s="295"/>
      <c r="FM7" s="273"/>
      <c r="FN7" s="273"/>
      <c r="FO7" s="361"/>
      <c r="FP7" s="401"/>
      <c r="FQ7" s="401"/>
      <c r="FR7" s="295"/>
      <c r="FS7" s="295"/>
      <c r="FT7" s="273"/>
      <c r="FU7" s="273"/>
      <c r="FV7" s="361"/>
      <c r="FW7" s="401"/>
      <c r="FX7" s="401"/>
      <c r="FY7" s="295"/>
      <c r="FZ7" s="295"/>
      <c r="GA7" s="273"/>
      <c r="GB7" s="273"/>
      <c r="GC7" s="361"/>
      <c r="GD7" s="401"/>
      <c r="GE7" s="401"/>
      <c r="GF7" s="295"/>
      <c r="GG7" s="295"/>
      <c r="GH7" s="273"/>
      <c r="GI7" s="273"/>
      <c r="GJ7" s="361"/>
      <c r="GK7" s="401"/>
      <c r="GL7" s="401"/>
      <c r="GM7" s="295"/>
      <c r="GN7" s="295"/>
      <c r="GO7" s="273"/>
      <c r="GP7" s="273"/>
      <c r="GQ7" s="361"/>
      <c r="GR7" s="401"/>
      <c r="GS7" s="401"/>
      <c r="GT7" s="295"/>
      <c r="GU7" s="295"/>
      <c r="GV7" s="273"/>
      <c r="GW7" s="273"/>
      <c r="GX7" s="361"/>
      <c r="GY7" s="401"/>
      <c r="GZ7" s="401"/>
      <c r="HA7" s="295"/>
      <c r="HB7" s="295"/>
      <c r="HC7" s="273"/>
      <c r="HD7" s="273"/>
      <c r="HE7" s="361"/>
      <c r="HF7" s="401"/>
      <c r="HG7" s="401"/>
      <c r="HH7" s="295"/>
      <c r="HI7" s="295"/>
      <c r="HJ7" s="273"/>
      <c r="HK7" s="273"/>
      <c r="HL7" s="361"/>
      <c r="HM7" s="401"/>
      <c r="HN7" s="401"/>
      <c r="HO7" s="295"/>
      <c r="HP7" s="295"/>
      <c r="HQ7" s="273"/>
      <c r="HR7" s="273"/>
      <c r="HS7" s="361"/>
      <c r="HT7" s="401"/>
      <c r="HU7" s="401"/>
      <c r="HV7" s="295"/>
      <c r="HW7" s="295"/>
      <c r="HX7" s="273"/>
      <c r="HY7" s="273"/>
      <c r="HZ7" s="361"/>
      <c r="IA7" s="401"/>
      <c r="IB7" s="401"/>
      <c r="IC7" s="295"/>
      <c r="ID7" s="295"/>
      <c r="IE7" s="273"/>
      <c r="IF7" s="273"/>
      <c r="IG7" s="361"/>
      <c r="IH7" s="401"/>
      <c r="II7" s="401"/>
      <c r="IJ7" s="295"/>
      <c r="IK7" s="295"/>
      <c r="IL7" s="273"/>
      <c r="IM7" s="273"/>
      <c r="IN7" s="361"/>
      <c r="IO7" s="401"/>
      <c r="IP7" s="401"/>
      <c r="IQ7" s="295"/>
      <c r="IR7" s="295"/>
      <c r="IS7" s="273"/>
      <c r="IT7" s="273"/>
      <c r="IU7" s="361"/>
      <c r="IV7" s="401"/>
      <c r="IW7" s="401"/>
      <c r="IX7" s="295"/>
      <c r="IY7" s="295"/>
    </row>
    <row r="8" spans="1:259" ht="29.1" customHeight="1">
      <c r="A8" s="169"/>
      <c r="B8" s="106" t="s">
        <v>59</v>
      </c>
      <c r="C8" s="66">
        <v>32399990</v>
      </c>
      <c r="D8" s="66">
        <v>2895816</v>
      </c>
      <c r="E8" s="66">
        <v>2895816</v>
      </c>
      <c r="F8" s="66">
        <v>6655816</v>
      </c>
      <c r="G8" s="66">
        <v>59200000</v>
      </c>
      <c r="H8" s="66">
        <v>74000000</v>
      </c>
      <c r="I8" s="66">
        <v>55115200</v>
      </c>
      <c r="J8" s="70">
        <v>55000000</v>
      </c>
      <c r="K8" s="70">
        <v>39873274</v>
      </c>
      <c r="L8" s="111">
        <f>SUM(L4:L6)</f>
        <v>943858800</v>
      </c>
      <c r="M8" s="111" t="e">
        <f>SUM(M3:M7)</f>
        <v>#REF!</v>
      </c>
      <c r="N8" s="111">
        <f>SUM(N4:N7)</f>
        <v>2538439200</v>
      </c>
      <c r="O8" s="111">
        <f>SUM(O4:O7)</f>
        <v>1893436800</v>
      </c>
      <c r="P8" s="111">
        <f>SUM(P4:P7)</f>
        <v>2975077920</v>
      </c>
      <c r="Q8" s="111">
        <f>SUM(Q4:Q7)</f>
        <v>3515493600</v>
      </c>
      <c r="R8" s="106">
        <f t="shared" si="0"/>
        <v>540415680</v>
      </c>
    </row>
    <row r="9" spans="1:259" ht="29.1" customHeight="1">
      <c r="A9" s="249">
        <v>220</v>
      </c>
      <c r="B9" s="106" t="s">
        <v>159</v>
      </c>
      <c r="C9" s="66">
        <v>0</v>
      </c>
      <c r="D9" s="66">
        <v>0</v>
      </c>
      <c r="E9" s="66">
        <v>0</v>
      </c>
      <c r="F9" s="66">
        <v>0</v>
      </c>
      <c r="G9" s="66">
        <v>16000000</v>
      </c>
      <c r="H9" s="66">
        <v>20000000</v>
      </c>
      <c r="I9" s="66">
        <v>14896000</v>
      </c>
      <c r="J9" s="70">
        <v>25000000</v>
      </c>
      <c r="K9" s="70">
        <v>7448000</v>
      </c>
      <c r="L9" s="70"/>
      <c r="M9" s="70"/>
      <c r="N9" s="70"/>
      <c r="O9" s="70"/>
      <c r="P9" s="70"/>
      <c r="Q9" s="70"/>
      <c r="R9" s="66">
        <f t="shared" si="0"/>
        <v>0</v>
      </c>
    </row>
    <row r="10" spans="1:259" ht="29.1" customHeight="1">
      <c r="A10" s="249">
        <v>2210</v>
      </c>
      <c r="B10" s="106" t="s">
        <v>160</v>
      </c>
      <c r="C10" s="66"/>
      <c r="D10" s="66"/>
      <c r="E10" s="66"/>
      <c r="F10" s="66"/>
      <c r="G10" s="66"/>
      <c r="H10" s="66"/>
      <c r="I10" s="66"/>
      <c r="J10" s="70"/>
      <c r="K10" s="70">
        <v>9682400</v>
      </c>
      <c r="L10" s="70"/>
      <c r="M10" s="70"/>
      <c r="N10" s="70"/>
      <c r="O10" s="70"/>
      <c r="P10" s="70"/>
      <c r="Q10" s="70"/>
      <c r="R10" s="66">
        <f t="shared" si="0"/>
        <v>0</v>
      </c>
    </row>
    <row r="11" spans="1:259" ht="29.1" customHeight="1">
      <c r="A11" s="169">
        <v>22101</v>
      </c>
      <c r="B11" s="66" t="s">
        <v>14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70">
        <v>0</v>
      </c>
      <c r="K11" s="70">
        <v>14896000</v>
      </c>
      <c r="L11" s="70">
        <v>30906200</v>
      </c>
      <c r="M11" s="70">
        <f>30906200*70%+20000000</f>
        <v>41634340</v>
      </c>
      <c r="N11" s="70">
        <f>30906200*70%+20000000</f>
        <v>41634340</v>
      </c>
      <c r="O11" s="70">
        <v>61634340</v>
      </c>
      <c r="P11" s="70">
        <v>61634340</v>
      </c>
      <c r="Q11" s="70">
        <v>61634340</v>
      </c>
      <c r="R11" s="66">
        <f t="shared" si="0"/>
        <v>0</v>
      </c>
    </row>
    <row r="12" spans="1:259" ht="29.1" customHeight="1">
      <c r="A12" s="169">
        <v>22104</v>
      </c>
      <c r="B12" s="66" t="s">
        <v>116</v>
      </c>
      <c r="C12" s="66"/>
      <c r="D12" s="66"/>
      <c r="E12" s="66"/>
      <c r="F12" s="66"/>
      <c r="G12" s="66"/>
      <c r="H12" s="66"/>
      <c r="I12" s="66"/>
      <c r="J12" s="70"/>
      <c r="K12" s="70">
        <v>115000000</v>
      </c>
      <c r="L12" s="70">
        <v>118865600</v>
      </c>
      <c r="M12" s="70">
        <f>83205920+20000000</f>
        <v>103205920</v>
      </c>
      <c r="N12" s="70">
        <f>83205920+20000000</f>
        <v>103205920</v>
      </c>
      <c r="O12" s="70">
        <f>83205920+20000000</f>
        <v>103205920</v>
      </c>
      <c r="P12" s="70">
        <f>83205920+20000000</f>
        <v>103205920</v>
      </c>
      <c r="Q12" s="70">
        <f>83205920+20000000</f>
        <v>103205920</v>
      </c>
      <c r="R12" s="66">
        <f t="shared" si="0"/>
        <v>0</v>
      </c>
    </row>
    <row r="13" spans="1:259" ht="29.1" customHeight="1">
      <c r="A13" s="169">
        <v>22105</v>
      </c>
      <c r="B13" s="66" t="s">
        <v>93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20000000</v>
      </c>
      <c r="I13" s="66">
        <v>0</v>
      </c>
      <c r="J13" s="70">
        <v>20000000</v>
      </c>
      <c r="K13" s="70">
        <v>0</v>
      </c>
      <c r="L13" s="70">
        <v>11954040</v>
      </c>
      <c r="M13" s="70">
        <f>11954040*70%</f>
        <v>8367827.9999999991</v>
      </c>
      <c r="N13" s="70">
        <f>11954040*70%</f>
        <v>8367827.9999999991</v>
      </c>
      <c r="O13" s="70">
        <f>11954040*70%</f>
        <v>8367827.9999999991</v>
      </c>
      <c r="P13" s="70">
        <v>80367828</v>
      </c>
      <c r="Q13" s="70">
        <v>0</v>
      </c>
      <c r="R13" s="66">
        <f t="shared" si="0"/>
        <v>-80367828</v>
      </c>
    </row>
    <row r="14" spans="1:259" ht="29.1" customHeight="1">
      <c r="A14" s="169">
        <v>22106</v>
      </c>
      <c r="B14" s="66" t="s">
        <v>84</v>
      </c>
      <c r="C14" s="66"/>
      <c r="D14" s="66">
        <v>0</v>
      </c>
      <c r="E14" s="66">
        <v>0</v>
      </c>
      <c r="F14" s="66">
        <v>22500000</v>
      </c>
      <c r="G14" s="66">
        <v>0</v>
      </c>
      <c r="H14" s="66">
        <v>40000000</v>
      </c>
      <c r="I14" s="66">
        <v>0</v>
      </c>
      <c r="J14" s="70">
        <v>0</v>
      </c>
      <c r="K14" s="70">
        <v>0</v>
      </c>
      <c r="L14" s="70">
        <v>12289200</v>
      </c>
      <c r="M14" s="70">
        <f>12289200*70%+15000000</f>
        <v>23602440</v>
      </c>
      <c r="N14" s="70">
        <v>0</v>
      </c>
      <c r="O14" s="70">
        <v>0</v>
      </c>
      <c r="P14" s="70">
        <v>0</v>
      </c>
      <c r="Q14" s="70">
        <v>0</v>
      </c>
      <c r="R14" s="66">
        <f t="shared" si="0"/>
        <v>0</v>
      </c>
    </row>
    <row r="15" spans="1:259" ht="29.1" customHeight="1">
      <c r="A15" s="169">
        <v>22107</v>
      </c>
      <c r="B15" s="66" t="s">
        <v>30</v>
      </c>
      <c r="C15" s="66"/>
      <c r="D15" s="66"/>
      <c r="E15" s="66"/>
      <c r="F15" s="66"/>
      <c r="G15" s="66"/>
      <c r="H15" s="66"/>
      <c r="I15" s="66"/>
      <c r="J15" s="70"/>
      <c r="K15" s="70">
        <v>5958400</v>
      </c>
      <c r="L15" s="70">
        <v>60716400</v>
      </c>
      <c r="M15" s="70">
        <f>42501480+10000000</f>
        <v>52501480</v>
      </c>
      <c r="N15" s="70">
        <f>M15*70%</f>
        <v>36751036</v>
      </c>
      <c r="O15" s="70">
        <f>N15</f>
        <v>36751036</v>
      </c>
      <c r="P15" s="70">
        <v>40751036</v>
      </c>
      <c r="Q15" s="70">
        <v>60751036</v>
      </c>
      <c r="R15" s="66">
        <f t="shared" si="0"/>
        <v>20000000</v>
      </c>
    </row>
    <row r="16" spans="1:259" ht="29.1" customHeight="1">
      <c r="A16" s="169">
        <v>22109</v>
      </c>
      <c r="B16" s="66" t="s">
        <v>94</v>
      </c>
      <c r="C16" s="66">
        <v>0</v>
      </c>
      <c r="D16" s="66">
        <v>0</v>
      </c>
      <c r="E16" s="66">
        <v>0</v>
      </c>
      <c r="F16" s="66">
        <v>0</v>
      </c>
      <c r="G16" s="66">
        <v>2400000</v>
      </c>
      <c r="H16" s="66">
        <v>3000000</v>
      </c>
      <c r="I16" s="66">
        <v>1862000</v>
      </c>
      <c r="J16" s="70">
        <v>1862000</v>
      </c>
      <c r="K16" s="111">
        <f>SUM(K8:K15)</f>
        <v>192858074</v>
      </c>
      <c r="L16" s="70">
        <v>42492900</v>
      </c>
      <c r="M16" s="70">
        <f>42492900*70%+30000000</f>
        <v>59745030</v>
      </c>
      <c r="N16" s="70">
        <f>42492900*70%+30000000</f>
        <v>59745030</v>
      </c>
      <c r="O16" s="70">
        <f>42492900*70%+30000000</f>
        <v>59745030</v>
      </c>
      <c r="P16" s="70">
        <f>42492900*70%+30000000</f>
        <v>59745030</v>
      </c>
      <c r="Q16" s="70">
        <f>42492900*70%+30000000</f>
        <v>59745030</v>
      </c>
      <c r="R16" s="66">
        <f t="shared" si="0"/>
        <v>0</v>
      </c>
    </row>
    <row r="17" spans="1:20" s="267" customFormat="1" ht="29.1" customHeight="1">
      <c r="A17" s="169">
        <v>22112</v>
      </c>
      <c r="B17" s="66" t="s">
        <v>16</v>
      </c>
      <c r="C17" s="106">
        <f>SUM(C13:C16)</f>
        <v>0</v>
      </c>
      <c r="D17" s="106">
        <f>SUM(D13:D16)</f>
        <v>0</v>
      </c>
      <c r="E17" s="106">
        <v>0</v>
      </c>
      <c r="F17" s="106">
        <f>SUM(F13:F16)</f>
        <v>22500000</v>
      </c>
      <c r="G17" s="106">
        <f>SUM(G13:G16)</f>
        <v>2400000</v>
      </c>
      <c r="H17" s="106">
        <f>SUM(H13:H16)</f>
        <v>63000000</v>
      </c>
      <c r="I17" s="106">
        <f>SUM(I13:I16)</f>
        <v>1862000</v>
      </c>
      <c r="J17" s="111">
        <f>SUM(J13:J16)</f>
        <v>21862000</v>
      </c>
      <c r="K17" s="111"/>
      <c r="L17" s="70">
        <v>51971600</v>
      </c>
      <c r="M17" s="70">
        <f>36380120+5000000</f>
        <v>41380120</v>
      </c>
      <c r="N17" s="70">
        <f>36380120+5000000</f>
        <v>41380120</v>
      </c>
      <c r="O17" s="70">
        <f>36380120+5000000</f>
        <v>41380120</v>
      </c>
      <c r="P17" s="70">
        <f>36380120+5000000</f>
        <v>41380120</v>
      </c>
      <c r="Q17" s="70">
        <v>50000000</v>
      </c>
      <c r="R17" s="66">
        <f t="shared" si="0"/>
        <v>8619880</v>
      </c>
    </row>
    <row r="18" spans="1:20" ht="29.1" customHeight="1">
      <c r="A18" s="169">
        <v>22129</v>
      </c>
      <c r="B18" s="66" t="s">
        <v>195</v>
      </c>
      <c r="C18" s="66"/>
      <c r="D18" s="66"/>
      <c r="E18" s="66"/>
      <c r="F18" s="66" t="s">
        <v>4</v>
      </c>
      <c r="G18" s="66"/>
      <c r="H18" s="66"/>
      <c r="I18" s="66"/>
      <c r="J18" s="70"/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66">
        <f t="shared" si="0"/>
        <v>0</v>
      </c>
    </row>
    <row r="19" spans="1:20" ht="29.1" customHeight="1">
      <c r="A19" s="169">
        <v>22132</v>
      </c>
      <c r="B19" s="66" t="s">
        <v>144</v>
      </c>
      <c r="C19" s="66"/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70">
        <v>0</v>
      </c>
      <c r="K19" s="70">
        <v>28488600</v>
      </c>
      <c r="L19" s="70">
        <f>309000000+18372000</f>
        <v>327372000</v>
      </c>
      <c r="M19" s="70">
        <f>327372000*70%</f>
        <v>229160400</v>
      </c>
      <c r="N19" s="70">
        <v>0</v>
      </c>
      <c r="O19" s="70">
        <v>0</v>
      </c>
      <c r="P19" s="70">
        <v>0</v>
      </c>
      <c r="Q19" s="70">
        <v>0</v>
      </c>
      <c r="R19" s="66">
        <f t="shared" si="0"/>
        <v>0</v>
      </c>
    </row>
    <row r="20" spans="1:20" ht="29.1" customHeight="1">
      <c r="A20" s="169">
        <v>22137</v>
      </c>
      <c r="B20" s="66" t="s">
        <v>190</v>
      </c>
      <c r="C20" s="66"/>
      <c r="D20" s="66"/>
      <c r="E20" s="66"/>
      <c r="F20" s="66"/>
      <c r="G20" s="66"/>
      <c r="H20" s="66"/>
      <c r="I20" s="66"/>
      <c r="J20" s="70"/>
      <c r="K20" s="70">
        <v>14896000</v>
      </c>
      <c r="L20" s="70">
        <v>32130400</v>
      </c>
      <c r="M20" s="70">
        <f>32130400*70%+20000000</f>
        <v>42491280</v>
      </c>
      <c r="N20" s="70">
        <f>32130400*70%+20000000</f>
        <v>42491280</v>
      </c>
      <c r="O20" s="70">
        <v>142491280</v>
      </c>
      <c r="P20" s="70">
        <v>142491280</v>
      </c>
      <c r="Q20" s="70">
        <v>142491280</v>
      </c>
      <c r="R20" s="66">
        <f t="shared" si="0"/>
        <v>0</v>
      </c>
      <c r="T20" s="267"/>
    </row>
    <row r="21" spans="1:20" ht="29.1" customHeight="1">
      <c r="A21" s="169">
        <v>22141</v>
      </c>
      <c r="B21" s="66" t="s">
        <v>381</v>
      </c>
      <c r="C21" s="66"/>
      <c r="D21" s="66"/>
      <c r="E21" s="66"/>
      <c r="F21" s="66"/>
      <c r="G21" s="66"/>
      <c r="H21" s="66"/>
      <c r="I21" s="66"/>
      <c r="J21" s="70"/>
      <c r="K21" s="70"/>
      <c r="L21" s="70"/>
      <c r="M21" s="70"/>
      <c r="N21" s="70"/>
      <c r="O21" s="70">
        <v>238110000</v>
      </c>
      <c r="P21" s="70">
        <v>103316100</v>
      </c>
      <c r="Q21" s="70">
        <v>0</v>
      </c>
      <c r="R21" s="66">
        <f t="shared" si="0"/>
        <v>-103316100</v>
      </c>
      <c r="T21" s="267"/>
    </row>
    <row r="22" spans="1:20" ht="29.1" customHeight="1">
      <c r="A22" s="169">
        <v>22170</v>
      </c>
      <c r="B22" s="66" t="s">
        <v>657</v>
      </c>
      <c r="C22" s="66"/>
      <c r="D22" s="66"/>
      <c r="E22" s="66"/>
      <c r="F22" s="66"/>
      <c r="G22" s="66"/>
      <c r="H22" s="66"/>
      <c r="I22" s="66"/>
      <c r="J22" s="70"/>
      <c r="K22" s="70"/>
      <c r="L22" s="70"/>
      <c r="M22" s="70"/>
      <c r="N22" s="70"/>
      <c r="O22" s="70">
        <v>0</v>
      </c>
      <c r="P22" s="70">
        <v>350000000</v>
      </c>
      <c r="Q22" s="70">
        <v>350000000</v>
      </c>
      <c r="R22" s="66">
        <f t="shared" si="0"/>
        <v>0</v>
      </c>
      <c r="T22" s="267"/>
    </row>
    <row r="23" spans="1:20" ht="29.1" customHeight="1">
      <c r="A23" s="249"/>
      <c r="B23" s="106" t="s">
        <v>59</v>
      </c>
      <c r="C23" s="66"/>
      <c r="D23" s="66"/>
      <c r="E23" s="66"/>
      <c r="F23" s="66">
        <v>100000000</v>
      </c>
      <c r="G23" s="66">
        <v>0</v>
      </c>
      <c r="H23" s="66">
        <v>0</v>
      </c>
      <c r="I23" s="66">
        <v>0</v>
      </c>
      <c r="J23" s="70">
        <v>0</v>
      </c>
      <c r="K23" s="111">
        <f>SUM(K18:K20)</f>
        <v>43384600</v>
      </c>
      <c r="L23" s="111">
        <f>SUM(L11:L20)</f>
        <v>688698340</v>
      </c>
      <c r="M23" s="111">
        <f>SUM(M11:M20)</f>
        <v>602088838</v>
      </c>
      <c r="N23" s="111">
        <f>SUM(N11:N20)</f>
        <v>333575554</v>
      </c>
      <c r="O23" s="111">
        <f>SUM(O11:O22)</f>
        <v>691685554</v>
      </c>
      <c r="P23" s="111">
        <f>SUM(P11:P22)</f>
        <v>982891654</v>
      </c>
      <c r="Q23" s="111">
        <f>SUM(Q11:Q22)</f>
        <v>827827606</v>
      </c>
      <c r="R23" s="106">
        <f t="shared" si="0"/>
        <v>-155064048</v>
      </c>
    </row>
    <row r="24" spans="1:20" s="267" customFormat="1" ht="29.1" customHeight="1">
      <c r="A24" s="249">
        <v>2220</v>
      </c>
      <c r="B24" s="106" t="s">
        <v>161</v>
      </c>
      <c r="C24" s="106" t="e">
        <f>SUM(#REF!)</f>
        <v>#REF!</v>
      </c>
      <c r="D24" s="106" t="e">
        <f>SUM(#REF!)</f>
        <v>#REF!</v>
      </c>
      <c r="E24" s="106">
        <f>SUM(E19:E19)</f>
        <v>0</v>
      </c>
      <c r="F24" s="106">
        <f>SUM(F19:F23)</f>
        <v>100000000</v>
      </c>
      <c r="G24" s="106">
        <f>SUM(G19:G23)</f>
        <v>0</v>
      </c>
      <c r="H24" s="106">
        <f>SUM(H19:H23)</f>
        <v>0</v>
      </c>
      <c r="I24" s="106">
        <f>SUM(I19:I23)</f>
        <v>0</v>
      </c>
      <c r="J24" s="111">
        <f>SUM(J19:J23)</f>
        <v>0</v>
      </c>
      <c r="K24" s="111"/>
      <c r="L24" s="111"/>
      <c r="M24" s="111"/>
      <c r="N24" s="111"/>
      <c r="O24" s="111"/>
      <c r="P24" s="111"/>
      <c r="Q24" s="111"/>
      <c r="R24" s="66">
        <f t="shared" si="0"/>
        <v>0</v>
      </c>
    </row>
    <row r="25" spans="1:20" ht="29.1" customHeight="1">
      <c r="A25" s="169">
        <v>22202</v>
      </c>
      <c r="B25" s="66" t="s">
        <v>91</v>
      </c>
      <c r="C25" s="66">
        <v>4799980</v>
      </c>
      <c r="D25" s="66">
        <v>0</v>
      </c>
      <c r="E25" s="66">
        <v>0</v>
      </c>
      <c r="F25" s="66">
        <v>11800000</v>
      </c>
      <c r="G25" s="66">
        <v>24000000</v>
      </c>
      <c r="H25" s="66">
        <v>30000000</v>
      </c>
      <c r="I25" s="66">
        <v>17875200</v>
      </c>
      <c r="J25" s="70">
        <v>17875200</v>
      </c>
      <c r="K25" s="70">
        <v>0</v>
      </c>
      <c r="L25" s="70">
        <v>431733818</v>
      </c>
      <c r="M25" s="70">
        <f>302213672+98211600</f>
        <v>400425272</v>
      </c>
      <c r="N25" s="70">
        <f>M25</f>
        <v>400425272</v>
      </c>
      <c r="O25" s="70">
        <v>300000000</v>
      </c>
      <c r="P25" s="70">
        <v>350000000</v>
      </c>
      <c r="Q25" s="70">
        <v>350000000</v>
      </c>
      <c r="R25" s="66">
        <f t="shared" si="0"/>
        <v>0</v>
      </c>
    </row>
    <row r="26" spans="1:20" ht="29.1" customHeight="1">
      <c r="A26" s="169">
        <v>22203</v>
      </c>
      <c r="B26" s="66" t="s">
        <v>85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70">
        <v>0</v>
      </c>
      <c r="K26" s="70">
        <v>0</v>
      </c>
      <c r="L26" s="70">
        <v>59733400</v>
      </c>
      <c r="M26" s="70">
        <f>41813380+5000000</f>
        <v>46813380</v>
      </c>
      <c r="N26" s="70">
        <f>41813380+5000000</f>
        <v>46813380</v>
      </c>
      <c r="O26" s="70">
        <f>41813380+5000000</f>
        <v>46813380</v>
      </c>
      <c r="P26" s="70">
        <f>41813380+5000000</f>
        <v>46813380</v>
      </c>
      <c r="Q26" s="70">
        <f>41813380+5000000</f>
        <v>46813380</v>
      </c>
      <c r="R26" s="66">
        <f t="shared" si="0"/>
        <v>0</v>
      </c>
    </row>
    <row r="27" spans="1:20" ht="29.1" customHeight="1">
      <c r="A27" s="169">
        <v>22204</v>
      </c>
      <c r="B27" s="66" t="s">
        <v>86</v>
      </c>
      <c r="C27" s="66">
        <v>15436990</v>
      </c>
      <c r="D27" s="66">
        <f>23000000+92-14000000</f>
        <v>9000092</v>
      </c>
      <c r="E27" s="66">
        <v>9000092</v>
      </c>
      <c r="F27" s="66">
        <v>29000092</v>
      </c>
      <c r="G27" s="66">
        <v>35200000</v>
      </c>
      <c r="H27" s="66">
        <v>44000000</v>
      </c>
      <c r="I27" s="66">
        <v>39873274</v>
      </c>
      <c r="J27" s="70">
        <v>49000000</v>
      </c>
      <c r="K27" s="70">
        <v>1862000</v>
      </c>
      <c r="L27" s="70">
        <v>88225200</v>
      </c>
      <c r="M27" s="70">
        <f>88225200*70%+40000000</f>
        <v>101757640</v>
      </c>
      <c r="N27" s="70">
        <f>88225200*70%+40000000</f>
        <v>101757640</v>
      </c>
      <c r="O27" s="70">
        <v>51757640</v>
      </c>
      <c r="P27" s="70">
        <v>51757640</v>
      </c>
      <c r="Q27" s="70">
        <v>51757640</v>
      </c>
      <c r="R27" s="66">
        <f t="shared" si="0"/>
        <v>0</v>
      </c>
    </row>
    <row r="28" spans="1:20" ht="29.1" customHeight="1">
      <c r="A28" s="169">
        <v>22208</v>
      </c>
      <c r="B28" s="66" t="s">
        <v>358</v>
      </c>
      <c r="C28" s="66"/>
      <c r="D28" s="66"/>
      <c r="E28" s="66"/>
      <c r="F28" s="66"/>
      <c r="G28" s="66"/>
      <c r="H28" s="66"/>
      <c r="I28" s="66"/>
      <c r="J28" s="70"/>
      <c r="K28" s="70"/>
      <c r="L28" s="70">
        <v>54000000</v>
      </c>
      <c r="M28" s="70">
        <f>54000000/3500*6000</f>
        <v>92571428.571428582</v>
      </c>
      <c r="N28" s="70">
        <f>54000000/3500*6000</f>
        <v>92571428.571428582</v>
      </c>
      <c r="O28" s="70">
        <v>0</v>
      </c>
      <c r="P28" s="70">
        <v>0</v>
      </c>
      <c r="Q28" s="70">
        <v>0</v>
      </c>
      <c r="R28" s="66">
        <f t="shared" si="0"/>
        <v>0</v>
      </c>
    </row>
    <row r="29" spans="1:20" ht="29.1" customHeight="1">
      <c r="A29" s="169">
        <v>22209</v>
      </c>
      <c r="B29" s="66" t="s">
        <v>196</v>
      </c>
      <c r="C29" s="66">
        <v>5000000</v>
      </c>
      <c r="D29" s="66">
        <v>0</v>
      </c>
      <c r="E29" s="66">
        <v>0</v>
      </c>
      <c r="F29" s="66">
        <v>0</v>
      </c>
      <c r="G29" s="66">
        <v>4000000</v>
      </c>
      <c r="H29" s="66">
        <v>5000000</v>
      </c>
      <c r="I29" s="66">
        <v>7448000</v>
      </c>
      <c r="J29" s="70">
        <v>7448000</v>
      </c>
      <c r="K29" s="70">
        <v>1862000</v>
      </c>
      <c r="L29" s="70">
        <v>22344000</v>
      </c>
      <c r="M29" s="70">
        <f>22344000*70%+7788400</f>
        <v>23429200</v>
      </c>
      <c r="N29" s="70">
        <v>0</v>
      </c>
      <c r="O29" s="70">
        <v>0</v>
      </c>
      <c r="P29" s="70">
        <v>0</v>
      </c>
      <c r="Q29" s="70">
        <v>0</v>
      </c>
      <c r="R29" s="66">
        <f t="shared" si="0"/>
        <v>0</v>
      </c>
    </row>
    <row r="30" spans="1:20" ht="29.1" customHeight="1">
      <c r="A30" s="169"/>
      <c r="B30" s="106" t="s">
        <v>59</v>
      </c>
      <c r="C30" s="66"/>
      <c r="D30" s="66"/>
      <c r="E30" s="66"/>
      <c r="F30" s="66">
        <v>0</v>
      </c>
      <c r="G30" s="66">
        <v>13280000</v>
      </c>
      <c r="H30" s="66">
        <v>16600000</v>
      </c>
      <c r="I30" s="66">
        <v>9682400</v>
      </c>
      <c r="J30" s="70">
        <v>9682400</v>
      </c>
      <c r="K30" s="111">
        <f>SUM(K25:K29)</f>
        <v>3724000</v>
      </c>
      <c r="L30" s="111">
        <f>L29+L27+L26+L25</f>
        <v>602036418</v>
      </c>
      <c r="M30" s="111">
        <f>SUM(M25:M29)</f>
        <v>664996920.57142854</v>
      </c>
      <c r="N30" s="111">
        <f>SUM(N25:N29)</f>
        <v>641567720.57142854</v>
      </c>
      <c r="O30" s="111">
        <f>SUM(O25:O29)</f>
        <v>398571020</v>
      </c>
      <c r="P30" s="111">
        <f>SUM(P25:P29)</f>
        <v>448571020</v>
      </c>
      <c r="Q30" s="111">
        <f>SUM(Q25:Q29)</f>
        <v>448571020</v>
      </c>
      <c r="R30" s="106">
        <f t="shared" si="0"/>
        <v>0</v>
      </c>
    </row>
    <row r="31" spans="1:20" ht="29.1" customHeight="1">
      <c r="A31" s="249">
        <v>2230</v>
      </c>
      <c r="B31" s="106" t="s">
        <v>88</v>
      </c>
      <c r="C31" s="66"/>
      <c r="D31" s="66">
        <v>0</v>
      </c>
      <c r="E31" s="66">
        <v>0</v>
      </c>
      <c r="F31" s="66">
        <v>2000000</v>
      </c>
      <c r="G31" s="66">
        <v>16000000</v>
      </c>
      <c r="H31" s="66">
        <v>20000000</v>
      </c>
      <c r="I31" s="66">
        <v>14896000</v>
      </c>
      <c r="J31" s="70">
        <v>20000000</v>
      </c>
      <c r="K31" s="70"/>
      <c r="L31" s="70"/>
      <c r="M31" s="70"/>
      <c r="N31" s="70"/>
      <c r="O31" s="70"/>
      <c r="P31" s="70"/>
      <c r="Q31" s="70"/>
      <c r="R31" s="66">
        <f t="shared" si="0"/>
        <v>0</v>
      </c>
    </row>
    <row r="32" spans="1:20" ht="29.1" customHeight="1">
      <c r="A32" s="169">
        <v>22301</v>
      </c>
      <c r="B32" s="66" t="s">
        <v>245</v>
      </c>
      <c r="C32" s="66"/>
      <c r="D32" s="66">
        <v>0</v>
      </c>
      <c r="E32" s="66">
        <v>0</v>
      </c>
      <c r="F32" s="66">
        <v>9000200</v>
      </c>
      <c r="G32" s="66">
        <v>18400000</v>
      </c>
      <c r="H32" s="66">
        <v>23000000</v>
      </c>
      <c r="I32" s="66">
        <v>13704320</v>
      </c>
      <c r="J32" s="70">
        <v>13704320</v>
      </c>
      <c r="K32" s="70">
        <v>27588136</v>
      </c>
      <c r="L32" s="70">
        <v>84208136</v>
      </c>
      <c r="M32" s="70">
        <f>58945695*70%+10000000</f>
        <v>51261986.5</v>
      </c>
      <c r="N32" s="70">
        <f>58945695*70%+10000000</f>
        <v>51261986.5</v>
      </c>
      <c r="O32" s="70">
        <f>58945695*70%+10000000</f>
        <v>51261986.5</v>
      </c>
      <c r="P32" s="70">
        <f>58945695*70%+10000000</f>
        <v>51261986.5</v>
      </c>
      <c r="Q32" s="70">
        <v>70000000</v>
      </c>
      <c r="R32" s="66">
        <f t="shared" si="0"/>
        <v>18738013.5</v>
      </c>
      <c r="S32" s="267"/>
      <c r="T32" s="361"/>
    </row>
    <row r="33" spans="1:18" ht="29.1" customHeight="1">
      <c r="A33" s="169">
        <v>22302</v>
      </c>
      <c r="B33" s="66" t="s">
        <v>162</v>
      </c>
      <c r="C33" s="66">
        <v>2279995</v>
      </c>
      <c r="D33" s="66">
        <v>2545200</v>
      </c>
      <c r="E33" s="66">
        <v>2545200</v>
      </c>
      <c r="F33" s="66">
        <v>3505200</v>
      </c>
      <c r="G33" s="66">
        <v>9600000</v>
      </c>
      <c r="H33" s="66">
        <v>22000000</v>
      </c>
      <c r="I33" s="66">
        <v>16385600</v>
      </c>
      <c r="J33" s="70">
        <v>16385600</v>
      </c>
      <c r="K33" s="70">
        <v>3724000</v>
      </c>
      <c r="L33" s="70">
        <v>3724000</v>
      </c>
      <c r="M33" s="70">
        <f>3724000*70%</f>
        <v>2606800</v>
      </c>
      <c r="N33" s="70">
        <f>3724000*70%</f>
        <v>2606800</v>
      </c>
      <c r="O33" s="70">
        <f>3724000*70%</f>
        <v>2606800</v>
      </c>
      <c r="P33" s="70">
        <v>186000000</v>
      </c>
      <c r="Q33" s="70">
        <v>0</v>
      </c>
      <c r="R33" s="66">
        <f t="shared" si="0"/>
        <v>-186000000</v>
      </c>
    </row>
    <row r="34" spans="1:18" ht="29.1" customHeight="1">
      <c r="A34" s="169"/>
      <c r="B34" s="106" t="s">
        <v>59</v>
      </c>
      <c r="C34" s="66">
        <v>15000000</v>
      </c>
      <c r="D34" s="66">
        <v>14000000</v>
      </c>
      <c r="E34" s="66">
        <v>9025900</v>
      </c>
      <c r="F34" s="66">
        <v>39837118</v>
      </c>
      <c r="G34" s="66">
        <v>0</v>
      </c>
      <c r="H34" s="66">
        <v>0</v>
      </c>
      <c r="I34" s="66">
        <v>0</v>
      </c>
      <c r="J34" s="70">
        <v>0</v>
      </c>
      <c r="K34" s="70">
        <v>0</v>
      </c>
      <c r="L34" s="111">
        <f t="shared" ref="L34:P34" si="1">SUM(L32:L33)</f>
        <v>87932136</v>
      </c>
      <c r="M34" s="111">
        <f t="shared" si="1"/>
        <v>53868786.5</v>
      </c>
      <c r="N34" s="111">
        <f t="shared" si="1"/>
        <v>53868786.5</v>
      </c>
      <c r="O34" s="111">
        <f t="shared" si="1"/>
        <v>53868786.5</v>
      </c>
      <c r="P34" s="111">
        <f t="shared" si="1"/>
        <v>237261986.5</v>
      </c>
      <c r="Q34" s="111">
        <f>SUM(Q32:Q33)</f>
        <v>70000000</v>
      </c>
      <c r="R34" s="106">
        <f t="shared" si="0"/>
        <v>-167261986.5</v>
      </c>
    </row>
    <row r="35" spans="1:18" s="267" customFormat="1" ht="29.1" customHeight="1">
      <c r="A35" s="249">
        <v>230</v>
      </c>
      <c r="B35" s="106" t="s">
        <v>165</v>
      </c>
      <c r="C35" s="106">
        <f t="shared" ref="C35:J35" si="2">SUM(C25:C34)</f>
        <v>42516965</v>
      </c>
      <c r="D35" s="106">
        <f t="shared" si="2"/>
        <v>25545292</v>
      </c>
      <c r="E35" s="106">
        <f t="shared" si="2"/>
        <v>20571192</v>
      </c>
      <c r="F35" s="106">
        <f t="shared" si="2"/>
        <v>95142610</v>
      </c>
      <c r="G35" s="106">
        <f t="shared" si="2"/>
        <v>120480000</v>
      </c>
      <c r="H35" s="106">
        <f t="shared" si="2"/>
        <v>160600000</v>
      </c>
      <c r="I35" s="106">
        <f t="shared" si="2"/>
        <v>119864794</v>
      </c>
      <c r="J35" s="111">
        <f t="shared" si="2"/>
        <v>134095520</v>
      </c>
      <c r="K35" s="111">
        <v>0</v>
      </c>
      <c r="L35" s="111"/>
      <c r="M35" s="111"/>
      <c r="N35" s="111"/>
      <c r="O35" s="111"/>
      <c r="P35" s="111"/>
      <c r="Q35" s="111"/>
      <c r="R35" s="66">
        <f t="shared" si="0"/>
        <v>0</v>
      </c>
    </row>
    <row r="36" spans="1:18" s="267" customFormat="1" ht="29.1" customHeight="1">
      <c r="A36" s="249">
        <v>2310</v>
      </c>
      <c r="B36" s="106" t="s">
        <v>164</v>
      </c>
      <c r="C36" s="106" t="e">
        <f>C35+C24+C17+#REF!+#REF!</f>
        <v>#REF!</v>
      </c>
      <c r="D36" s="106" t="e">
        <f>D35+D24+D17+#REF!+#REF!</f>
        <v>#REF!</v>
      </c>
      <c r="E36" s="106" t="e">
        <f>E35+E24+E17+#REF!+#REF!</f>
        <v>#REF!</v>
      </c>
      <c r="F36" s="106" t="e">
        <f>F35+F24+F17+#REF!+#REF!</f>
        <v>#REF!</v>
      </c>
      <c r="G36" s="106" t="e">
        <f>G35+G24+G17+#REF!+#REF!</f>
        <v>#REF!</v>
      </c>
      <c r="H36" s="106" t="e">
        <f>H35+H24+H17+#REF!+#REF!</f>
        <v>#REF!</v>
      </c>
      <c r="I36" s="106" t="e">
        <f>I35+I24+I17+#REF!+#REF!</f>
        <v>#REF!</v>
      </c>
      <c r="J36" s="111" t="e">
        <f>J35+J24+J17+#REF!+#REF!</f>
        <v>#REF!</v>
      </c>
      <c r="K36" s="111" t="e">
        <f>K35+#REF!+K30+K23+K16+#REF!</f>
        <v>#REF!</v>
      </c>
      <c r="L36" s="111"/>
      <c r="M36" s="111"/>
      <c r="N36" s="111"/>
      <c r="O36" s="111"/>
      <c r="P36" s="111"/>
      <c r="Q36" s="111"/>
      <c r="R36" s="66">
        <f t="shared" si="0"/>
        <v>0</v>
      </c>
    </row>
    <row r="37" spans="1:18" ht="29.1" customHeight="1">
      <c r="A37" s="169">
        <v>23101</v>
      </c>
      <c r="B37" s="66" t="s">
        <v>193</v>
      </c>
      <c r="C37" s="118"/>
      <c r="D37" s="118" t="s">
        <v>4</v>
      </c>
      <c r="E37" s="118"/>
      <c r="F37" s="66">
        <v>0</v>
      </c>
      <c r="G37" s="118"/>
      <c r="H37" s="118"/>
      <c r="I37" s="118"/>
      <c r="J37" s="118"/>
      <c r="K37" s="118"/>
      <c r="L37" s="70">
        <v>25000000</v>
      </c>
      <c r="M37" s="70">
        <v>16896000</v>
      </c>
      <c r="N37" s="70">
        <v>0</v>
      </c>
      <c r="O37" s="70">
        <v>0</v>
      </c>
      <c r="P37" s="70">
        <v>30000000</v>
      </c>
      <c r="Q37" s="70">
        <v>10000000</v>
      </c>
      <c r="R37" s="66">
        <f t="shared" si="0"/>
        <v>-20000000</v>
      </c>
    </row>
    <row r="38" spans="1:18" ht="29.1" customHeight="1">
      <c r="A38" s="169">
        <v>23102</v>
      </c>
      <c r="B38" s="66" t="s">
        <v>194</v>
      </c>
      <c r="C38" s="118"/>
      <c r="D38" s="100" t="s">
        <v>4</v>
      </c>
      <c r="E38" s="100"/>
      <c r="F38" s="66">
        <v>0</v>
      </c>
      <c r="G38" s="100"/>
      <c r="H38" s="100"/>
      <c r="I38" s="100"/>
      <c r="J38" s="100"/>
      <c r="K38" s="100"/>
      <c r="L38" s="70">
        <v>0</v>
      </c>
      <c r="M38" s="70">
        <v>160000000</v>
      </c>
      <c r="N38" s="70">
        <v>100000000</v>
      </c>
      <c r="O38" s="70">
        <v>120000000</v>
      </c>
      <c r="P38" s="70">
        <v>180000000</v>
      </c>
      <c r="Q38" s="70">
        <v>0</v>
      </c>
      <c r="R38" s="66">
        <f t="shared" si="0"/>
        <v>-180000000</v>
      </c>
    </row>
    <row r="39" spans="1:18" ht="29.1" customHeight="1">
      <c r="A39" s="169"/>
      <c r="B39" s="106" t="s">
        <v>59</v>
      </c>
      <c r="C39" s="118"/>
      <c r="D39" s="118"/>
      <c r="E39" s="118"/>
      <c r="F39" s="118">
        <f>1386274192-71600000-798000-176160000-12600000</f>
        <v>1125116192</v>
      </c>
      <c r="G39" s="118"/>
      <c r="H39" s="118"/>
      <c r="I39" s="118"/>
      <c r="J39" s="118"/>
      <c r="K39" s="118"/>
      <c r="L39" s="111">
        <f t="shared" ref="L39:P39" si="3">SUM(L37:L38)</f>
        <v>25000000</v>
      </c>
      <c r="M39" s="111">
        <f t="shared" si="3"/>
        <v>176896000</v>
      </c>
      <c r="N39" s="111">
        <f t="shared" si="3"/>
        <v>100000000</v>
      </c>
      <c r="O39" s="111">
        <f t="shared" si="3"/>
        <v>120000000</v>
      </c>
      <c r="P39" s="111">
        <f t="shared" si="3"/>
        <v>210000000</v>
      </c>
      <c r="Q39" s="111">
        <f>SUM(Q37:Q38)</f>
        <v>10000000</v>
      </c>
      <c r="R39" s="106">
        <f t="shared" si="0"/>
        <v>-200000000</v>
      </c>
    </row>
    <row r="40" spans="1:18" ht="29.1" customHeight="1">
      <c r="A40" s="368">
        <v>2320</v>
      </c>
      <c r="B40" s="297" t="s">
        <v>342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>
        <f t="shared" si="0"/>
        <v>0</v>
      </c>
    </row>
    <row r="41" spans="1:18" ht="29.1" customHeight="1">
      <c r="A41" s="169">
        <v>23201</v>
      </c>
      <c r="B41" s="66" t="s">
        <v>837</v>
      </c>
      <c r="C41" s="106"/>
      <c r="D41" s="106"/>
      <c r="E41" s="106"/>
      <c r="F41" s="106"/>
      <c r="G41" s="106"/>
      <c r="H41" s="106"/>
      <c r="I41" s="106"/>
      <c r="J41" s="106"/>
      <c r="K41" s="66"/>
      <c r="L41" s="66">
        <v>199064000</v>
      </c>
      <c r="M41" s="66">
        <f>199064000*70%</f>
        <v>139344800</v>
      </c>
      <c r="N41" s="66">
        <f>199064000*70%</f>
        <v>139344800</v>
      </c>
      <c r="O41" s="66">
        <v>0</v>
      </c>
      <c r="P41" s="66">
        <v>0</v>
      </c>
      <c r="Q41" s="66">
        <v>400000000</v>
      </c>
      <c r="R41" s="66">
        <f t="shared" si="0"/>
        <v>400000000</v>
      </c>
    </row>
    <row r="42" spans="1:18" ht="29.1" customHeight="1">
      <c r="A42" s="169"/>
      <c r="B42" s="106" t="s">
        <v>59</v>
      </c>
      <c r="C42" s="66"/>
      <c r="D42" s="66"/>
      <c r="E42" s="66"/>
      <c r="F42" s="66"/>
      <c r="G42" s="66"/>
      <c r="H42" s="66"/>
      <c r="I42" s="66"/>
      <c r="J42" s="106">
        <f t="shared" ref="J42:O42" si="4">SUM(J41)</f>
        <v>0</v>
      </c>
      <c r="K42" s="106">
        <f t="shared" si="4"/>
        <v>0</v>
      </c>
      <c r="L42" s="106">
        <f t="shared" si="4"/>
        <v>199064000</v>
      </c>
      <c r="M42" s="106">
        <f t="shared" si="4"/>
        <v>139344800</v>
      </c>
      <c r="N42" s="106">
        <f t="shared" si="4"/>
        <v>139344800</v>
      </c>
      <c r="O42" s="106">
        <f t="shared" si="4"/>
        <v>0</v>
      </c>
      <c r="P42" s="106">
        <f>SUM(P41)</f>
        <v>0</v>
      </c>
      <c r="Q42" s="106">
        <f>SUM(Q41)</f>
        <v>400000000</v>
      </c>
      <c r="R42" s="66">
        <f t="shared" si="0"/>
        <v>400000000</v>
      </c>
    </row>
    <row r="43" spans="1:18" ht="29.1" customHeight="1">
      <c r="A43" s="169"/>
      <c r="B43" s="106" t="s">
        <v>18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05">
        <f>L39+L34+L30+L23+L8</f>
        <v>2347525694</v>
      </c>
      <c r="M43" s="105" t="e">
        <f>M42+M39+M34+M30+M23+M8</f>
        <v>#REF!</v>
      </c>
      <c r="N43" s="105">
        <f>N42+N39+N34+N30+N23+N8</f>
        <v>3806796061.0714283</v>
      </c>
      <c r="O43" s="105">
        <f>O42+O39+O34+O30+O23+O8</f>
        <v>3157562160.5</v>
      </c>
      <c r="P43" s="105">
        <f>P42+P39+P34+P30+P23+P8</f>
        <v>4853802580.5</v>
      </c>
      <c r="Q43" s="105">
        <f>Q42+Q39+Q34+Q30+Q23+Q8</f>
        <v>5271892226</v>
      </c>
      <c r="R43" s="106">
        <f t="shared" si="0"/>
        <v>418089645.5</v>
      </c>
    </row>
    <row r="44" spans="1:18" ht="29.1" customHeight="1">
      <c r="N44" s="361"/>
      <c r="O44" s="361"/>
    </row>
    <row r="45" spans="1:18" ht="29.1" customHeight="1">
      <c r="N45" s="361"/>
      <c r="O45" s="361"/>
    </row>
    <row r="46" spans="1:18" ht="29.1" customHeight="1">
      <c r="N46" s="361"/>
      <c r="O46" s="361"/>
    </row>
    <row r="47" spans="1:18" ht="29.1" customHeight="1">
      <c r="N47" s="361"/>
      <c r="O47" s="361"/>
    </row>
    <row r="48" spans="1:18" ht="29.1" customHeight="1">
      <c r="N48" s="361"/>
      <c r="O48" s="361"/>
    </row>
    <row r="49" spans="14:15" ht="29.1" customHeight="1">
      <c r="N49" s="361"/>
      <c r="O49" s="361"/>
    </row>
    <row r="50" spans="14:15" ht="29.1" customHeight="1">
      <c r="N50" s="361"/>
      <c r="O50" s="361"/>
    </row>
    <row r="51" spans="14:15" ht="29.1" customHeight="1">
      <c r="N51" s="361"/>
      <c r="O51" s="361"/>
    </row>
    <row r="52" spans="14:15" ht="29.1" customHeight="1">
      <c r="N52" s="361"/>
      <c r="O52" s="361"/>
    </row>
    <row r="53" spans="14:15" ht="29.1" customHeight="1">
      <c r="N53" s="361"/>
      <c r="O53" s="361"/>
    </row>
    <row r="54" spans="14:15" ht="29.1" customHeight="1">
      <c r="N54" s="361"/>
      <c r="O54" s="361"/>
    </row>
    <row r="55" spans="14:15" ht="29.1" customHeight="1">
      <c r="N55" s="361"/>
      <c r="O55" s="361"/>
    </row>
    <row r="56" spans="14:15" ht="29.1" customHeight="1">
      <c r="N56" s="361"/>
      <c r="O56" s="361"/>
    </row>
    <row r="57" spans="14:15" ht="29.1" customHeight="1">
      <c r="N57" s="361"/>
      <c r="O57" s="361"/>
    </row>
    <row r="58" spans="14:15" ht="29.1" customHeight="1">
      <c r="N58" s="361"/>
      <c r="O58" s="361"/>
    </row>
    <row r="59" spans="14:15" ht="29.1" customHeight="1">
      <c r="N59" s="361"/>
      <c r="O59" s="361"/>
    </row>
    <row r="60" spans="14:15" ht="29.1" customHeight="1">
      <c r="N60" s="361"/>
      <c r="O60" s="361"/>
    </row>
    <row r="61" spans="14:15" ht="29.1" customHeight="1">
      <c r="N61" s="361"/>
      <c r="O61" s="361"/>
    </row>
    <row r="62" spans="14:15" ht="29.1" customHeight="1">
      <c r="N62" s="361"/>
      <c r="O62" s="361"/>
    </row>
    <row r="63" spans="14:15" ht="29.1" customHeight="1">
      <c r="N63" s="361"/>
      <c r="O63" s="361"/>
    </row>
    <row r="64" spans="14:15" ht="29.1" customHeight="1">
      <c r="N64" s="361"/>
      <c r="O64" s="361"/>
    </row>
    <row r="65" spans="14:15" ht="29.1" customHeight="1">
      <c r="N65" s="361"/>
      <c r="O65" s="361"/>
    </row>
    <row r="66" spans="14:15" ht="29.1" customHeight="1">
      <c r="N66" s="361"/>
      <c r="O66" s="361"/>
    </row>
    <row r="67" spans="14:15" ht="29.1" customHeight="1">
      <c r="N67" s="361"/>
      <c r="O67" s="361"/>
    </row>
    <row r="68" spans="14:15" ht="29.1" customHeight="1">
      <c r="N68" s="361"/>
      <c r="O68" s="361"/>
    </row>
    <row r="69" spans="14:15" ht="29.1" customHeight="1">
      <c r="N69" s="361"/>
      <c r="O69" s="361"/>
    </row>
    <row r="70" spans="14:15" ht="29.1" customHeight="1">
      <c r="N70" s="361"/>
      <c r="O70" s="361"/>
    </row>
    <row r="71" spans="14:15" ht="29.1" customHeight="1">
      <c r="N71" s="361"/>
      <c r="O71" s="361"/>
    </row>
    <row r="72" spans="14:15" ht="29.1" customHeight="1">
      <c r="N72" s="361"/>
      <c r="O72" s="361"/>
    </row>
    <row r="73" spans="14:15" ht="29.1" customHeight="1">
      <c r="N73" s="361"/>
      <c r="O73" s="361"/>
    </row>
    <row r="74" spans="14:15" ht="29.1" customHeight="1">
      <c r="N74" s="361"/>
      <c r="O74" s="361"/>
    </row>
    <row r="75" spans="14:15" ht="29.1" customHeight="1">
      <c r="N75" s="361"/>
      <c r="O75" s="361"/>
    </row>
    <row r="76" spans="14:15" ht="29.1" customHeight="1">
      <c r="N76" s="361"/>
      <c r="O76" s="361"/>
    </row>
    <row r="77" spans="14:15" ht="29.1" customHeight="1">
      <c r="N77" s="361"/>
      <c r="O77" s="361"/>
    </row>
    <row r="78" spans="14:15" ht="29.1" customHeight="1">
      <c r="N78" s="361"/>
      <c r="O78" s="361"/>
    </row>
    <row r="79" spans="14:15" ht="29.1" customHeight="1">
      <c r="N79" s="361"/>
      <c r="O79" s="361"/>
    </row>
    <row r="80" spans="14:15" ht="29.1" customHeight="1">
      <c r="N80" s="361"/>
      <c r="O80" s="361"/>
    </row>
    <row r="81" spans="14:15" ht="29.1" customHeight="1">
      <c r="N81" s="361"/>
      <c r="O81" s="361"/>
    </row>
    <row r="82" spans="14:15" ht="29.1" customHeight="1">
      <c r="N82" s="361"/>
      <c r="O82" s="361"/>
    </row>
    <row r="83" spans="14:15" ht="29.1" customHeight="1">
      <c r="N83" s="361"/>
      <c r="O83" s="361"/>
    </row>
    <row r="84" spans="14:15" ht="29.1" customHeight="1">
      <c r="N84" s="361"/>
      <c r="O84" s="361"/>
    </row>
    <row r="85" spans="14:15" ht="29.1" customHeight="1">
      <c r="N85" s="361"/>
      <c r="O85" s="361"/>
    </row>
    <row r="86" spans="14:15" ht="29.1" customHeight="1">
      <c r="N86" s="361"/>
      <c r="O86" s="361"/>
    </row>
    <row r="87" spans="14:15" ht="29.1" customHeight="1">
      <c r="N87" s="361"/>
      <c r="O87" s="361"/>
    </row>
    <row r="88" spans="14:15" ht="29.1" customHeight="1">
      <c r="N88" s="361"/>
      <c r="O88" s="361"/>
    </row>
    <row r="89" spans="14:15" ht="29.1" customHeight="1">
      <c r="N89" s="361"/>
      <c r="O89" s="361"/>
    </row>
    <row r="90" spans="14:15" ht="29.1" customHeight="1">
      <c r="N90" s="361"/>
      <c r="O90" s="361"/>
    </row>
    <row r="91" spans="14:15" ht="29.1" customHeight="1">
      <c r="N91" s="361"/>
      <c r="O91" s="361"/>
    </row>
    <row r="92" spans="14:15" ht="29.1" customHeight="1">
      <c r="N92" s="361"/>
      <c r="O92" s="361"/>
    </row>
    <row r="93" spans="14:15" ht="29.1" customHeight="1">
      <c r="N93" s="361"/>
      <c r="O93" s="361"/>
    </row>
    <row r="94" spans="14:15" ht="29.1" customHeight="1">
      <c r="N94" s="361"/>
      <c r="O94" s="361"/>
    </row>
    <row r="95" spans="14:15" ht="29.1" customHeight="1">
      <c r="N95" s="361"/>
      <c r="O95" s="361"/>
    </row>
    <row r="96" spans="14:15" ht="29.1" customHeight="1">
      <c r="N96" s="361"/>
      <c r="O96" s="361"/>
    </row>
    <row r="97" spans="14:15" ht="29.1" customHeight="1">
      <c r="N97" s="361"/>
      <c r="O97" s="361"/>
    </row>
    <row r="98" spans="14:15" ht="29.1" customHeight="1">
      <c r="N98" s="361"/>
      <c r="O98" s="361"/>
    </row>
    <row r="99" spans="14:15" ht="29.1" customHeight="1">
      <c r="N99" s="361"/>
      <c r="O99" s="361"/>
    </row>
    <row r="100" spans="14:15" ht="29.1" customHeight="1">
      <c r="N100" s="361"/>
      <c r="O100" s="361"/>
    </row>
    <row r="101" spans="14:15" ht="29.1" customHeight="1">
      <c r="N101" s="361"/>
      <c r="O101" s="361"/>
    </row>
    <row r="102" spans="14:15" ht="29.1" customHeight="1">
      <c r="N102" s="361"/>
      <c r="O102" s="361"/>
    </row>
    <row r="103" spans="14:15" ht="29.1" customHeight="1">
      <c r="N103" s="361"/>
      <c r="O103" s="361"/>
    </row>
    <row r="104" spans="14:15" ht="29.1" customHeight="1">
      <c r="N104" s="361"/>
      <c r="O104" s="361"/>
    </row>
    <row r="105" spans="14:15" ht="29.1" customHeight="1">
      <c r="N105" s="361"/>
      <c r="O105" s="361"/>
    </row>
    <row r="106" spans="14:15" ht="29.1" customHeight="1">
      <c r="N106" s="361"/>
      <c r="O106" s="361"/>
    </row>
    <row r="107" spans="14:15" ht="29.1" customHeight="1">
      <c r="N107" s="361"/>
      <c r="O107" s="361"/>
    </row>
    <row r="108" spans="14:15" ht="29.1" customHeight="1">
      <c r="N108" s="361"/>
      <c r="O108" s="361"/>
    </row>
    <row r="109" spans="14:15" ht="29.1" customHeight="1">
      <c r="N109" s="361"/>
      <c r="O109" s="361"/>
    </row>
    <row r="110" spans="14:15" ht="29.1" customHeight="1">
      <c r="N110" s="361"/>
      <c r="O110" s="361"/>
    </row>
    <row r="111" spans="14:15" ht="29.1" customHeight="1">
      <c r="N111" s="361"/>
      <c r="O111" s="361"/>
    </row>
    <row r="112" spans="14:15" ht="29.1" customHeight="1">
      <c r="N112" s="361"/>
      <c r="O112" s="361"/>
    </row>
    <row r="113" spans="14:15" ht="29.1" customHeight="1">
      <c r="N113" s="361"/>
      <c r="O113" s="361"/>
    </row>
    <row r="114" spans="14:15" ht="29.1" customHeight="1">
      <c r="N114" s="361"/>
      <c r="O114" s="361"/>
    </row>
    <row r="115" spans="14:15" ht="29.1" customHeight="1">
      <c r="N115" s="361"/>
      <c r="O115" s="361"/>
    </row>
    <row r="116" spans="14:15" ht="29.1" customHeight="1">
      <c r="N116" s="361"/>
      <c r="O116" s="361"/>
    </row>
    <row r="117" spans="14:15" ht="29.1" customHeight="1">
      <c r="N117" s="361"/>
      <c r="O117" s="361"/>
    </row>
    <row r="118" spans="14:15" ht="29.1" customHeight="1">
      <c r="N118" s="361"/>
      <c r="O118" s="361"/>
    </row>
    <row r="119" spans="14:15" ht="29.1" customHeight="1">
      <c r="N119" s="361"/>
      <c r="O119" s="361"/>
    </row>
    <row r="120" spans="14:15" ht="29.1" customHeight="1">
      <c r="N120" s="361"/>
      <c r="O120" s="361"/>
    </row>
    <row r="121" spans="14:15" ht="29.1" customHeight="1">
      <c r="N121" s="361"/>
      <c r="O121" s="361"/>
    </row>
    <row r="122" spans="14:15" ht="29.1" customHeight="1">
      <c r="N122" s="361"/>
      <c r="O122" s="361"/>
    </row>
    <row r="123" spans="14:15" ht="29.1" customHeight="1">
      <c r="N123" s="361"/>
      <c r="O123" s="361"/>
    </row>
    <row r="124" spans="14:15" ht="29.1" customHeight="1">
      <c r="N124" s="361"/>
      <c r="O124" s="361"/>
    </row>
    <row r="125" spans="14:15" ht="29.1" customHeight="1">
      <c r="N125" s="361"/>
      <c r="O125" s="361"/>
    </row>
    <row r="126" spans="14:15" ht="29.1" customHeight="1">
      <c r="N126" s="361"/>
      <c r="O126" s="361"/>
    </row>
    <row r="127" spans="14:15" ht="29.1" customHeight="1">
      <c r="N127" s="361"/>
      <c r="O127" s="361"/>
    </row>
    <row r="128" spans="14:15" ht="29.1" customHeight="1">
      <c r="N128" s="361"/>
      <c r="O128" s="361"/>
    </row>
    <row r="129" spans="14:15" ht="29.1" customHeight="1">
      <c r="N129" s="361"/>
      <c r="O129" s="361"/>
    </row>
    <row r="130" spans="14:15" ht="29.1" customHeight="1">
      <c r="N130" s="361"/>
      <c r="O130" s="361"/>
    </row>
    <row r="131" spans="14:15" ht="29.1" customHeight="1">
      <c r="N131" s="361"/>
      <c r="O131" s="361"/>
    </row>
    <row r="132" spans="14:15" ht="29.1" customHeight="1">
      <c r="N132" s="361"/>
      <c r="O132" s="361"/>
    </row>
    <row r="133" spans="14:15" ht="29.1" customHeight="1">
      <c r="N133" s="361"/>
      <c r="O133" s="361"/>
    </row>
    <row r="134" spans="14:15" ht="29.1" customHeight="1">
      <c r="N134" s="361"/>
      <c r="O134" s="361"/>
    </row>
    <row r="135" spans="14:15" ht="29.1" customHeight="1">
      <c r="N135" s="361"/>
      <c r="O135" s="361"/>
    </row>
    <row r="136" spans="14:15" ht="29.1" customHeight="1">
      <c r="N136" s="361"/>
      <c r="O136" s="361"/>
    </row>
    <row r="137" spans="14:15" ht="29.1" customHeight="1">
      <c r="N137" s="361"/>
      <c r="O137" s="361"/>
    </row>
    <row r="138" spans="14:15" ht="29.1" customHeight="1">
      <c r="N138" s="361"/>
      <c r="O138" s="361"/>
    </row>
    <row r="139" spans="14:15" ht="29.1" customHeight="1">
      <c r="N139" s="361"/>
      <c r="O139" s="361"/>
    </row>
    <row r="140" spans="14:15" ht="29.1" customHeight="1">
      <c r="N140" s="361"/>
      <c r="O140" s="361"/>
    </row>
    <row r="141" spans="14:15" ht="29.1" customHeight="1">
      <c r="N141" s="361"/>
      <c r="O141" s="361"/>
    </row>
    <row r="142" spans="14:15" ht="29.1" customHeight="1">
      <c r="N142" s="361"/>
      <c r="O142" s="361"/>
    </row>
    <row r="143" spans="14:15" ht="29.1" customHeight="1">
      <c r="N143" s="361"/>
      <c r="O143" s="361"/>
    </row>
    <row r="144" spans="14:15" ht="29.1" customHeight="1">
      <c r="N144" s="361"/>
      <c r="O144" s="361"/>
    </row>
    <row r="145" spans="14:15" ht="29.1" customHeight="1">
      <c r="N145" s="361"/>
      <c r="O145" s="361"/>
    </row>
    <row r="146" spans="14:15" ht="29.1" customHeight="1">
      <c r="N146" s="361"/>
      <c r="O146" s="361"/>
    </row>
    <row r="147" spans="14:15" ht="29.1" customHeight="1">
      <c r="N147" s="361"/>
      <c r="O147" s="361"/>
    </row>
    <row r="148" spans="14:15" ht="29.1" customHeight="1">
      <c r="N148" s="361"/>
      <c r="O148" s="361"/>
    </row>
    <row r="149" spans="14:15" ht="29.1" customHeight="1">
      <c r="N149" s="361"/>
      <c r="O149" s="361"/>
    </row>
    <row r="150" spans="14:15" ht="29.1" customHeight="1">
      <c r="N150" s="361"/>
      <c r="O150" s="361"/>
    </row>
    <row r="151" spans="14:15" ht="29.1" customHeight="1">
      <c r="N151" s="361"/>
      <c r="O151" s="361"/>
    </row>
    <row r="152" spans="14:15" ht="29.1" customHeight="1">
      <c r="N152" s="361"/>
      <c r="O152" s="361"/>
    </row>
    <row r="153" spans="14:15" ht="29.1" customHeight="1">
      <c r="N153" s="361"/>
      <c r="O153" s="361"/>
    </row>
    <row r="154" spans="14:15" ht="29.1" customHeight="1">
      <c r="N154" s="361"/>
      <c r="O154" s="361"/>
    </row>
    <row r="155" spans="14:15" ht="29.1" customHeight="1">
      <c r="N155" s="361"/>
      <c r="O155" s="361"/>
    </row>
    <row r="156" spans="14:15" ht="29.1" customHeight="1">
      <c r="N156" s="361"/>
      <c r="O156" s="361"/>
    </row>
    <row r="157" spans="14:15" ht="29.1" customHeight="1">
      <c r="N157" s="361"/>
      <c r="O157" s="361"/>
    </row>
    <row r="158" spans="14:15" ht="29.1" customHeight="1">
      <c r="N158" s="361"/>
      <c r="O158" s="361"/>
    </row>
    <row r="159" spans="14:15" ht="29.1" customHeight="1">
      <c r="N159" s="361"/>
      <c r="O159" s="361"/>
    </row>
    <row r="160" spans="14:15" ht="29.1" customHeight="1">
      <c r="N160" s="361"/>
      <c r="O160" s="361"/>
    </row>
    <row r="161" spans="14:15" ht="29.1" customHeight="1">
      <c r="N161" s="361"/>
      <c r="O161" s="361"/>
    </row>
    <row r="162" spans="14:15" ht="29.1" customHeight="1">
      <c r="N162" s="361"/>
      <c r="O162" s="361"/>
    </row>
    <row r="163" spans="14:15" ht="29.1" customHeight="1">
      <c r="N163" s="361"/>
      <c r="O163" s="361"/>
    </row>
    <row r="164" spans="14:15" ht="29.1" customHeight="1">
      <c r="N164" s="361"/>
      <c r="O164" s="361"/>
    </row>
    <row r="165" spans="14:15" ht="29.1" customHeight="1">
      <c r="N165" s="361"/>
      <c r="O165" s="361"/>
    </row>
    <row r="166" spans="14:15" ht="29.1" customHeight="1">
      <c r="N166" s="361"/>
      <c r="O166" s="361"/>
    </row>
    <row r="167" spans="14:15" ht="29.1" customHeight="1">
      <c r="N167" s="361"/>
      <c r="O167" s="361"/>
    </row>
    <row r="168" spans="14:15" ht="29.1" customHeight="1">
      <c r="N168" s="361"/>
      <c r="O168" s="361"/>
    </row>
    <row r="169" spans="14:15" ht="29.1" customHeight="1">
      <c r="N169" s="361"/>
      <c r="O169" s="361"/>
    </row>
    <row r="170" spans="14:15" ht="29.1" customHeight="1">
      <c r="N170" s="361"/>
      <c r="O170" s="361"/>
    </row>
    <row r="171" spans="14:15" ht="29.1" customHeight="1">
      <c r="N171" s="361"/>
      <c r="O171" s="361"/>
    </row>
    <row r="172" spans="14:15" ht="29.1" customHeight="1">
      <c r="N172" s="361"/>
      <c r="O172" s="361"/>
    </row>
    <row r="173" spans="14:15" ht="29.1" customHeight="1">
      <c r="N173" s="361"/>
      <c r="O173" s="361"/>
    </row>
    <row r="174" spans="14:15" ht="29.1" customHeight="1">
      <c r="N174" s="361"/>
      <c r="O174" s="361"/>
    </row>
    <row r="175" spans="14:15" ht="29.1" customHeight="1">
      <c r="N175" s="361"/>
      <c r="O175" s="361"/>
    </row>
    <row r="176" spans="14:15" ht="29.1" customHeight="1">
      <c r="N176" s="361"/>
      <c r="O176" s="361"/>
    </row>
    <row r="177" spans="14:15" ht="29.1" customHeight="1">
      <c r="N177" s="361"/>
      <c r="O177" s="361"/>
    </row>
    <row r="178" spans="14:15" ht="29.1" customHeight="1">
      <c r="N178" s="361"/>
      <c r="O178" s="361"/>
    </row>
    <row r="179" spans="14:15" ht="29.1" customHeight="1">
      <c r="N179" s="361"/>
      <c r="O179" s="361"/>
    </row>
    <row r="180" spans="14:15" ht="29.1" customHeight="1">
      <c r="N180" s="361"/>
      <c r="O180" s="361"/>
    </row>
    <row r="181" spans="14:15" ht="29.1" customHeight="1">
      <c r="N181" s="361"/>
      <c r="O181" s="361"/>
    </row>
    <row r="182" spans="14:15" ht="29.1" customHeight="1">
      <c r="N182" s="361"/>
      <c r="O182" s="361"/>
    </row>
    <row r="183" spans="14:15" ht="29.1" customHeight="1">
      <c r="N183" s="361"/>
      <c r="O183" s="361"/>
    </row>
    <row r="184" spans="14:15" ht="29.1" customHeight="1">
      <c r="N184" s="361"/>
      <c r="O184" s="361"/>
    </row>
    <row r="185" spans="14:15" ht="29.1" customHeight="1">
      <c r="N185" s="361"/>
      <c r="O185" s="361"/>
    </row>
    <row r="186" spans="14:15" ht="29.1" customHeight="1">
      <c r="N186" s="361"/>
      <c r="O186" s="361"/>
    </row>
    <row r="187" spans="14:15" ht="29.1" customHeight="1">
      <c r="N187" s="361"/>
      <c r="O187" s="361"/>
    </row>
    <row r="188" spans="14:15" ht="29.1" customHeight="1">
      <c r="N188" s="361"/>
      <c r="O188" s="361"/>
    </row>
    <row r="189" spans="14:15" ht="29.1" customHeight="1">
      <c r="N189" s="361"/>
      <c r="O189" s="361"/>
    </row>
    <row r="190" spans="14:15" ht="29.1" customHeight="1">
      <c r="N190" s="361"/>
      <c r="O190" s="361"/>
    </row>
    <row r="191" spans="14:15" ht="29.1" customHeight="1">
      <c r="N191" s="361"/>
      <c r="O191" s="361"/>
    </row>
    <row r="192" spans="14:15" ht="29.1" customHeight="1">
      <c r="N192" s="361"/>
      <c r="O192" s="361"/>
    </row>
    <row r="193" spans="14:15" ht="29.1" customHeight="1">
      <c r="N193" s="361"/>
      <c r="O193" s="361"/>
    </row>
    <row r="194" spans="14:15" ht="29.1" customHeight="1">
      <c r="N194" s="361"/>
      <c r="O194" s="361"/>
    </row>
    <row r="195" spans="14:15" ht="29.1" customHeight="1">
      <c r="N195" s="361"/>
      <c r="O195" s="361"/>
    </row>
    <row r="196" spans="14:15" ht="29.1" customHeight="1">
      <c r="N196" s="361"/>
      <c r="O196" s="361"/>
    </row>
    <row r="197" spans="14:15" ht="29.1" customHeight="1">
      <c r="N197" s="361"/>
      <c r="O197" s="361"/>
    </row>
    <row r="198" spans="14:15" ht="29.1" customHeight="1">
      <c r="N198" s="361"/>
      <c r="O198" s="361"/>
    </row>
    <row r="199" spans="14:15" ht="29.1" customHeight="1">
      <c r="N199" s="361"/>
      <c r="O199" s="361"/>
    </row>
    <row r="200" spans="14:15" ht="29.1" customHeight="1">
      <c r="N200" s="361"/>
      <c r="O200" s="361"/>
    </row>
    <row r="201" spans="14:15" ht="29.1" customHeight="1">
      <c r="N201" s="361"/>
      <c r="O201" s="361"/>
    </row>
    <row r="202" spans="14:15" ht="29.1" customHeight="1">
      <c r="N202" s="361"/>
      <c r="O202" s="361"/>
    </row>
    <row r="203" spans="14:15" ht="29.1" customHeight="1">
      <c r="N203" s="361"/>
      <c r="O203" s="361"/>
    </row>
    <row r="204" spans="14:15" ht="29.1" customHeight="1">
      <c r="N204" s="361"/>
      <c r="O204" s="361"/>
    </row>
    <row r="205" spans="14:15" ht="29.1" customHeight="1">
      <c r="N205" s="361"/>
      <c r="O205" s="361"/>
    </row>
    <row r="206" spans="14:15" ht="29.1" customHeight="1">
      <c r="N206" s="361"/>
      <c r="O206" s="361"/>
    </row>
    <row r="207" spans="14:15" ht="29.1" customHeight="1">
      <c r="N207" s="361"/>
      <c r="O207" s="361"/>
    </row>
    <row r="208" spans="14:15" ht="29.1" customHeight="1">
      <c r="N208" s="361"/>
      <c r="O208" s="361"/>
    </row>
    <row r="209" spans="14:15" ht="29.1" customHeight="1">
      <c r="N209" s="361"/>
      <c r="O209" s="361"/>
    </row>
    <row r="210" spans="14:15" ht="29.1" customHeight="1">
      <c r="N210" s="361"/>
      <c r="O210" s="361"/>
    </row>
    <row r="211" spans="14:15" ht="29.1" customHeight="1">
      <c r="N211" s="361"/>
      <c r="O211" s="361"/>
    </row>
    <row r="212" spans="14:15" ht="29.1" customHeight="1">
      <c r="N212" s="361"/>
      <c r="O212" s="361"/>
    </row>
    <row r="213" spans="14:15" ht="29.1" customHeight="1">
      <c r="N213" s="361"/>
      <c r="O213" s="361"/>
    </row>
    <row r="214" spans="14:15" ht="29.1" customHeight="1">
      <c r="N214" s="361"/>
      <c r="O214" s="361"/>
    </row>
    <row r="215" spans="14:15" ht="29.1" customHeight="1">
      <c r="N215" s="361"/>
      <c r="O215" s="361"/>
    </row>
    <row r="216" spans="14:15" ht="29.1" customHeight="1">
      <c r="N216" s="361"/>
      <c r="O216" s="361"/>
    </row>
    <row r="217" spans="14:15" ht="29.1" customHeight="1">
      <c r="N217" s="361"/>
      <c r="O217" s="361"/>
    </row>
    <row r="218" spans="14:15" ht="29.1" customHeight="1">
      <c r="N218" s="361"/>
      <c r="O218" s="361"/>
    </row>
    <row r="219" spans="14:15" ht="29.1" customHeight="1">
      <c r="N219" s="361"/>
      <c r="O219" s="361"/>
    </row>
    <row r="220" spans="14:15" ht="29.1" customHeight="1">
      <c r="N220" s="361"/>
      <c r="O220" s="361"/>
    </row>
    <row r="221" spans="14:15" ht="29.1" customHeight="1">
      <c r="N221" s="361"/>
      <c r="O221" s="361"/>
    </row>
    <row r="222" spans="14:15" ht="29.1" customHeight="1">
      <c r="N222" s="361"/>
      <c r="O222" s="361"/>
    </row>
    <row r="223" spans="14:15" ht="29.1" customHeight="1">
      <c r="N223" s="361"/>
      <c r="O223" s="361"/>
    </row>
    <row r="224" spans="14:15" ht="29.1" customHeight="1">
      <c r="N224" s="361"/>
      <c r="O224" s="361"/>
    </row>
    <row r="225" spans="14:15" ht="29.1" customHeight="1">
      <c r="N225" s="361"/>
      <c r="O225" s="361"/>
    </row>
    <row r="226" spans="14:15" ht="29.1" customHeight="1">
      <c r="N226" s="361"/>
      <c r="O226" s="361"/>
    </row>
    <row r="227" spans="14:15" ht="29.1" customHeight="1">
      <c r="N227" s="361"/>
      <c r="O227" s="361"/>
    </row>
    <row r="228" spans="14:15" ht="29.1" customHeight="1">
      <c r="N228" s="361"/>
      <c r="O228" s="361"/>
    </row>
    <row r="229" spans="14:15" ht="29.1" customHeight="1">
      <c r="N229" s="361"/>
      <c r="O229" s="361"/>
    </row>
    <row r="230" spans="14:15" ht="29.1" customHeight="1">
      <c r="N230" s="361"/>
      <c r="O230" s="361"/>
    </row>
    <row r="231" spans="14:15" ht="29.1" customHeight="1">
      <c r="N231" s="361"/>
      <c r="O231" s="361"/>
    </row>
    <row r="232" spans="14:15" ht="29.1" customHeight="1">
      <c r="N232" s="361"/>
      <c r="O232" s="361"/>
    </row>
    <row r="233" spans="14:15" ht="29.1" customHeight="1">
      <c r="N233" s="361"/>
      <c r="O233" s="361"/>
    </row>
    <row r="234" spans="14:15" ht="29.1" customHeight="1">
      <c r="N234" s="361"/>
      <c r="O234" s="361"/>
    </row>
    <row r="235" spans="14:15" ht="29.1" customHeight="1">
      <c r="N235" s="361"/>
      <c r="O235" s="361"/>
    </row>
    <row r="236" spans="14:15" ht="29.1" customHeight="1">
      <c r="N236" s="361"/>
      <c r="O236" s="361"/>
    </row>
    <row r="237" spans="14:15" ht="29.1" customHeight="1">
      <c r="N237" s="361"/>
      <c r="O237" s="361"/>
    </row>
    <row r="238" spans="14:15" ht="29.1" customHeight="1">
      <c r="N238" s="361"/>
      <c r="O238" s="361"/>
    </row>
    <row r="239" spans="14:15" ht="29.1" customHeight="1">
      <c r="N239" s="361"/>
      <c r="O239" s="361"/>
    </row>
    <row r="240" spans="14:15" ht="29.1" customHeight="1">
      <c r="N240" s="361"/>
      <c r="O240" s="361"/>
    </row>
    <row r="241" spans="14:15" ht="29.1" customHeight="1">
      <c r="N241" s="361"/>
      <c r="O241" s="361"/>
    </row>
    <row r="242" spans="14:15" ht="29.1" customHeight="1">
      <c r="N242" s="361"/>
      <c r="O242" s="361"/>
    </row>
    <row r="243" spans="14:15" ht="29.1" customHeight="1">
      <c r="N243" s="361"/>
      <c r="O243" s="361"/>
    </row>
    <row r="244" spans="14:15" ht="29.1" customHeight="1">
      <c r="N244" s="361"/>
      <c r="O244" s="361"/>
    </row>
    <row r="245" spans="14:15" ht="29.1" customHeight="1">
      <c r="N245" s="361"/>
      <c r="O245" s="361"/>
    </row>
    <row r="246" spans="14:15" ht="29.1" customHeight="1">
      <c r="N246" s="361"/>
      <c r="O246" s="361"/>
    </row>
    <row r="247" spans="14:15" ht="29.1" customHeight="1">
      <c r="N247" s="361"/>
      <c r="O247" s="361"/>
    </row>
    <row r="248" spans="14:15" ht="29.1" customHeight="1">
      <c r="N248" s="361"/>
      <c r="O248" s="361"/>
    </row>
    <row r="249" spans="14:15" ht="29.1" customHeight="1">
      <c r="N249" s="361"/>
      <c r="O249" s="361"/>
    </row>
    <row r="250" spans="14:15" ht="29.1" customHeight="1">
      <c r="N250" s="361"/>
      <c r="O250" s="361"/>
    </row>
    <row r="251" spans="14:15" ht="29.1" customHeight="1">
      <c r="N251" s="361"/>
      <c r="O251" s="361"/>
    </row>
    <row r="252" spans="14:15" ht="29.1" customHeight="1">
      <c r="N252" s="361"/>
      <c r="O252" s="361"/>
    </row>
    <row r="253" spans="14:15" ht="29.1" customHeight="1">
      <c r="N253" s="361"/>
      <c r="O253" s="361"/>
    </row>
    <row r="254" spans="14:15" ht="29.1" customHeight="1">
      <c r="N254" s="361"/>
      <c r="O254" s="361"/>
    </row>
    <row r="255" spans="14:15" ht="29.1" customHeight="1">
      <c r="N255" s="361"/>
      <c r="O255" s="361"/>
    </row>
    <row r="256" spans="14:15" ht="29.1" customHeight="1">
      <c r="N256" s="361"/>
      <c r="O256" s="361"/>
    </row>
    <row r="257" spans="14:15" ht="29.1" customHeight="1">
      <c r="N257" s="361"/>
      <c r="O257" s="361"/>
    </row>
    <row r="258" spans="14:15" ht="29.1" customHeight="1">
      <c r="N258" s="361"/>
      <c r="O258" s="361"/>
    </row>
    <row r="259" spans="14:15" ht="29.1" customHeight="1">
      <c r="N259" s="361"/>
      <c r="O259" s="361"/>
    </row>
    <row r="260" spans="14:15" ht="29.1" customHeight="1">
      <c r="N260" s="361"/>
      <c r="O260" s="361"/>
    </row>
    <row r="261" spans="14:15" ht="29.1" customHeight="1">
      <c r="N261" s="361"/>
      <c r="O261" s="361"/>
    </row>
    <row r="262" spans="14:15" ht="29.1" customHeight="1">
      <c r="N262" s="361"/>
      <c r="O262" s="361"/>
    </row>
    <row r="263" spans="14:15" ht="29.1" customHeight="1">
      <c r="N263" s="361"/>
      <c r="O263" s="361"/>
    </row>
    <row r="264" spans="14:15" ht="29.1" customHeight="1">
      <c r="N264" s="361"/>
      <c r="O264" s="361"/>
    </row>
    <row r="265" spans="14:15" ht="29.1" customHeight="1">
      <c r="N265" s="361"/>
      <c r="O265" s="361"/>
    </row>
    <row r="266" spans="14:15" ht="29.1" customHeight="1">
      <c r="N266" s="361"/>
      <c r="O266" s="361"/>
    </row>
    <row r="267" spans="14:15" ht="29.1" customHeight="1">
      <c r="N267" s="361"/>
      <c r="O267" s="361"/>
    </row>
    <row r="268" spans="14:15" ht="29.1" customHeight="1">
      <c r="N268" s="361"/>
      <c r="O268" s="361"/>
    </row>
    <row r="269" spans="14:15" ht="29.1" customHeight="1">
      <c r="N269" s="361"/>
      <c r="O269" s="361"/>
    </row>
    <row r="270" spans="14:15" ht="29.1" customHeight="1">
      <c r="N270" s="361"/>
      <c r="O270" s="361"/>
    </row>
    <row r="271" spans="14:15" ht="29.1" customHeight="1">
      <c r="N271" s="361"/>
      <c r="O271" s="361"/>
    </row>
    <row r="272" spans="14:15" ht="29.1" customHeight="1">
      <c r="N272" s="361"/>
      <c r="O272" s="361"/>
    </row>
    <row r="273" spans="14:15" ht="29.1" customHeight="1">
      <c r="N273" s="361"/>
      <c r="O273" s="361"/>
    </row>
    <row r="274" spans="14:15" ht="29.1" customHeight="1">
      <c r="N274" s="361"/>
      <c r="O274" s="361"/>
    </row>
    <row r="275" spans="14:15" ht="29.1" customHeight="1">
      <c r="N275" s="361"/>
      <c r="O275" s="361"/>
    </row>
    <row r="276" spans="14:15" ht="29.1" customHeight="1">
      <c r="N276" s="361"/>
      <c r="O276" s="361"/>
    </row>
    <row r="277" spans="14:15" ht="29.1" customHeight="1">
      <c r="N277" s="361"/>
      <c r="O277" s="361"/>
    </row>
    <row r="278" spans="14:15" ht="29.1" customHeight="1">
      <c r="N278" s="361"/>
      <c r="O278" s="361"/>
    </row>
    <row r="279" spans="14:15" ht="29.1" customHeight="1">
      <c r="N279" s="361"/>
      <c r="O279" s="361"/>
    </row>
    <row r="280" spans="14:15" ht="29.1" customHeight="1">
      <c r="N280" s="361"/>
      <c r="O280" s="361"/>
    </row>
    <row r="281" spans="14:15" ht="29.1" customHeight="1">
      <c r="N281" s="361"/>
      <c r="O281" s="361"/>
    </row>
    <row r="282" spans="14:15" ht="29.1" customHeight="1">
      <c r="N282" s="361"/>
      <c r="O282" s="361"/>
    </row>
    <row r="283" spans="14:15" ht="29.1" customHeight="1">
      <c r="N283" s="361"/>
      <c r="O283" s="361"/>
    </row>
    <row r="284" spans="14:15" ht="29.1" customHeight="1">
      <c r="N284" s="361"/>
      <c r="O284" s="361"/>
    </row>
    <row r="285" spans="14:15" ht="29.1" customHeight="1">
      <c r="N285" s="361"/>
      <c r="O285" s="361"/>
    </row>
    <row r="286" spans="14:15" ht="29.1" customHeight="1">
      <c r="N286" s="361"/>
      <c r="O286" s="361"/>
    </row>
    <row r="287" spans="14:15" ht="29.1" customHeight="1">
      <c r="N287" s="361"/>
      <c r="O287" s="361"/>
    </row>
    <row r="288" spans="14:15" ht="29.1" customHeight="1">
      <c r="N288" s="361"/>
      <c r="O288" s="361"/>
    </row>
    <row r="289" spans="14:15" ht="29.1" customHeight="1">
      <c r="N289" s="361"/>
      <c r="O289" s="361"/>
    </row>
    <row r="290" spans="14:15" ht="29.1" customHeight="1">
      <c r="N290" s="361"/>
      <c r="O290" s="361"/>
    </row>
    <row r="291" spans="14:15" ht="29.1" customHeight="1">
      <c r="N291" s="361"/>
      <c r="O291" s="361"/>
    </row>
    <row r="292" spans="14:15" ht="29.1" customHeight="1">
      <c r="N292" s="361"/>
      <c r="O292" s="361"/>
    </row>
    <row r="293" spans="14:15" ht="29.1" customHeight="1">
      <c r="N293" s="361"/>
      <c r="O293" s="361"/>
    </row>
    <row r="294" spans="14:15" ht="29.1" customHeight="1">
      <c r="N294" s="361"/>
      <c r="O294" s="361"/>
    </row>
    <row r="295" spans="14:15" ht="29.1" customHeight="1">
      <c r="N295" s="361"/>
      <c r="O295" s="361"/>
    </row>
    <row r="296" spans="14:15" ht="29.1" customHeight="1">
      <c r="N296" s="361"/>
      <c r="O296" s="361"/>
    </row>
    <row r="297" spans="14:15" ht="29.1" customHeight="1">
      <c r="N297" s="361"/>
      <c r="O297" s="361"/>
    </row>
    <row r="298" spans="14:15" ht="29.1" customHeight="1">
      <c r="N298" s="361"/>
      <c r="O298" s="361"/>
    </row>
    <row r="299" spans="14:15" ht="29.1" customHeight="1">
      <c r="N299" s="361"/>
      <c r="O299" s="361"/>
    </row>
    <row r="300" spans="14:15" ht="29.1" customHeight="1">
      <c r="N300" s="361"/>
      <c r="O300" s="361"/>
    </row>
    <row r="301" spans="14:15" ht="29.1" customHeight="1">
      <c r="N301" s="361"/>
      <c r="O301" s="361"/>
    </row>
    <row r="302" spans="14:15" ht="29.1" customHeight="1">
      <c r="N302" s="361"/>
      <c r="O302" s="361"/>
    </row>
    <row r="303" spans="14:15" ht="29.1" customHeight="1">
      <c r="N303" s="361"/>
      <c r="O303" s="361"/>
    </row>
    <row r="304" spans="14:15" ht="29.1" customHeight="1">
      <c r="N304" s="361"/>
      <c r="O304" s="361"/>
    </row>
    <row r="305" spans="14:15" ht="29.1" customHeight="1">
      <c r="N305" s="361"/>
      <c r="O305" s="361"/>
    </row>
    <row r="306" spans="14:15" ht="29.1" customHeight="1">
      <c r="N306" s="361"/>
      <c r="O306" s="361"/>
    </row>
    <row r="307" spans="14:15" ht="29.1" customHeight="1">
      <c r="N307" s="361"/>
      <c r="O307" s="361"/>
    </row>
    <row r="308" spans="14:15" ht="29.1" customHeight="1">
      <c r="N308" s="361"/>
      <c r="O308" s="361"/>
    </row>
    <row r="309" spans="14:15" ht="29.1" customHeight="1">
      <c r="N309" s="361"/>
      <c r="O309" s="361"/>
    </row>
    <row r="310" spans="14:15" ht="29.1" customHeight="1">
      <c r="N310" s="361"/>
      <c r="O310" s="361"/>
    </row>
    <row r="311" spans="14:15" ht="29.1" customHeight="1">
      <c r="N311" s="361"/>
      <c r="O311" s="361"/>
    </row>
    <row r="312" spans="14:15" ht="29.1" customHeight="1">
      <c r="N312" s="361"/>
      <c r="O312" s="361"/>
    </row>
    <row r="313" spans="14:15" ht="29.1" customHeight="1">
      <c r="N313" s="361"/>
      <c r="O313" s="361"/>
    </row>
    <row r="314" spans="14:15" ht="29.1" customHeight="1">
      <c r="N314" s="361"/>
      <c r="O314" s="361"/>
    </row>
    <row r="315" spans="14:15" ht="29.1" customHeight="1">
      <c r="N315" s="361"/>
      <c r="O315" s="361"/>
    </row>
    <row r="316" spans="14:15" ht="29.1" customHeight="1">
      <c r="N316" s="361"/>
      <c r="O316" s="361"/>
    </row>
    <row r="317" spans="14:15" ht="29.1" customHeight="1">
      <c r="N317" s="361"/>
      <c r="O317" s="361"/>
    </row>
    <row r="318" spans="14:15" ht="29.1" customHeight="1">
      <c r="N318" s="361"/>
      <c r="O318" s="361"/>
    </row>
    <row r="319" spans="14:15" ht="29.1" customHeight="1">
      <c r="N319" s="361"/>
      <c r="O319" s="361"/>
    </row>
    <row r="320" spans="14:15" ht="29.1" customHeight="1">
      <c r="N320" s="361"/>
      <c r="O320" s="361"/>
    </row>
    <row r="321" spans="14:15" ht="29.1" customHeight="1">
      <c r="N321" s="361"/>
      <c r="O321" s="361"/>
    </row>
    <row r="322" spans="14:15" ht="29.1" customHeight="1">
      <c r="N322" s="361"/>
      <c r="O322" s="361"/>
    </row>
    <row r="323" spans="14:15" ht="29.1" customHeight="1">
      <c r="N323" s="361"/>
      <c r="O323" s="361"/>
    </row>
    <row r="324" spans="14:15" ht="29.1" customHeight="1">
      <c r="N324" s="361"/>
      <c r="O324" s="361"/>
    </row>
    <row r="325" spans="14:15" ht="29.1" customHeight="1">
      <c r="N325" s="361"/>
      <c r="O325" s="361"/>
    </row>
    <row r="326" spans="14:15" ht="29.1" customHeight="1">
      <c r="N326" s="361"/>
      <c r="O326" s="361"/>
    </row>
    <row r="327" spans="14:15" ht="29.1" customHeight="1">
      <c r="N327" s="361"/>
      <c r="O327" s="361"/>
    </row>
    <row r="328" spans="14:15" ht="29.1" customHeight="1">
      <c r="N328" s="361"/>
      <c r="O328" s="361"/>
    </row>
    <row r="329" spans="14:15" ht="29.1" customHeight="1">
      <c r="N329" s="361"/>
      <c r="O329" s="361"/>
    </row>
    <row r="330" spans="14:15" ht="29.1" customHeight="1">
      <c r="N330" s="361"/>
      <c r="O330" s="361"/>
    </row>
    <row r="331" spans="14:15" ht="29.1" customHeight="1">
      <c r="N331" s="361"/>
      <c r="O331" s="361"/>
    </row>
    <row r="332" spans="14:15" ht="29.1" customHeight="1">
      <c r="N332" s="361"/>
      <c r="O332" s="361"/>
    </row>
    <row r="333" spans="14:15" ht="29.1" customHeight="1">
      <c r="N333" s="361"/>
      <c r="O333" s="361"/>
    </row>
    <row r="334" spans="14:15" ht="29.1" customHeight="1">
      <c r="N334" s="361"/>
      <c r="O334" s="361"/>
    </row>
    <row r="335" spans="14:15" ht="29.1" customHeight="1">
      <c r="N335" s="361"/>
      <c r="O335" s="361"/>
    </row>
    <row r="336" spans="14:15" ht="29.1" customHeight="1">
      <c r="N336" s="361"/>
      <c r="O336" s="361"/>
    </row>
    <row r="337" spans="14:15" ht="29.1" customHeight="1">
      <c r="N337" s="361"/>
      <c r="O337" s="361"/>
    </row>
    <row r="338" spans="14:15" ht="29.1" customHeight="1">
      <c r="N338" s="361"/>
      <c r="O338" s="361"/>
    </row>
    <row r="339" spans="14:15" ht="29.1" customHeight="1">
      <c r="N339" s="361"/>
      <c r="O339" s="361"/>
    </row>
    <row r="340" spans="14:15" ht="29.1" customHeight="1">
      <c r="N340" s="361"/>
      <c r="O340" s="361"/>
    </row>
    <row r="341" spans="14:15" ht="29.1" customHeight="1">
      <c r="N341" s="361"/>
      <c r="O341" s="361"/>
    </row>
    <row r="342" spans="14:15" ht="29.1" customHeight="1">
      <c r="N342" s="361"/>
      <c r="O342" s="361"/>
    </row>
    <row r="343" spans="14:15" ht="29.1" customHeight="1">
      <c r="N343" s="361"/>
      <c r="O343" s="361"/>
    </row>
    <row r="344" spans="14:15" ht="29.1" customHeight="1">
      <c r="N344" s="361"/>
      <c r="O344" s="361"/>
    </row>
    <row r="345" spans="14:15" ht="29.1" customHeight="1">
      <c r="N345" s="361"/>
      <c r="O345" s="361"/>
    </row>
    <row r="346" spans="14:15" ht="29.1" customHeight="1">
      <c r="N346" s="361"/>
      <c r="O346" s="361"/>
    </row>
    <row r="347" spans="14:15" ht="29.1" customHeight="1">
      <c r="N347" s="361"/>
      <c r="O347" s="361"/>
    </row>
    <row r="348" spans="14:15" ht="29.1" customHeight="1">
      <c r="N348" s="361"/>
      <c r="O348" s="361"/>
    </row>
    <row r="349" spans="14:15" ht="29.1" customHeight="1">
      <c r="N349" s="361"/>
      <c r="O349" s="361"/>
    </row>
    <row r="350" spans="14:15" ht="29.1" customHeight="1">
      <c r="N350" s="361"/>
      <c r="O350" s="361"/>
    </row>
    <row r="351" spans="14:15" ht="29.1" customHeight="1">
      <c r="N351" s="361"/>
      <c r="O351" s="361"/>
    </row>
    <row r="352" spans="14:15" ht="29.1" customHeight="1">
      <c r="N352" s="361"/>
      <c r="O352" s="361"/>
    </row>
    <row r="353" spans="14:15" ht="29.1" customHeight="1">
      <c r="N353" s="361"/>
      <c r="O353" s="361"/>
    </row>
    <row r="354" spans="14:15" ht="29.1" customHeight="1">
      <c r="N354" s="361"/>
      <c r="O354" s="361"/>
    </row>
    <row r="355" spans="14:15" ht="29.1" customHeight="1">
      <c r="N355" s="361"/>
      <c r="O355" s="361"/>
    </row>
    <row r="356" spans="14:15" ht="29.1" customHeight="1">
      <c r="N356" s="361"/>
      <c r="O356" s="361"/>
    </row>
    <row r="357" spans="14:15" ht="29.1" customHeight="1">
      <c r="N357" s="361"/>
      <c r="O357" s="361"/>
    </row>
    <row r="358" spans="14:15" ht="29.1" customHeight="1">
      <c r="N358" s="361"/>
      <c r="O358" s="361"/>
    </row>
    <row r="359" spans="14:15" ht="29.1" customHeight="1">
      <c r="N359" s="361"/>
      <c r="O359" s="361"/>
    </row>
    <row r="360" spans="14:15" ht="29.1" customHeight="1">
      <c r="N360" s="361"/>
      <c r="O360" s="361"/>
    </row>
    <row r="361" spans="14:15" ht="29.1" customHeight="1">
      <c r="N361" s="361"/>
      <c r="O361" s="361"/>
    </row>
    <row r="362" spans="14:15" ht="29.1" customHeight="1">
      <c r="N362" s="361"/>
      <c r="O362" s="361"/>
    </row>
    <row r="363" spans="14:15" ht="29.1" customHeight="1">
      <c r="N363" s="361"/>
      <c r="O363" s="361"/>
    </row>
    <row r="364" spans="14:15" ht="29.1" customHeight="1">
      <c r="N364" s="361"/>
      <c r="O364" s="361"/>
    </row>
    <row r="365" spans="14:15" ht="29.1" customHeight="1">
      <c r="N365" s="361"/>
      <c r="O365" s="361"/>
    </row>
    <row r="366" spans="14:15" ht="29.1" customHeight="1">
      <c r="N366" s="361"/>
      <c r="O366" s="361"/>
    </row>
    <row r="367" spans="14:15" ht="29.1" customHeight="1">
      <c r="N367" s="361"/>
      <c r="O367" s="361"/>
    </row>
    <row r="368" spans="14:15" ht="29.1" customHeight="1">
      <c r="N368" s="361"/>
      <c r="O368" s="361"/>
    </row>
    <row r="369" spans="14:15" ht="29.1" customHeight="1">
      <c r="N369" s="361"/>
      <c r="O369" s="361"/>
    </row>
    <row r="370" spans="14:15" ht="29.1" customHeight="1">
      <c r="N370" s="361"/>
      <c r="O370" s="361"/>
    </row>
    <row r="371" spans="14:15" ht="29.1" customHeight="1">
      <c r="N371" s="361"/>
      <c r="O371" s="361"/>
    </row>
    <row r="372" spans="14:15" ht="29.1" customHeight="1">
      <c r="N372" s="361"/>
      <c r="O372" s="361"/>
    </row>
    <row r="373" spans="14:15" ht="29.1" customHeight="1">
      <c r="N373" s="361"/>
      <c r="O373" s="361"/>
    </row>
    <row r="374" spans="14:15" ht="29.1" customHeight="1">
      <c r="N374" s="361"/>
      <c r="O374" s="361"/>
    </row>
    <row r="375" spans="14:15" ht="29.1" customHeight="1">
      <c r="N375" s="361"/>
      <c r="O375" s="361"/>
    </row>
    <row r="376" spans="14:15" ht="29.1" customHeight="1">
      <c r="N376" s="361"/>
      <c r="O376" s="361"/>
    </row>
    <row r="377" spans="14:15" ht="29.1" customHeight="1">
      <c r="N377" s="361"/>
      <c r="O377" s="361"/>
    </row>
    <row r="378" spans="14:15" ht="29.1" customHeight="1">
      <c r="N378" s="361"/>
      <c r="O378" s="361"/>
    </row>
    <row r="379" spans="14:15" ht="29.1" customHeight="1">
      <c r="N379" s="361"/>
      <c r="O379" s="361"/>
    </row>
    <row r="380" spans="14:15" ht="29.1" customHeight="1">
      <c r="N380" s="361"/>
      <c r="O380" s="361"/>
    </row>
    <row r="381" spans="14:15" ht="29.1" customHeight="1">
      <c r="N381" s="361"/>
      <c r="O381" s="361"/>
    </row>
    <row r="382" spans="14:15" ht="29.1" customHeight="1">
      <c r="N382" s="361"/>
      <c r="O382" s="361"/>
    </row>
    <row r="383" spans="14:15" ht="29.1" customHeight="1">
      <c r="N383" s="361"/>
      <c r="O383" s="361"/>
    </row>
    <row r="384" spans="14:15" ht="29.1" customHeight="1">
      <c r="N384" s="361"/>
      <c r="O384" s="361"/>
    </row>
    <row r="385" spans="14:15" ht="29.1" customHeight="1">
      <c r="N385" s="361"/>
      <c r="O385" s="361"/>
    </row>
    <row r="386" spans="14:15" ht="29.1" customHeight="1">
      <c r="N386" s="361"/>
      <c r="O386" s="361"/>
    </row>
    <row r="387" spans="14:15" ht="29.1" customHeight="1">
      <c r="N387" s="361"/>
      <c r="O387" s="361"/>
    </row>
    <row r="388" spans="14:15" ht="29.1" customHeight="1">
      <c r="N388" s="361"/>
      <c r="O388" s="361"/>
    </row>
    <row r="389" spans="14:15" ht="29.1" customHeight="1">
      <c r="N389" s="361"/>
      <c r="O389" s="361"/>
    </row>
    <row r="390" spans="14:15" ht="29.1" customHeight="1">
      <c r="N390" s="361"/>
      <c r="O390" s="361"/>
    </row>
    <row r="391" spans="14:15" ht="29.1" customHeight="1">
      <c r="N391" s="361"/>
      <c r="O391" s="361"/>
    </row>
    <row r="392" spans="14:15" ht="29.1" customHeight="1">
      <c r="N392" s="361"/>
      <c r="O392" s="361"/>
    </row>
    <row r="393" spans="14:15" ht="29.1" customHeight="1">
      <c r="N393" s="361"/>
      <c r="O393" s="361"/>
    </row>
    <row r="394" spans="14:15" ht="29.1" customHeight="1">
      <c r="N394" s="361"/>
      <c r="O394" s="361"/>
    </row>
    <row r="395" spans="14:15" ht="29.1" customHeight="1">
      <c r="N395" s="361"/>
      <c r="O395" s="361"/>
    </row>
    <row r="396" spans="14:15" ht="29.1" customHeight="1">
      <c r="N396" s="361"/>
      <c r="O396" s="361"/>
    </row>
    <row r="397" spans="14:15" ht="29.1" customHeight="1">
      <c r="N397" s="361"/>
      <c r="O397" s="361"/>
    </row>
    <row r="398" spans="14:15" ht="29.1" customHeight="1">
      <c r="N398" s="361"/>
      <c r="O398" s="361"/>
    </row>
    <row r="399" spans="14:15" ht="29.1" customHeight="1">
      <c r="N399" s="361"/>
      <c r="O399" s="361"/>
    </row>
    <row r="400" spans="14:15" ht="29.1" customHeight="1">
      <c r="N400" s="361"/>
      <c r="O400" s="361"/>
    </row>
    <row r="401" spans="14:15" ht="29.1" customHeight="1">
      <c r="N401" s="361"/>
      <c r="O401" s="361"/>
    </row>
    <row r="402" spans="14:15" ht="29.1" customHeight="1">
      <c r="N402" s="361"/>
      <c r="O402" s="361"/>
    </row>
    <row r="403" spans="14:15" ht="29.1" customHeight="1">
      <c r="N403" s="361"/>
      <c r="O403" s="361"/>
    </row>
    <row r="404" spans="14:15" ht="29.1" customHeight="1">
      <c r="N404" s="361"/>
      <c r="O404" s="361"/>
    </row>
    <row r="405" spans="14:15" ht="29.1" customHeight="1">
      <c r="N405" s="361"/>
      <c r="O405" s="361"/>
    </row>
    <row r="406" spans="14:15" ht="29.1" customHeight="1">
      <c r="N406" s="361"/>
      <c r="O406" s="361"/>
    </row>
    <row r="407" spans="14:15" ht="29.1" customHeight="1">
      <c r="N407" s="361"/>
      <c r="O407" s="361"/>
    </row>
    <row r="408" spans="14:15" ht="29.1" customHeight="1">
      <c r="N408" s="361"/>
      <c r="O408" s="361"/>
    </row>
    <row r="409" spans="14:15" ht="29.1" customHeight="1">
      <c r="N409" s="361"/>
      <c r="O409" s="361"/>
    </row>
    <row r="410" spans="14:15" ht="29.1" customHeight="1">
      <c r="N410" s="361"/>
      <c r="O410" s="361"/>
    </row>
    <row r="411" spans="14:15" ht="29.1" customHeight="1">
      <c r="N411" s="361"/>
      <c r="O411" s="361"/>
    </row>
    <row r="412" spans="14:15" ht="29.1" customHeight="1">
      <c r="N412" s="361"/>
      <c r="O412" s="361"/>
    </row>
    <row r="413" spans="14:15" ht="29.1" customHeight="1">
      <c r="N413" s="361"/>
      <c r="O413" s="361"/>
    </row>
    <row r="414" spans="14:15" ht="29.1" customHeight="1">
      <c r="N414" s="361"/>
      <c r="O414" s="361"/>
    </row>
    <row r="415" spans="14:15" ht="29.1" customHeight="1">
      <c r="N415" s="361"/>
      <c r="O415" s="361"/>
    </row>
    <row r="416" spans="14:15" ht="29.1" customHeight="1">
      <c r="N416" s="361"/>
      <c r="O416" s="361"/>
    </row>
    <row r="417" spans="14:15" ht="29.1" customHeight="1">
      <c r="N417" s="361"/>
      <c r="O417" s="361"/>
    </row>
    <row r="418" spans="14:15" ht="29.1" customHeight="1">
      <c r="N418" s="361"/>
      <c r="O418" s="361"/>
    </row>
    <row r="419" spans="14:15" ht="29.1" customHeight="1">
      <c r="N419" s="361"/>
      <c r="O419" s="361"/>
    </row>
    <row r="420" spans="14:15" ht="29.1" customHeight="1">
      <c r="N420" s="361"/>
      <c r="O420" s="361"/>
    </row>
    <row r="421" spans="14:15" ht="29.1" customHeight="1">
      <c r="N421" s="361"/>
      <c r="O421" s="361"/>
    </row>
    <row r="422" spans="14:15" ht="29.1" customHeight="1">
      <c r="N422" s="361"/>
      <c r="O422" s="361"/>
    </row>
    <row r="423" spans="14:15" ht="29.1" customHeight="1">
      <c r="N423" s="361"/>
      <c r="O423" s="361"/>
    </row>
    <row r="424" spans="14:15" ht="29.1" customHeight="1">
      <c r="N424" s="361"/>
      <c r="O424" s="361"/>
    </row>
    <row r="425" spans="14:15" ht="29.1" customHeight="1">
      <c r="N425" s="361"/>
      <c r="O425" s="361"/>
    </row>
    <row r="426" spans="14:15" ht="29.1" customHeight="1">
      <c r="N426" s="361"/>
      <c r="O426" s="361"/>
    </row>
    <row r="427" spans="14:15" ht="29.1" customHeight="1">
      <c r="N427" s="361"/>
      <c r="O427" s="361"/>
    </row>
    <row r="428" spans="14:15" ht="29.1" customHeight="1">
      <c r="N428" s="361"/>
      <c r="O428" s="361"/>
    </row>
    <row r="429" spans="14:15" ht="29.1" customHeight="1">
      <c r="N429" s="361"/>
      <c r="O429" s="361"/>
    </row>
    <row r="430" spans="14:15" ht="29.1" customHeight="1">
      <c r="N430" s="361"/>
      <c r="O430" s="361"/>
    </row>
    <row r="431" spans="14:15" ht="29.1" customHeight="1">
      <c r="N431" s="361"/>
      <c r="O431" s="361"/>
    </row>
    <row r="432" spans="14:15" ht="29.1" customHeight="1">
      <c r="N432" s="361"/>
      <c r="O432" s="361"/>
    </row>
    <row r="433" spans="14:15" ht="29.1" customHeight="1">
      <c r="N433" s="361"/>
      <c r="O433" s="361"/>
    </row>
    <row r="434" spans="14:15" ht="29.1" customHeight="1">
      <c r="N434" s="361"/>
      <c r="O434" s="361"/>
    </row>
    <row r="435" spans="14:15" ht="29.1" customHeight="1">
      <c r="N435" s="361"/>
      <c r="O435" s="361"/>
    </row>
    <row r="436" spans="14:15" ht="29.1" customHeight="1">
      <c r="N436" s="361"/>
      <c r="O436" s="361"/>
    </row>
    <row r="437" spans="14:15" ht="29.1" customHeight="1">
      <c r="N437" s="361"/>
      <c r="O437" s="361"/>
    </row>
    <row r="438" spans="14:15" ht="29.1" customHeight="1">
      <c r="N438" s="361"/>
      <c r="O438" s="361"/>
    </row>
    <row r="439" spans="14:15" ht="29.1" customHeight="1">
      <c r="N439" s="361"/>
      <c r="O439" s="361"/>
    </row>
    <row r="440" spans="14:15" ht="29.1" customHeight="1">
      <c r="N440" s="361"/>
      <c r="O440" s="361"/>
    </row>
    <row r="441" spans="14:15" ht="29.1" customHeight="1">
      <c r="N441" s="361"/>
      <c r="O441" s="361"/>
    </row>
    <row r="442" spans="14:15" ht="29.1" customHeight="1">
      <c r="N442" s="361"/>
      <c r="O442" s="361"/>
    </row>
    <row r="443" spans="14:15" ht="29.1" customHeight="1">
      <c r="N443" s="361"/>
      <c r="O443" s="361"/>
    </row>
    <row r="444" spans="14:15" ht="29.1" customHeight="1">
      <c r="N444" s="361"/>
      <c r="O444" s="361"/>
    </row>
    <row r="445" spans="14:15" ht="29.1" customHeight="1">
      <c r="N445" s="361"/>
      <c r="O445" s="361"/>
    </row>
    <row r="446" spans="14:15" ht="29.1" customHeight="1">
      <c r="N446" s="361"/>
      <c r="O446" s="361"/>
    </row>
    <row r="447" spans="14:15" ht="29.1" customHeight="1">
      <c r="N447" s="361"/>
      <c r="O447" s="361"/>
    </row>
    <row r="448" spans="14:15" ht="29.1" customHeight="1">
      <c r="N448" s="361"/>
      <c r="O448" s="361"/>
    </row>
    <row r="449" spans="14:15" ht="29.1" customHeight="1">
      <c r="N449" s="361"/>
      <c r="O449" s="361"/>
    </row>
    <row r="450" spans="14:15" ht="29.1" customHeight="1">
      <c r="N450" s="361"/>
      <c r="O450" s="361"/>
    </row>
    <row r="451" spans="14:15" ht="29.1" customHeight="1">
      <c r="N451" s="361"/>
      <c r="O451" s="361"/>
    </row>
    <row r="452" spans="14:15" ht="29.1" customHeight="1">
      <c r="N452" s="361"/>
      <c r="O452" s="361"/>
    </row>
    <row r="453" spans="14:15" ht="29.1" customHeight="1">
      <c r="N453" s="361"/>
      <c r="O453" s="361"/>
    </row>
    <row r="454" spans="14:15" ht="29.1" customHeight="1">
      <c r="N454" s="361"/>
      <c r="O454" s="361"/>
    </row>
    <row r="455" spans="14:15" ht="29.1" customHeight="1">
      <c r="N455" s="361"/>
      <c r="O455" s="361"/>
    </row>
    <row r="456" spans="14:15" ht="29.1" customHeight="1">
      <c r="N456" s="361"/>
      <c r="O456" s="361"/>
    </row>
    <row r="457" spans="14:15" ht="29.1" customHeight="1">
      <c r="N457" s="361"/>
      <c r="O457" s="361"/>
    </row>
    <row r="458" spans="14:15" ht="29.1" customHeight="1">
      <c r="N458" s="361"/>
      <c r="O458" s="361"/>
    </row>
    <row r="459" spans="14:15" ht="29.1" customHeight="1">
      <c r="N459" s="361"/>
      <c r="O459" s="361"/>
    </row>
    <row r="460" spans="14:15" ht="29.1" customHeight="1">
      <c r="N460" s="361"/>
      <c r="O460" s="361"/>
    </row>
    <row r="461" spans="14:15" ht="29.1" customHeight="1">
      <c r="N461" s="361"/>
      <c r="O461" s="361"/>
    </row>
    <row r="462" spans="14:15" ht="29.1" customHeight="1">
      <c r="N462" s="361"/>
      <c r="O462" s="361"/>
    </row>
    <row r="463" spans="14:15" ht="29.1" customHeight="1">
      <c r="N463" s="361"/>
      <c r="O463" s="361"/>
    </row>
    <row r="464" spans="14:15" ht="29.1" customHeight="1">
      <c r="N464" s="361"/>
      <c r="O464" s="361"/>
    </row>
    <row r="465" spans="14:15" ht="29.1" customHeight="1">
      <c r="N465" s="361"/>
      <c r="O465" s="361"/>
    </row>
    <row r="466" spans="14:15" ht="29.1" customHeight="1">
      <c r="N466" s="361"/>
      <c r="O466" s="361"/>
    </row>
    <row r="467" spans="14:15" ht="29.1" customHeight="1">
      <c r="N467" s="361"/>
      <c r="O467" s="361"/>
    </row>
    <row r="468" spans="14:15" ht="29.1" customHeight="1">
      <c r="N468" s="361"/>
      <c r="O468" s="361"/>
    </row>
    <row r="469" spans="14:15" ht="29.1" customHeight="1">
      <c r="N469" s="361"/>
      <c r="O469" s="361"/>
    </row>
    <row r="470" spans="14:15" ht="29.1" customHeight="1">
      <c r="N470" s="361"/>
      <c r="O470" s="361"/>
    </row>
    <row r="471" spans="14:15" ht="29.1" customHeight="1">
      <c r="N471" s="361"/>
      <c r="O471" s="361"/>
    </row>
    <row r="472" spans="14:15" ht="29.1" customHeight="1">
      <c r="N472" s="361"/>
      <c r="O472" s="361"/>
    </row>
    <row r="473" spans="14:15" ht="29.1" customHeight="1">
      <c r="N473" s="361"/>
      <c r="O473" s="361"/>
    </row>
    <row r="474" spans="14:15" ht="29.1" customHeight="1">
      <c r="N474" s="361"/>
      <c r="O474" s="361"/>
    </row>
    <row r="475" spans="14:15" ht="29.1" customHeight="1">
      <c r="N475" s="361"/>
      <c r="O475" s="361"/>
    </row>
    <row r="476" spans="14:15" ht="29.1" customHeight="1">
      <c r="N476" s="361"/>
      <c r="O476" s="361"/>
    </row>
    <row r="477" spans="14:15" ht="29.1" customHeight="1">
      <c r="N477" s="361"/>
      <c r="O477" s="361"/>
    </row>
    <row r="478" spans="14:15" ht="29.1" customHeight="1">
      <c r="N478" s="361"/>
      <c r="O478" s="361"/>
    </row>
    <row r="479" spans="14:15" ht="29.1" customHeight="1">
      <c r="N479" s="361"/>
      <c r="O479" s="361"/>
    </row>
    <row r="480" spans="14:15" ht="29.1" customHeight="1">
      <c r="N480" s="361"/>
      <c r="O480" s="361"/>
    </row>
    <row r="481" spans="14:15" ht="29.1" customHeight="1">
      <c r="N481" s="361"/>
      <c r="O481" s="361"/>
    </row>
    <row r="482" spans="14:15" ht="29.1" customHeight="1">
      <c r="N482" s="361"/>
      <c r="O482" s="361"/>
    </row>
    <row r="483" spans="14:15" ht="29.1" customHeight="1">
      <c r="N483" s="361"/>
      <c r="O483" s="361"/>
    </row>
    <row r="484" spans="14:15" ht="29.1" customHeight="1">
      <c r="N484" s="361"/>
      <c r="O484" s="361"/>
    </row>
    <row r="485" spans="14:15" ht="29.1" customHeight="1">
      <c r="N485" s="361"/>
      <c r="O485" s="361"/>
    </row>
    <row r="486" spans="14:15" ht="29.1" customHeight="1">
      <c r="N486" s="361"/>
      <c r="O486" s="361"/>
    </row>
    <row r="487" spans="14:15" ht="29.1" customHeight="1">
      <c r="N487" s="361"/>
      <c r="O487" s="361"/>
    </row>
    <row r="488" spans="14:15" ht="29.1" customHeight="1">
      <c r="N488" s="361"/>
      <c r="O488" s="361"/>
    </row>
    <row r="489" spans="14:15" ht="29.1" customHeight="1">
      <c r="N489" s="361"/>
      <c r="O489" s="361"/>
    </row>
    <row r="490" spans="14:15" ht="29.1" customHeight="1">
      <c r="N490" s="361"/>
      <c r="O490" s="361"/>
    </row>
    <row r="491" spans="14:15" ht="29.1" customHeight="1">
      <c r="N491" s="361"/>
      <c r="O491" s="361"/>
    </row>
    <row r="492" spans="14:15" ht="29.1" customHeight="1">
      <c r="N492" s="361"/>
      <c r="O492" s="361"/>
    </row>
    <row r="493" spans="14:15" ht="29.1" customHeight="1">
      <c r="N493" s="361"/>
      <c r="O493" s="361"/>
    </row>
    <row r="494" spans="14:15" ht="29.1" customHeight="1">
      <c r="N494" s="361"/>
      <c r="O494" s="361"/>
    </row>
    <row r="495" spans="14:15" ht="29.1" customHeight="1">
      <c r="N495" s="361"/>
      <c r="O495" s="361"/>
    </row>
    <row r="496" spans="14:15" ht="29.1" customHeight="1">
      <c r="N496" s="361"/>
      <c r="O496" s="361"/>
    </row>
    <row r="497" spans="14:15" ht="29.1" customHeight="1">
      <c r="N497" s="361"/>
      <c r="O497" s="361"/>
    </row>
    <row r="498" spans="14:15" ht="29.1" customHeight="1">
      <c r="N498" s="361"/>
      <c r="O498" s="361"/>
    </row>
    <row r="499" spans="14:15" ht="29.1" customHeight="1">
      <c r="N499" s="361"/>
      <c r="O499" s="361"/>
    </row>
    <row r="500" spans="14:15" ht="29.1" customHeight="1">
      <c r="N500" s="361"/>
      <c r="O500" s="361"/>
    </row>
    <row r="501" spans="14:15" ht="29.1" customHeight="1">
      <c r="N501" s="361"/>
      <c r="O501" s="361"/>
    </row>
    <row r="502" spans="14:15" ht="29.1" customHeight="1">
      <c r="N502" s="361"/>
      <c r="O502" s="361"/>
    </row>
    <row r="503" spans="14:15" ht="29.1" customHeight="1">
      <c r="N503" s="361"/>
      <c r="O503" s="361"/>
    </row>
    <row r="504" spans="14:15" ht="29.1" customHeight="1">
      <c r="N504" s="361"/>
      <c r="O504" s="361"/>
    </row>
    <row r="505" spans="14:15" ht="29.1" customHeight="1">
      <c r="N505" s="361"/>
      <c r="O505" s="361"/>
    </row>
    <row r="506" spans="14:15" ht="29.1" customHeight="1">
      <c r="N506" s="361"/>
      <c r="O506" s="361"/>
    </row>
    <row r="507" spans="14:15" ht="29.1" customHeight="1">
      <c r="N507" s="361"/>
      <c r="O507" s="361"/>
    </row>
    <row r="508" spans="14:15" ht="29.1" customHeight="1">
      <c r="N508" s="361"/>
      <c r="O508" s="361"/>
    </row>
    <row r="509" spans="14:15" ht="29.1" customHeight="1">
      <c r="N509" s="361"/>
      <c r="O509" s="361"/>
    </row>
    <row r="510" spans="14:15" ht="29.1" customHeight="1">
      <c r="N510" s="361"/>
      <c r="O510" s="361"/>
    </row>
    <row r="511" spans="14:15" ht="29.1" customHeight="1">
      <c r="N511" s="361"/>
      <c r="O511" s="361"/>
    </row>
    <row r="512" spans="14:15" ht="29.1" customHeight="1">
      <c r="N512" s="361"/>
      <c r="O512" s="361"/>
    </row>
    <row r="513" spans="14:15" ht="29.1" customHeight="1">
      <c r="N513" s="361"/>
      <c r="O513" s="361"/>
    </row>
    <row r="514" spans="14:15" ht="29.1" customHeight="1">
      <c r="N514" s="361"/>
      <c r="O514" s="361"/>
    </row>
    <row r="515" spans="14:15" ht="29.1" customHeight="1">
      <c r="N515" s="361"/>
      <c r="O515" s="361"/>
    </row>
    <row r="516" spans="14:15" ht="29.1" customHeight="1">
      <c r="N516" s="361"/>
      <c r="O516" s="361"/>
    </row>
    <row r="517" spans="14:15" ht="29.1" customHeight="1">
      <c r="N517" s="361"/>
      <c r="O517" s="361"/>
    </row>
    <row r="518" spans="14:15" ht="29.1" customHeight="1">
      <c r="N518" s="361"/>
      <c r="O518" s="361"/>
    </row>
    <row r="519" spans="14:15" ht="29.1" customHeight="1">
      <c r="N519" s="361"/>
      <c r="O519" s="361"/>
    </row>
    <row r="520" spans="14:15" ht="29.1" customHeight="1">
      <c r="N520" s="361"/>
      <c r="O520" s="361"/>
    </row>
    <row r="521" spans="14:15" ht="29.1" customHeight="1">
      <c r="N521" s="361"/>
      <c r="O521" s="361"/>
    </row>
    <row r="522" spans="14:15" ht="29.1" customHeight="1">
      <c r="N522" s="361"/>
      <c r="O522" s="361"/>
    </row>
    <row r="523" spans="14:15" ht="29.1" customHeight="1">
      <c r="N523" s="361"/>
      <c r="O523" s="361"/>
    </row>
    <row r="524" spans="14:15" ht="29.1" customHeight="1">
      <c r="N524" s="361"/>
      <c r="O524" s="361"/>
    </row>
    <row r="525" spans="14:15" ht="29.1" customHeight="1">
      <c r="N525" s="361"/>
      <c r="O525" s="361"/>
    </row>
    <row r="526" spans="14:15" ht="29.1" customHeight="1">
      <c r="N526" s="361"/>
      <c r="O526" s="361"/>
    </row>
    <row r="527" spans="14:15" ht="29.1" customHeight="1">
      <c r="N527" s="361"/>
      <c r="O527" s="361"/>
    </row>
    <row r="528" spans="14:15" ht="29.1" customHeight="1">
      <c r="N528" s="361"/>
      <c r="O528" s="361"/>
    </row>
    <row r="529" spans="14:15" ht="29.1" customHeight="1">
      <c r="N529" s="361"/>
      <c r="O529" s="361"/>
    </row>
    <row r="530" spans="14:15" ht="29.1" customHeight="1">
      <c r="N530" s="361"/>
      <c r="O530" s="361"/>
    </row>
    <row r="531" spans="14:15" ht="29.1" customHeight="1">
      <c r="N531" s="361"/>
      <c r="O531" s="361"/>
    </row>
    <row r="532" spans="14:15" ht="29.1" customHeight="1">
      <c r="N532" s="361"/>
      <c r="O532" s="361"/>
    </row>
    <row r="533" spans="14:15" ht="29.1" customHeight="1">
      <c r="N533" s="361"/>
      <c r="O533" s="361"/>
    </row>
    <row r="534" spans="14:15" ht="29.1" customHeight="1">
      <c r="N534" s="361"/>
      <c r="O534" s="361"/>
    </row>
    <row r="535" spans="14:15" ht="29.1" customHeight="1">
      <c r="N535" s="361"/>
      <c r="O535" s="361"/>
    </row>
    <row r="536" spans="14:15" ht="29.1" customHeight="1">
      <c r="N536" s="361"/>
      <c r="O536" s="361"/>
    </row>
    <row r="537" spans="14:15" ht="29.1" customHeight="1">
      <c r="N537" s="361"/>
      <c r="O537" s="361"/>
    </row>
    <row r="538" spans="14:15" ht="29.1" customHeight="1">
      <c r="N538" s="361"/>
      <c r="O538" s="361"/>
    </row>
    <row r="539" spans="14:15" ht="29.1" customHeight="1">
      <c r="N539" s="361"/>
      <c r="O539" s="361"/>
    </row>
    <row r="540" spans="14:15" ht="29.1" customHeight="1">
      <c r="N540" s="361"/>
      <c r="O540" s="361"/>
    </row>
    <row r="541" spans="14:15" ht="29.1" customHeight="1">
      <c r="N541" s="361"/>
      <c r="O541" s="361"/>
    </row>
    <row r="542" spans="14:15" ht="29.1" customHeight="1">
      <c r="N542" s="361"/>
      <c r="O542" s="361"/>
    </row>
    <row r="543" spans="14:15" ht="29.1" customHeight="1">
      <c r="N543" s="361"/>
      <c r="O543" s="361"/>
    </row>
    <row r="544" spans="14:15" ht="29.1" customHeight="1">
      <c r="N544" s="361"/>
      <c r="O544" s="361"/>
    </row>
    <row r="545" spans="14:15" ht="29.1" customHeight="1">
      <c r="N545" s="361"/>
      <c r="O545" s="361"/>
    </row>
    <row r="546" spans="14:15" ht="29.1" customHeight="1">
      <c r="N546" s="361"/>
      <c r="O546" s="361"/>
    </row>
    <row r="547" spans="14:15" ht="29.1" customHeight="1">
      <c r="N547" s="361"/>
      <c r="O547" s="361"/>
    </row>
    <row r="548" spans="14:15" ht="29.1" customHeight="1">
      <c r="N548" s="361"/>
      <c r="O548" s="361"/>
    </row>
    <row r="549" spans="14:15" ht="29.1" customHeight="1">
      <c r="N549" s="361"/>
      <c r="O549" s="361"/>
    </row>
    <row r="550" spans="14:15" ht="29.1" customHeight="1">
      <c r="N550" s="361"/>
      <c r="O550" s="361"/>
    </row>
    <row r="551" spans="14:15" ht="29.1" customHeight="1">
      <c r="N551" s="361"/>
      <c r="O551" s="361"/>
    </row>
    <row r="552" spans="14:15" ht="29.1" customHeight="1">
      <c r="N552" s="361"/>
      <c r="O552" s="361"/>
    </row>
    <row r="553" spans="14:15" ht="29.1" customHeight="1">
      <c r="N553" s="361"/>
      <c r="O553" s="361"/>
    </row>
    <row r="554" spans="14:15" ht="29.1" customHeight="1">
      <c r="N554" s="361"/>
      <c r="O554" s="361"/>
    </row>
    <row r="555" spans="14:15" ht="29.1" customHeight="1">
      <c r="N555" s="361"/>
      <c r="O555" s="361"/>
    </row>
    <row r="556" spans="14:15" ht="29.1" customHeight="1">
      <c r="N556" s="361"/>
      <c r="O556" s="361"/>
    </row>
    <row r="557" spans="14:15" ht="29.1" customHeight="1">
      <c r="N557" s="361"/>
      <c r="O557" s="361"/>
    </row>
    <row r="558" spans="14:15" ht="29.1" customHeight="1">
      <c r="N558" s="361"/>
      <c r="O558" s="361"/>
    </row>
    <row r="559" spans="14:15" ht="29.1" customHeight="1">
      <c r="N559" s="361"/>
      <c r="O559" s="361"/>
    </row>
    <row r="560" spans="14:15" ht="29.1" customHeight="1">
      <c r="N560" s="361"/>
      <c r="O560" s="361"/>
    </row>
    <row r="561" spans="14:15" ht="29.1" customHeight="1">
      <c r="N561" s="361"/>
      <c r="O561" s="361"/>
    </row>
    <row r="562" spans="14:15" ht="29.1" customHeight="1">
      <c r="N562" s="361"/>
      <c r="O562" s="361"/>
    </row>
    <row r="563" spans="14:15" ht="29.1" customHeight="1">
      <c r="N563" s="361"/>
      <c r="O563" s="361"/>
    </row>
    <row r="564" spans="14:15" ht="29.1" customHeight="1">
      <c r="N564" s="361"/>
      <c r="O564" s="361"/>
    </row>
    <row r="565" spans="14:15" ht="29.1" customHeight="1">
      <c r="N565" s="361"/>
      <c r="O565" s="361"/>
    </row>
    <row r="566" spans="14:15" ht="29.1" customHeight="1">
      <c r="N566" s="361"/>
      <c r="O566" s="361"/>
    </row>
    <row r="567" spans="14:15" ht="29.1" customHeight="1">
      <c r="N567" s="361"/>
      <c r="O567" s="361"/>
    </row>
    <row r="568" spans="14:15" ht="29.1" customHeight="1">
      <c r="N568" s="361"/>
      <c r="O568" s="361"/>
    </row>
    <row r="569" spans="14:15" ht="29.1" customHeight="1">
      <c r="N569" s="361"/>
      <c r="O569" s="361"/>
    </row>
    <row r="570" spans="14:15" ht="29.1" customHeight="1">
      <c r="N570" s="361"/>
      <c r="O570" s="361"/>
    </row>
    <row r="571" spans="14:15" ht="29.1" customHeight="1">
      <c r="N571" s="361"/>
      <c r="O571" s="361"/>
    </row>
    <row r="572" spans="14:15" ht="29.1" customHeight="1">
      <c r="N572" s="361"/>
      <c r="O572" s="361"/>
    </row>
    <row r="573" spans="14:15" ht="29.1" customHeight="1">
      <c r="N573" s="361"/>
      <c r="O573" s="361"/>
    </row>
    <row r="574" spans="14:15" ht="29.1" customHeight="1">
      <c r="N574" s="361"/>
      <c r="O574" s="361"/>
    </row>
    <row r="575" spans="14:15" ht="29.1" customHeight="1">
      <c r="N575" s="361"/>
      <c r="O575" s="361"/>
    </row>
    <row r="576" spans="14:15" ht="29.1" customHeight="1">
      <c r="N576" s="361"/>
      <c r="O576" s="361"/>
    </row>
    <row r="577" spans="14:15" ht="29.1" customHeight="1">
      <c r="N577" s="361"/>
      <c r="O577" s="361"/>
    </row>
    <row r="578" spans="14:15" ht="29.1" customHeight="1">
      <c r="N578" s="361"/>
      <c r="O578" s="361"/>
    </row>
    <row r="579" spans="14:15" ht="29.1" customHeight="1">
      <c r="N579" s="361"/>
      <c r="O579" s="361"/>
    </row>
    <row r="580" spans="14:15" ht="29.1" customHeight="1">
      <c r="N580" s="361"/>
      <c r="O580" s="361"/>
    </row>
    <row r="581" spans="14:15" ht="29.1" customHeight="1">
      <c r="N581" s="361"/>
      <c r="O581" s="361"/>
    </row>
    <row r="582" spans="14:15" ht="29.1" customHeight="1">
      <c r="N582" s="361"/>
      <c r="O582" s="361"/>
    </row>
    <row r="583" spans="14:15" ht="29.1" customHeight="1">
      <c r="N583" s="361"/>
      <c r="O583" s="361"/>
    </row>
    <row r="584" spans="14:15" ht="29.1" customHeight="1">
      <c r="N584" s="361"/>
      <c r="O584" s="361"/>
    </row>
    <row r="585" spans="14:15" ht="29.1" customHeight="1">
      <c r="N585" s="361"/>
      <c r="O585" s="361"/>
    </row>
    <row r="586" spans="14:15" ht="29.1" customHeight="1">
      <c r="N586" s="361"/>
      <c r="O586" s="361"/>
    </row>
    <row r="587" spans="14:15" ht="29.1" customHeight="1">
      <c r="N587" s="361"/>
      <c r="O587" s="361"/>
    </row>
    <row r="588" spans="14:15" ht="29.1" customHeight="1">
      <c r="N588" s="361"/>
      <c r="O588" s="361"/>
    </row>
    <row r="589" spans="14:15" ht="29.1" customHeight="1">
      <c r="N589" s="361"/>
      <c r="O589" s="361"/>
    </row>
    <row r="590" spans="14:15" ht="29.1" customHeight="1">
      <c r="N590" s="361"/>
      <c r="O590" s="361"/>
    </row>
    <row r="591" spans="14:15" ht="29.1" customHeight="1">
      <c r="N591" s="361"/>
      <c r="O591" s="361"/>
    </row>
    <row r="592" spans="14:15" ht="29.1" customHeight="1">
      <c r="N592" s="361"/>
      <c r="O592" s="361"/>
    </row>
    <row r="593" spans="14:15" ht="29.1" customHeight="1">
      <c r="N593" s="361"/>
      <c r="O593" s="361"/>
    </row>
    <row r="594" spans="14:15" ht="29.1" customHeight="1">
      <c r="N594" s="361"/>
      <c r="O594" s="361"/>
    </row>
    <row r="595" spans="14:15" ht="29.1" customHeight="1">
      <c r="N595" s="361"/>
      <c r="O595" s="361"/>
    </row>
    <row r="596" spans="14:15" ht="29.1" customHeight="1">
      <c r="N596" s="361"/>
      <c r="O596" s="361"/>
    </row>
    <row r="597" spans="14:15" ht="29.1" customHeight="1">
      <c r="N597" s="361"/>
      <c r="O597" s="361"/>
    </row>
    <row r="598" spans="14:15" ht="29.1" customHeight="1">
      <c r="N598" s="361"/>
      <c r="O598" s="361"/>
    </row>
    <row r="599" spans="14:15" ht="29.1" customHeight="1">
      <c r="N599" s="361"/>
      <c r="O599" s="361"/>
    </row>
    <row r="600" spans="14:15" ht="29.1" customHeight="1">
      <c r="N600" s="361"/>
      <c r="O600" s="361"/>
    </row>
    <row r="601" spans="14:15" ht="29.1" customHeight="1">
      <c r="N601" s="361"/>
      <c r="O601" s="361"/>
    </row>
    <row r="602" spans="14:15" ht="29.1" customHeight="1">
      <c r="N602" s="361"/>
      <c r="O602" s="361"/>
    </row>
    <row r="603" spans="14:15" ht="29.1" customHeight="1">
      <c r="N603" s="361"/>
      <c r="O603" s="361"/>
    </row>
    <row r="604" spans="14:15" ht="29.1" customHeight="1">
      <c r="N604" s="361"/>
      <c r="O604" s="361"/>
    </row>
    <row r="605" spans="14:15" ht="29.1" customHeight="1">
      <c r="N605" s="361"/>
      <c r="O605" s="361"/>
    </row>
    <row r="606" spans="14:15" ht="29.1" customHeight="1">
      <c r="N606" s="361"/>
      <c r="O606" s="361"/>
    </row>
    <row r="607" spans="14:15" ht="29.1" customHeight="1">
      <c r="N607" s="361"/>
      <c r="O607" s="361"/>
    </row>
    <row r="608" spans="14:15" ht="29.1" customHeight="1">
      <c r="N608" s="361"/>
      <c r="O608" s="361"/>
    </row>
    <row r="609" spans="14:15" ht="29.1" customHeight="1">
      <c r="N609" s="361"/>
      <c r="O609" s="361"/>
    </row>
    <row r="610" spans="14:15" ht="29.1" customHeight="1">
      <c r="N610" s="361"/>
      <c r="O610" s="361"/>
    </row>
    <row r="611" spans="14:15" ht="29.1" customHeight="1">
      <c r="N611" s="361"/>
      <c r="O611" s="361"/>
    </row>
    <row r="612" spans="14:15" ht="29.1" customHeight="1">
      <c r="N612" s="361"/>
      <c r="O612" s="361"/>
    </row>
    <row r="613" spans="14:15" ht="29.1" customHeight="1">
      <c r="N613" s="361"/>
      <c r="O613" s="361"/>
    </row>
    <row r="614" spans="14:15" ht="29.1" customHeight="1">
      <c r="N614" s="361"/>
      <c r="O614" s="361"/>
    </row>
    <row r="615" spans="14:15" ht="29.1" customHeight="1">
      <c r="N615" s="361"/>
      <c r="O615" s="361"/>
    </row>
    <row r="616" spans="14:15" ht="29.1" customHeight="1">
      <c r="N616" s="361"/>
      <c r="O616" s="361"/>
    </row>
    <row r="617" spans="14:15" ht="29.1" customHeight="1">
      <c r="N617" s="361"/>
      <c r="O617" s="361"/>
    </row>
    <row r="618" spans="14:15" ht="29.1" customHeight="1">
      <c r="N618" s="361"/>
      <c r="O618" s="361"/>
    </row>
    <row r="619" spans="14:15" ht="29.1" customHeight="1">
      <c r="N619" s="361"/>
      <c r="O619" s="361"/>
    </row>
    <row r="620" spans="14:15" ht="29.1" customHeight="1">
      <c r="N620" s="361"/>
      <c r="O620" s="361"/>
    </row>
    <row r="621" spans="14:15" ht="29.1" customHeight="1">
      <c r="N621" s="361"/>
      <c r="O621" s="361"/>
    </row>
    <row r="622" spans="14:15" ht="29.1" customHeight="1">
      <c r="N622" s="361"/>
      <c r="O622" s="361"/>
    </row>
    <row r="623" spans="14:15" ht="29.1" customHeight="1">
      <c r="N623" s="361"/>
      <c r="O623" s="361"/>
    </row>
    <row r="624" spans="14:15" ht="29.1" customHeight="1">
      <c r="N624" s="361"/>
      <c r="O624" s="361"/>
    </row>
    <row r="625" spans="14:15" ht="29.1" customHeight="1">
      <c r="N625" s="361"/>
      <c r="O625" s="361"/>
    </row>
    <row r="626" spans="14:15" ht="29.1" customHeight="1">
      <c r="N626" s="361"/>
      <c r="O626" s="361"/>
    </row>
    <row r="627" spans="14:15" ht="29.1" customHeight="1">
      <c r="N627" s="361"/>
      <c r="O627" s="361"/>
    </row>
    <row r="628" spans="14:15" ht="29.1" customHeight="1">
      <c r="N628" s="361"/>
      <c r="O628" s="361"/>
    </row>
    <row r="629" spans="14:15" ht="29.1" customHeight="1">
      <c r="N629" s="361"/>
      <c r="O629" s="361"/>
    </row>
    <row r="630" spans="14:15" ht="29.1" customHeight="1">
      <c r="N630" s="361"/>
      <c r="O630" s="361"/>
    </row>
    <row r="631" spans="14:15" ht="29.1" customHeight="1">
      <c r="N631" s="361"/>
      <c r="O631" s="361"/>
    </row>
    <row r="632" spans="14:15" ht="29.1" customHeight="1">
      <c r="N632" s="361"/>
      <c r="O632" s="361"/>
    </row>
    <row r="633" spans="14:15" ht="29.1" customHeight="1">
      <c r="N633" s="361"/>
      <c r="O633" s="361"/>
    </row>
    <row r="634" spans="14:15" ht="29.1" customHeight="1">
      <c r="N634" s="361"/>
      <c r="O634" s="361"/>
    </row>
    <row r="635" spans="14:15" ht="29.1" customHeight="1">
      <c r="N635" s="361"/>
      <c r="O635" s="361"/>
    </row>
    <row r="636" spans="14:15" ht="29.1" customHeight="1">
      <c r="N636" s="361"/>
      <c r="O636" s="361"/>
    </row>
    <row r="637" spans="14:15" ht="29.1" customHeight="1">
      <c r="N637" s="361"/>
      <c r="O637" s="361"/>
    </row>
    <row r="638" spans="14:15" ht="29.1" customHeight="1">
      <c r="N638" s="361"/>
      <c r="O638" s="361"/>
    </row>
    <row r="639" spans="14:15" ht="29.1" customHeight="1">
      <c r="N639" s="361"/>
      <c r="O639" s="361"/>
    </row>
    <row r="640" spans="14:15" ht="29.1" customHeight="1">
      <c r="N640" s="361"/>
      <c r="O640" s="361"/>
    </row>
    <row r="641" spans="14:15" ht="29.1" customHeight="1">
      <c r="N641" s="361"/>
      <c r="O641" s="361"/>
    </row>
    <row r="642" spans="14:15" ht="29.1" customHeight="1">
      <c r="N642" s="361"/>
      <c r="O642" s="361"/>
    </row>
    <row r="643" spans="14:15" ht="29.1" customHeight="1">
      <c r="N643" s="361"/>
      <c r="O643" s="361"/>
    </row>
    <row r="644" spans="14:15" ht="29.1" customHeight="1">
      <c r="N644" s="361"/>
      <c r="O644" s="361"/>
    </row>
    <row r="645" spans="14:15" ht="29.1" customHeight="1">
      <c r="N645" s="361"/>
      <c r="O645" s="361"/>
    </row>
    <row r="646" spans="14:15" ht="29.1" customHeight="1">
      <c r="N646" s="361"/>
      <c r="O646" s="361"/>
    </row>
    <row r="647" spans="14:15" ht="29.1" customHeight="1">
      <c r="N647" s="361"/>
      <c r="O647" s="361"/>
    </row>
    <row r="648" spans="14:15" ht="29.1" customHeight="1">
      <c r="N648" s="361"/>
      <c r="O648" s="361"/>
    </row>
    <row r="649" spans="14:15" ht="29.1" customHeight="1">
      <c r="N649" s="361"/>
      <c r="O649" s="361"/>
    </row>
    <row r="650" spans="14:15" ht="29.1" customHeight="1">
      <c r="N650" s="361"/>
      <c r="O650" s="361"/>
    </row>
    <row r="651" spans="14:15" ht="29.1" customHeight="1">
      <c r="N651" s="361"/>
      <c r="O651" s="361"/>
    </row>
    <row r="652" spans="14:15" ht="29.1" customHeight="1">
      <c r="N652" s="361"/>
      <c r="O652" s="361"/>
    </row>
    <row r="653" spans="14:15" ht="29.1" customHeight="1">
      <c r="N653" s="361"/>
      <c r="O653" s="361"/>
    </row>
    <row r="654" spans="14:15" ht="29.1" customHeight="1">
      <c r="N654" s="361"/>
      <c r="O654" s="361"/>
    </row>
    <row r="655" spans="14:15" ht="29.1" customHeight="1">
      <c r="N655" s="361"/>
      <c r="O655" s="361"/>
    </row>
    <row r="656" spans="14:15" ht="29.1" customHeight="1">
      <c r="N656" s="361"/>
      <c r="O656" s="361"/>
    </row>
    <row r="657" spans="14:15" ht="29.1" customHeight="1">
      <c r="N657" s="361"/>
      <c r="O657" s="361"/>
    </row>
    <row r="658" spans="14:15" ht="29.1" customHeight="1">
      <c r="N658" s="361"/>
      <c r="O658" s="361"/>
    </row>
    <row r="659" spans="14:15" ht="29.1" customHeight="1">
      <c r="N659" s="361"/>
      <c r="O659" s="361"/>
    </row>
    <row r="660" spans="14:15" ht="29.1" customHeight="1">
      <c r="N660" s="361"/>
      <c r="O660" s="361"/>
    </row>
    <row r="661" spans="14:15" ht="29.1" customHeight="1">
      <c r="N661" s="361"/>
      <c r="O661" s="361"/>
    </row>
    <row r="662" spans="14:15" ht="29.1" customHeight="1">
      <c r="N662" s="361"/>
      <c r="O662" s="361"/>
    </row>
    <row r="663" spans="14:15" ht="29.1" customHeight="1">
      <c r="N663" s="361"/>
      <c r="O663" s="361"/>
    </row>
    <row r="664" spans="14:15" ht="29.1" customHeight="1">
      <c r="N664" s="361"/>
      <c r="O664" s="361"/>
    </row>
    <row r="665" spans="14:15" ht="29.1" customHeight="1">
      <c r="N665" s="361"/>
      <c r="O665" s="361"/>
    </row>
    <row r="666" spans="14:15" ht="29.1" customHeight="1">
      <c r="N666" s="361"/>
      <c r="O666" s="361"/>
    </row>
    <row r="667" spans="14:15" ht="29.1" customHeight="1">
      <c r="N667" s="361"/>
      <c r="O667" s="361"/>
    </row>
    <row r="668" spans="14:15" ht="29.1" customHeight="1">
      <c r="N668" s="361"/>
      <c r="O668" s="361"/>
    </row>
    <row r="669" spans="14:15" ht="29.1" customHeight="1">
      <c r="N669" s="361"/>
      <c r="O669" s="361"/>
    </row>
    <row r="670" spans="14:15" ht="29.1" customHeight="1">
      <c r="N670" s="361"/>
      <c r="O670" s="361"/>
    </row>
    <row r="671" spans="14:15" ht="29.1" customHeight="1">
      <c r="N671" s="361"/>
      <c r="O671" s="361"/>
    </row>
    <row r="672" spans="14:15" ht="29.1" customHeight="1">
      <c r="N672" s="361"/>
      <c r="O672" s="361"/>
    </row>
    <row r="673" spans="14:15" ht="29.1" customHeight="1">
      <c r="N673" s="361"/>
      <c r="O673" s="361"/>
    </row>
    <row r="674" spans="14:15" ht="29.1" customHeight="1">
      <c r="N674" s="361"/>
      <c r="O674" s="361"/>
    </row>
    <row r="675" spans="14:15" ht="29.1" customHeight="1">
      <c r="N675" s="361"/>
      <c r="O675" s="361"/>
    </row>
    <row r="676" spans="14:15" ht="29.1" customHeight="1">
      <c r="N676" s="361"/>
      <c r="O676" s="361"/>
    </row>
    <row r="677" spans="14:15" ht="29.1" customHeight="1">
      <c r="N677" s="361"/>
      <c r="O677" s="361"/>
    </row>
    <row r="678" spans="14:15" ht="29.1" customHeight="1">
      <c r="N678" s="361"/>
      <c r="O678" s="361"/>
    </row>
    <row r="679" spans="14:15" ht="29.1" customHeight="1">
      <c r="N679" s="361"/>
      <c r="O679" s="361"/>
    </row>
    <row r="680" spans="14:15" ht="29.1" customHeight="1">
      <c r="N680" s="361"/>
      <c r="O680" s="361"/>
    </row>
    <row r="681" spans="14:15" ht="29.1" customHeight="1">
      <c r="N681" s="361"/>
      <c r="O681" s="361"/>
    </row>
    <row r="682" spans="14:15" ht="29.1" customHeight="1">
      <c r="N682" s="361"/>
      <c r="O682" s="361"/>
    </row>
    <row r="683" spans="14:15" ht="29.1" customHeight="1">
      <c r="N683" s="361"/>
      <c r="O683" s="361"/>
    </row>
    <row r="684" spans="14:15" ht="29.1" customHeight="1">
      <c r="N684" s="361"/>
      <c r="O684" s="361"/>
    </row>
    <row r="685" spans="14:15" ht="29.1" customHeight="1">
      <c r="N685" s="361"/>
      <c r="O685" s="361"/>
    </row>
    <row r="686" spans="14:15" ht="29.1" customHeight="1">
      <c r="N686" s="361"/>
      <c r="O686" s="361"/>
    </row>
    <row r="687" spans="14:15" ht="29.1" customHeight="1">
      <c r="N687" s="361"/>
      <c r="O687" s="361"/>
    </row>
    <row r="688" spans="14:15" ht="29.1" customHeight="1">
      <c r="N688" s="361"/>
      <c r="O688" s="361"/>
    </row>
    <row r="689" spans="14:15" ht="29.1" customHeight="1">
      <c r="N689" s="361"/>
      <c r="O689" s="361"/>
    </row>
    <row r="690" spans="14:15" ht="29.1" customHeight="1">
      <c r="N690" s="361"/>
      <c r="O690" s="361"/>
    </row>
    <row r="691" spans="14:15" ht="29.1" customHeight="1">
      <c r="N691" s="361"/>
      <c r="O691" s="361"/>
    </row>
    <row r="692" spans="14:15" ht="29.1" customHeight="1">
      <c r="N692" s="361"/>
      <c r="O692" s="361"/>
    </row>
    <row r="693" spans="14:15" ht="29.1" customHeight="1">
      <c r="N693" s="361"/>
      <c r="O693" s="361"/>
    </row>
    <row r="694" spans="14:15" ht="29.1" customHeight="1">
      <c r="N694" s="361"/>
      <c r="O694" s="361"/>
    </row>
    <row r="695" spans="14:15" ht="29.1" customHeight="1">
      <c r="N695" s="361"/>
      <c r="O695" s="361"/>
    </row>
    <row r="696" spans="14:15" ht="29.1" customHeight="1">
      <c r="N696" s="361"/>
      <c r="O696" s="361"/>
    </row>
    <row r="697" spans="14:15" ht="29.1" customHeight="1">
      <c r="N697" s="361"/>
      <c r="O697" s="361"/>
    </row>
    <row r="698" spans="14:15" ht="29.1" customHeight="1">
      <c r="N698" s="361"/>
      <c r="O698" s="361"/>
    </row>
    <row r="699" spans="14:15" ht="29.1" customHeight="1">
      <c r="N699" s="361"/>
      <c r="O699" s="361"/>
    </row>
    <row r="700" spans="14:15" ht="29.1" customHeight="1">
      <c r="N700" s="361"/>
      <c r="O700" s="361"/>
    </row>
    <row r="701" spans="14:15" ht="29.1" customHeight="1">
      <c r="N701" s="361"/>
      <c r="O701" s="361"/>
    </row>
    <row r="702" spans="14:15" ht="29.1" customHeight="1">
      <c r="N702" s="361"/>
      <c r="O702" s="361"/>
    </row>
    <row r="703" spans="14:15" ht="29.1" customHeight="1">
      <c r="N703" s="361"/>
      <c r="O703" s="361"/>
    </row>
    <row r="704" spans="14:15" ht="29.1" customHeight="1">
      <c r="N704" s="361"/>
      <c r="O704" s="361"/>
    </row>
    <row r="705" spans="14:15" ht="29.1" customHeight="1">
      <c r="N705" s="361"/>
      <c r="O705" s="361"/>
    </row>
    <row r="706" spans="14:15" ht="29.1" customHeight="1">
      <c r="N706" s="361"/>
      <c r="O706" s="361"/>
    </row>
    <row r="707" spans="14:15" ht="29.1" customHeight="1">
      <c r="N707" s="361"/>
      <c r="O707" s="361"/>
    </row>
    <row r="708" spans="14:15" ht="29.1" customHeight="1">
      <c r="N708" s="361"/>
      <c r="O708" s="361"/>
    </row>
    <row r="709" spans="14:15" ht="29.1" customHeight="1">
      <c r="N709" s="361"/>
      <c r="O709" s="361"/>
    </row>
    <row r="710" spans="14:15" ht="29.1" customHeight="1">
      <c r="N710" s="361"/>
      <c r="O710" s="361"/>
    </row>
    <row r="711" spans="14:15" ht="29.1" customHeight="1">
      <c r="N711" s="361"/>
      <c r="O711" s="361"/>
    </row>
    <row r="712" spans="14:15" ht="29.1" customHeight="1">
      <c r="N712" s="361"/>
      <c r="O712" s="361"/>
    </row>
    <row r="713" spans="14:15" ht="29.1" customHeight="1">
      <c r="N713" s="361"/>
      <c r="O713" s="361"/>
    </row>
    <row r="714" spans="14:15" ht="29.1" customHeight="1">
      <c r="N714" s="361"/>
      <c r="O714" s="361"/>
    </row>
    <row r="715" spans="14:15" ht="29.1" customHeight="1">
      <c r="N715" s="361"/>
      <c r="O715" s="361"/>
    </row>
    <row r="716" spans="14:15" ht="29.1" customHeight="1">
      <c r="N716" s="361"/>
      <c r="O716" s="361"/>
    </row>
    <row r="717" spans="14:15" ht="29.1" customHeight="1">
      <c r="N717" s="361"/>
      <c r="O717" s="361"/>
    </row>
    <row r="718" spans="14:15" ht="29.1" customHeight="1">
      <c r="N718" s="361"/>
      <c r="O718" s="361"/>
    </row>
    <row r="719" spans="14:15" ht="29.1" customHeight="1">
      <c r="N719" s="361"/>
      <c r="O719" s="361"/>
    </row>
    <row r="720" spans="14:15" ht="29.1" customHeight="1">
      <c r="N720" s="361"/>
      <c r="O720" s="361"/>
    </row>
    <row r="721" spans="14:15" ht="29.1" customHeight="1">
      <c r="N721" s="361"/>
      <c r="O721" s="361"/>
    </row>
    <row r="722" spans="14:15" ht="29.1" customHeight="1">
      <c r="N722" s="361"/>
      <c r="O722" s="361"/>
    </row>
    <row r="723" spans="14:15" ht="29.1" customHeight="1">
      <c r="N723" s="361"/>
      <c r="O723" s="361"/>
    </row>
    <row r="724" spans="14:15" ht="29.1" customHeight="1">
      <c r="N724" s="361"/>
      <c r="O724" s="361"/>
    </row>
    <row r="725" spans="14:15" ht="29.1" customHeight="1">
      <c r="N725" s="361"/>
      <c r="O725" s="361"/>
    </row>
    <row r="726" spans="14:15" ht="29.1" customHeight="1">
      <c r="N726" s="361"/>
      <c r="O726" s="361"/>
    </row>
    <row r="727" spans="14:15" ht="29.1" customHeight="1">
      <c r="N727" s="361"/>
      <c r="O727" s="361"/>
    </row>
    <row r="728" spans="14:15" ht="29.1" customHeight="1">
      <c r="N728" s="361"/>
      <c r="O728" s="361"/>
    </row>
    <row r="729" spans="14:15" ht="29.1" customHeight="1">
      <c r="N729" s="361"/>
      <c r="O729" s="361"/>
    </row>
    <row r="730" spans="14:15" ht="29.1" customHeight="1">
      <c r="N730" s="361"/>
      <c r="O730" s="361"/>
    </row>
    <row r="731" spans="14:15" ht="29.1" customHeight="1">
      <c r="N731" s="361"/>
      <c r="O731" s="361"/>
    </row>
    <row r="732" spans="14:15" ht="29.1" customHeight="1">
      <c r="N732" s="361"/>
      <c r="O732" s="361"/>
    </row>
    <row r="733" spans="14:15" ht="29.1" customHeight="1">
      <c r="N733" s="361"/>
      <c r="O733" s="361"/>
    </row>
    <row r="734" spans="14:15" ht="29.1" customHeight="1">
      <c r="N734" s="361"/>
      <c r="O734" s="361"/>
    </row>
    <row r="735" spans="14:15" ht="29.1" customHeight="1">
      <c r="N735" s="361"/>
      <c r="O735" s="361"/>
    </row>
    <row r="736" spans="14:15" ht="29.1" customHeight="1">
      <c r="N736" s="361"/>
      <c r="O736" s="361"/>
    </row>
    <row r="737" spans="14:15" ht="29.1" customHeight="1">
      <c r="N737" s="361"/>
      <c r="O737" s="361"/>
    </row>
    <row r="738" spans="14:15" ht="29.1" customHeight="1">
      <c r="N738" s="361"/>
      <c r="O738" s="361"/>
    </row>
    <row r="739" spans="14:15" ht="29.1" customHeight="1">
      <c r="N739" s="361"/>
      <c r="O739" s="361"/>
    </row>
    <row r="740" spans="14:15" ht="29.1" customHeight="1">
      <c r="N740" s="361"/>
      <c r="O740" s="361"/>
    </row>
    <row r="741" spans="14:15" ht="29.1" customHeight="1">
      <c r="N741" s="361"/>
      <c r="O741" s="361"/>
    </row>
    <row r="742" spans="14:15" ht="29.1" customHeight="1">
      <c r="N742" s="361"/>
      <c r="O742" s="361"/>
    </row>
    <row r="743" spans="14:15" ht="29.1" customHeight="1">
      <c r="N743" s="361"/>
      <c r="O743" s="361"/>
    </row>
    <row r="744" spans="14:15" ht="29.1" customHeight="1">
      <c r="N744" s="361"/>
      <c r="O744" s="361"/>
    </row>
    <row r="745" spans="14:15" ht="29.1" customHeight="1">
      <c r="N745" s="361"/>
      <c r="O745" s="361"/>
    </row>
    <row r="746" spans="14:15" ht="29.1" customHeight="1">
      <c r="N746" s="361"/>
      <c r="O746" s="361"/>
    </row>
    <row r="747" spans="14:15" ht="29.1" customHeight="1">
      <c r="N747" s="361"/>
      <c r="O747" s="361"/>
    </row>
    <row r="748" spans="14:15" ht="29.1" customHeight="1">
      <c r="N748" s="361"/>
      <c r="O748" s="361"/>
    </row>
    <row r="749" spans="14:15" ht="29.1" customHeight="1">
      <c r="N749" s="361"/>
      <c r="O749" s="361"/>
    </row>
    <row r="750" spans="14:15" ht="29.1" customHeight="1">
      <c r="N750" s="361"/>
      <c r="O750" s="361"/>
    </row>
    <row r="751" spans="14:15" ht="29.1" customHeight="1">
      <c r="N751" s="361"/>
      <c r="O751" s="361"/>
    </row>
    <row r="752" spans="14:15" ht="29.1" customHeight="1">
      <c r="N752" s="361"/>
      <c r="O752" s="361"/>
    </row>
    <row r="753" spans="14:15" ht="29.1" customHeight="1">
      <c r="N753" s="361"/>
      <c r="O753" s="361"/>
    </row>
    <row r="754" spans="14:15" ht="29.1" customHeight="1">
      <c r="N754" s="361"/>
      <c r="O754" s="361"/>
    </row>
    <row r="755" spans="14:15" ht="29.1" customHeight="1">
      <c r="N755" s="361"/>
      <c r="O755" s="361"/>
    </row>
    <row r="756" spans="14:15" ht="29.1" customHeight="1">
      <c r="N756" s="361"/>
      <c r="O756" s="361"/>
    </row>
    <row r="757" spans="14:15" ht="29.1" customHeight="1">
      <c r="N757" s="361"/>
      <c r="O757" s="361"/>
    </row>
    <row r="758" spans="14:15" ht="29.1" customHeight="1">
      <c r="N758" s="361"/>
      <c r="O758" s="361"/>
    </row>
    <row r="759" spans="14:15" ht="29.1" customHeight="1">
      <c r="N759" s="361"/>
      <c r="O759" s="361"/>
    </row>
    <row r="760" spans="14:15" ht="29.1" customHeight="1">
      <c r="N760" s="361"/>
      <c r="O760" s="361"/>
    </row>
    <row r="761" spans="14:15" ht="29.1" customHeight="1">
      <c r="N761" s="361"/>
      <c r="O761" s="361"/>
    </row>
    <row r="762" spans="14:15" ht="29.1" customHeight="1">
      <c r="N762" s="361"/>
      <c r="O762" s="361"/>
    </row>
    <row r="763" spans="14:15" ht="29.1" customHeight="1">
      <c r="N763" s="361"/>
      <c r="O763" s="361"/>
    </row>
    <row r="764" spans="14:15" ht="29.1" customHeight="1">
      <c r="N764" s="361"/>
      <c r="O764" s="361"/>
    </row>
    <row r="765" spans="14:15" ht="29.1" customHeight="1">
      <c r="N765" s="361"/>
      <c r="O765" s="361"/>
    </row>
    <row r="766" spans="14:15" ht="29.1" customHeight="1">
      <c r="N766" s="361"/>
      <c r="O766" s="361"/>
    </row>
    <row r="767" spans="14:15" ht="29.1" customHeight="1">
      <c r="N767" s="361"/>
      <c r="O767" s="361"/>
    </row>
    <row r="768" spans="14:15" ht="29.1" customHeight="1">
      <c r="N768" s="361"/>
      <c r="O768" s="361"/>
    </row>
    <row r="769" spans="14:15" ht="29.1" customHeight="1">
      <c r="N769" s="361"/>
      <c r="O769" s="361"/>
    </row>
    <row r="770" spans="14:15" ht="29.1" customHeight="1">
      <c r="N770" s="361"/>
      <c r="O770" s="361"/>
    </row>
    <row r="771" spans="14:15" ht="29.1" customHeight="1">
      <c r="N771" s="361"/>
      <c r="O771" s="361"/>
    </row>
    <row r="772" spans="14:15" ht="29.1" customHeight="1">
      <c r="N772" s="361"/>
      <c r="O772" s="361"/>
    </row>
    <row r="773" spans="14:15" ht="29.1" customHeight="1">
      <c r="N773" s="361"/>
      <c r="O773" s="361"/>
    </row>
    <row r="774" spans="14:15" ht="29.1" customHeight="1">
      <c r="N774" s="361"/>
      <c r="O774" s="361"/>
    </row>
    <row r="775" spans="14:15" ht="29.1" customHeight="1">
      <c r="N775" s="361"/>
      <c r="O775" s="361"/>
    </row>
    <row r="776" spans="14:15" ht="29.1" customHeight="1">
      <c r="N776" s="361"/>
      <c r="O776" s="361"/>
    </row>
    <row r="777" spans="14:15" ht="29.1" customHeight="1">
      <c r="N777" s="361"/>
      <c r="O777" s="361"/>
    </row>
    <row r="778" spans="14:15" ht="29.1" customHeight="1">
      <c r="N778" s="361"/>
      <c r="O778" s="361"/>
    </row>
    <row r="779" spans="14:15" ht="29.1" customHeight="1">
      <c r="N779" s="361"/>
      <c r="O779" s="361"/>
    </row>
    <row r="780" spans="14:15" ht="29.1" customHeight="1">
      <c r="N780" s="361"/>
      <c r="O780" s="361"/>
    </row>
    <row r="781" spans="14:15" ht="29.1" customHeight="1">
      <c r="N781" s="361"/>
      <c r="O781" s="361"/>
    </row>
    <row r="782" spans="14:15" ht="29.1" customHeight="1">
      <c r="N782" s="361"/>
      <c r="O782" s="361"/>
    </row>
    <row r="783" spans="14:15" ht="29.1" customHeight="1">
      <c r="N783" s="361"/>
      <c r="O783" s="361"/>
    </row>
    <row r="784" spans="14:15" ht="29.1" customHeight="1">
      <c r="N784" s="361"/>
      <c r="O784" s="361"/>
    </row>
    <row r="785" spans="14:15" ht="29.1" customHeight="1">
      <c r="N785" s="361"/>
      <c r="O785" s="361"/>
    </row>
    <row r="786" spans="14:15" ht="29.1" customHeight="1">
      <c r="N786" s="361"/>
      <c r="O786" s="361"/>
    </row>
    <row r="787" spans="14:15" ht="29.1" customHeight="1">
      <c r="N787" s="361"/>
      <c r="O787" s="361"/>
    </row>
    <row r="788" spans="14:15" ht="29.1" customHeight="1">
      <c r="N788" s="361"/>
      <c r="O788" s="361"/>
    </row>
    <row r="789" spans="14:15" ht="29.1" customHeight="1">
      <c r="N789" s="361"/>
      <c r="O789" s="361"/>
    </row>
    <row r="790" spans="14:15" ht="29.1" customHeight="1">
      <c r="N790" s="361"/>
      <c r="O790" s="361"/>
    </row>
    <row r="791" spans="14:15" ht="29.1" customHeight="1">
      <c r="N791" s="361"/>
      <c r="O791" s="361"/>
    </row>
    <row r="792" spans="14:15" ht="29.1" customHeight="1">
      <c r="N792" s="361"/>
      <c r="O792" s="361"/>
    </row>
    <row r="793" spans="14:15" ht="29.1" customHeight="1">
      <c r="N793" s="361"/>
      <c r="O793" s="361"/>
    </row>
    <row r="794" spans="14:15" ht="29.1" customHeight="1">
      <c r="N794" s="361"/>
      <c r="O794" s="361"/>
    </row>
    <row r="795" spans="14:15" ht="29.1" customHeight="1">
      <c r="N795" s="361"/>
      <c r="O795" s="361"/>
    </row>
    <row r="796" spans="14:15" ht="29.1" customHeight="1">
      <c r="N796" s="361"/>
      <c r="O796" s="361"/>
    </row>
    <row r="797" spans="14:15" ht="29.1" customHeight="1">
      <c r="N797" s="361"/>
      <c r="O797" s="361"/>
    </row>
    <row r="798" spans="14:15" ht="29.1" customHeight="1">
      <c r="N798" s="361"/>
      <c r="O798" s="361"/>
    </row>
    <row r="799" spans="14:15" ht="29.1" customHeight="1">
      <c r="N799" s="361"/>
      <c r="O799" s="361"/>
    </row>
    <row r="800" spans="14:15" ht="29.1" customHeight="1">
      <c r="N800" s="361"/>
      <c r="O800" s="361"/>
    </row>
    <row r="801" spans="14:15" ht="29.1" customHeight="1">
      <c r="N801" s="361"/>
      <c r="O801" s="361"/>
    </row>
    <row r="802" spans="14:15" ht="29.1" customHeight="1">
      <c r="N802" s="361"/>
      <c r="O802" s="361"/>
    </row>
    <row r="803" spans="14:15" ht="29.1" customHeight="1">
      <c r="N803" s="361"/>
      <c r="O803" s="361"/>
    </row>
    <row r="804" spans="14:15" ht="29.1" customHeight="1">
      <c r="N804" s="361"/>
      <c r="O804" s="361"/>
    </row>
    <row r="805" spans="14:15" ht="29.1" customHeight="1">
      <c r="N805" s="361"/>
      <c r="O805" s="361"/>
    </row>
    <row r="806" spans="14:15" ht="29.1" customHeight="1">
      <c r="N806" s="361"/>
      <c r="O806" s="361"/>
    </row>
    <row r="807" spans="14:15" ht="29.1" customHeight="1">
      <c r="N807" s="361"/>
      <c r="O807" s="361"/>
    </row>
    <row r="808" spans="14:15" ht="29.1" customHeight="1">
      <c r="N808" s="361"/>
      <c r="O808" s="361"/>
    </row>
    <row r="809" spans="14:15" ht="29.1" customHeight="1">
      <c r="N809" s="361"/>
      <c r="O809" s="361"/>
    </row>
    <row r="810" spans="14:15" ht="29.1" customHeight="1">
      <c r="N810" s="361"/>
      <c r="O810" s="361"/>
    </row>
    <row r="811" spans="14:15" ht="29.1" customHeight="1">
      <c r="N811" s="361"/>
      <c r="O811" s="361"/>
    </row>
    <row r="812" spans="14:15" ht="29.1" customHeight="1">
      <c r="N812" s="361"/>
      <c r="O812" s="361"/>
    </row>
    <row r="813" spans="14:15" ht="29.1" customHeight="1">
      <c r="N813" s="361"/>
      <c r="O813" s="361"/>
    </row>
    <row r="814" spans="14:15" ht="29.1" customHeight="1">
      <c r="N814" s="361"/>
      <c r="O814" s="361"/>
    </row>
    <row r="815" spans="14:15" ht="29.1" customHeight="1">
      <c r="N815" s="361"/>
      <c r="O815" s="361"/>
    </row>
    <row r="816" spans="14:15" ht="29.1" customHeight="1">
      <c r="N816" s="361"/>
      <c r="O816" s="361"/>
    </row>
    <row r="817" spans="14:15" ht="29.1" customHeight="1">
      <c r="N817" s="361"/>
      <c r="O817" s="361"/>
    </row>
    <row r="818" spans="14:15" ht="29.1" customHeight="1">
      <c r="N818" s="361"/>
      <c r="O818" s="361"/>
    </row>
    <row r="819" spans="14:15" ht="29.1" customHeight="1">
      <c r="N819" s="361"/>
      <c r="O819" s="361"/>
    </row>
    <row r="820" spans="14:15" ht="29.1" customHeight="1">
      <c r="N820" s="361"/>
      <c r="O820" s="361"/>
    </row>
    <row r="821" spans="14:15" ht="29.1" customHeight="1">
      <c r="N821" s="361"/>
      <c r="O821" s="361"/>
    </row>
    <row r="822" spans="14:15" ht="29.1" customHeight="1">
      <c r="N822" s="361"/>
      <c r="O822" s="361"/>
    </row>
    <row r="823" spans="14:15" ht="29.1" customHeight="1">
      <c r="N823" s="361"/>
      <c r="O823" s="361"/>
    </row>
    <row r="824" spans="14:15" ht="29.1" customHeight="1">
      <c r="N824" s="361"/>
      <c r="O824" s="361"/>
    </row>
    <row r="825" spans="14:15" ht="29.1" customHeight="1">
      <c r="N825" s="361"/>
      <c r="O825" s="361"/>
    </row>
    <row r="826" spans="14:15" ht="29.1" customHeight="1">
      <c r="N826" s="361"/>
      <c r="O826" s="361"/>
    </row>
    <row r="827" spans="14:15" ht="29.1" customHeight="1">
      <c r="N827" s="361"/>
      <c r="O827" s="361"/>
    </row>
    <row r="828" spans="14:15" ht="29.1" customHeight="1">
      <c r="N828" s="361"/>
      <c r="O828" s="361"/>
    </row>
    <row r="829" spans="14:15" ht="29.1" customHeight="1">
      <c r="N829" s="361"/>
      <c r="O829" s="361"/>
    </row>
    <row r="830" spans="14:15" ht="29.1" customHeight="1">
      <c r="N830" s="361"/>
      <c r="O830" s="361"/>
    </row>
    <row r="831" spans="14:15" ht="29.1" customHeight="1">
      <c r="N831" s="361"/>
      <c r="O831" s="361"/>
    </row>
    <row r="832" spans="14:15" ht="29.1" customHeight="1">
      <c r="N832" s="361"/>
      <c r="O832" s="361"/>
    </row>
    <row r="833" spans="14:15" ht="29.1" customHeight="1">
      <c r="N833" s="361"/>
      <c r="O833" s="361"/>
    </row>
    <row r="834" spans="14:15" ht="29.1" customHeight="1">
      <c r="N834" s="361"/>
      <c r="O834" s="361"/>
    </row>
    <row r="835" spans="14:15" ht="29.1" customHeight="1">
      <c r="N835" s="361"/>
      <c r="O835" s="361"/>
    </row>
    <row r="836" spans="14:15" ht="29.1" customHeight="1">
      <c r="N836" s="361"/>
      <c r="O836" s="361"/>
    </row>
    <row r="837" spans="14:15" ht="29.1" customHeight="1">
      <c r="N837" s="361"/>
      <c r="O837" s="361"/>
    </row>
    <row r="838" spans="14:15" ht="29.1" customHeight="1">
      <c r="N838" s="361"/>
      <c r="O838" s="361"/>
    </row>
    <row r="839" spans="14:15" ht="29.1" customHeight="1">
      <c r="N839" s="361"/>
      <c r="O839" s="361"/>
    </row>
    <row r="840" spans="14:15" ht="29.1" customHeight="1">
      <c r="N840" s="361"/>
      <c r="O840" s="361"/>
    </row>
    <row r="841" spans="14:15" ht="29.1" customHeight="1">
      <c r="N841" s="361"/>
      <c r="O841" s="361"/>
    </row>
    <row r="842" spans="14:15" ht="29.1" customHeight="1">
      <c r="N842" s="361"/>
      <c r="O842" s="361"/>
    </row>
    <row r="843" spans="14:15" ht="29.1" customHeight="1">
      <c r="N843" s="361"/>
      <c r="O843" s="361"/>
    </row>
    <row r="844" spans="14:15" ht="29.1" customHeight="1">
      <c r="N844" s="361"/>
      <c r="O844" s="361"/>
    </row>
    <row r="845" spans="14:15" ht="29.1" customHeight="1">
      <c r="N845" s="361"/>
      <c r="O845" s="361"/>
    </row>
    <row r="846" spans="14:15" ht="29.1" customHeight="1">
      <c r="N846" s="361"/>
      <c r="O846" s="361"/>
    </row>
    <row r="847" spans="14:15" ht="29.1" customHeight="1">
      <c r="N847" s="361"/>
      <c r="O847" s="361"/>
    </row>
    <row r="848" spans="14:15" ht="29.1" customHeight="1">
      <c r="N848" s="361"/>
      <c r="O848" s="361"/>
    </row>
    <row r="849" spans="14:15" ht="29.1" customHeight="1">
      <c r="N849" s="361"/>
      <c r="O849" s="361"/>
    </row>
    <row r="850" spans="14:15" ht="29.1" customHeight="1">
      <c r="N850" s="361"/>
      <c r="O850" s="361"/>
    </row>
    <row r="851" spans="14:15" ht="29.1" customHeight="1">
      <c r="N851" s="361"/>
      <c r="O851" s="361"/>
    </row>
    <row r="852" spans="14:15" ht="29.1" customHeight="1">
      <c r="N852" s="361"/>
      <c r="O852" s="361"/>
    </row>
    <row r="853" spans="14:15" ht="29.1" customHeight="1">
      <c r="N853" s="361"/>
      <c r="O853" s="361"/>
    </row>
    <row r="854" spans="14:15" ht="29.1" customHeight="1">
      <c r="N854" s="361"/>
      <c r="O854" s="361"/>
    </row>
    <row r="855" spans="14:15" ht="29.1" customHeight="1">
      <c r="N855" s="361"/>
      <c r="O855" s="361"/>
    </row>
    <row r="856" spans="14:15" ht="29.1" customHeight="1">
      <c r="N856" s="361"/>
      <c r="O856" s="361"/>
    </row>
    <row r="857" spans="14:15" ht="29.1" customHeight="1">
      <c r="N857" s="361"/>
      <c r="O857" s="361"/>
    </row>
    <row r="858" spans="14:15" ht="29.1" customHeight="1">
      <c r="N858" s="361"/>
      <c r="O858" s="361"/>
    </row>
    <row r="859" spans="14:15" ht="29.1" customHeight="1">
      <c r="N859" s="361"/>
      <c r="O859" s="361"/>
    </row>
    <row r="860" spans="14:15" ht="29.1" customHeight="1">
      <c r="N860" s="361"/>
      <c r="O860" s="361"/>
    </row>
    <row r="861" spans="14:15" ht="29.1" customHeight="1">
      <c r="N861" s="361"/>
      <c r="O861" s="361"/>
    </row>
    <row r="862" spans="14:15" ht="29.1" customHeight="1">
      <c r="N862" s="361"/>
      <c r="O862" s="361"/>
    </row>
    <row r="863" spans="14:15" ht="29.1" customHeight="1">
      <c r="N863" s="361"/>
      <c r="O863" s="361"/>
    </row>
    <row r="864" spans="14:15" ht="29.1" customHeight="1">
      <c r="N864" s="361"/>
      <c r="O864" s="361"/>
    </row>
    <row r="865" spans="14:15" ht="29.1" customHeight="1">
      <c r="N865" s="361"/>
      <c r="O865" s="361"/>
    </row>
    <row r="866" spans="14:15" ht="29.1" customHeight="1">
      <c r="N866" s="361"/>
      <c r="O866" s="361"/>
    </row>
    <row r="867" spans="14:15" ht="29.1" customHeight="1">
      <c r="N867" s="361"/>
      <c r="O867" s="361"/>
    </row>
    <row r="868" spans="14:15" ht="29.1" customHeight="1">
      <c r="N868" s="361"/>
      <c r="O868" s="361"/>
    </row>
    <row r="869" spans="14:15" ht="29.1" customHeight="1">
      <c r="N869" s="361"/>
      <c r="O869" s="361"/>
    </row>
    <row r="870" spans="14:15" ht="29.1" customHeight="1">
      <c r="N870" s="361"/>
      <c r="O870" s="361"/>
    </row>
    <row r="871" spans="14:15" ht="29.1" customHeight="1">
      <c r="N871" s="361"/>
      <c r="O871" s="361"/>
    </row>
    <row r="872" spans="14:15" ht="29.1" customHeight="1">
      <c r="N872" s="361"/>
      <c r="O872" s="361"/>
    </row>
    <row r="873" spans="14:15" ht="29.1" customHeight="1">
      <c r="N873" s="361"/>
      <c r="O873" s="361"/>
    </row>
    <row r="874" spans="14:15" ht="29.1" customHeight="1">
      <c r="N874" s="361"/>
      <c r="O874" s="361"/>
    </row>
    <row r="875" spans="14:15" ht="29.1" customHeight="1">
      <c r="N875" s="361"/>
      <c r="O875" s="361"/>
    </row>
    <row r="876" spans="14:15" ht="29.1" customHeight="1">
      <c r="N876" s="361"/>
      <c r="O876" s="361"/>
    </row>
    <row r="877" spans="14:15" ht="29.1" customHeight="1">
      <c r="N877" s="361"/>
      <c r="O877" s="361"/>
    </row>
    <row r="878" spans="14:15" ht="29.1" customHeight="1">
      <c r="N878" s="361"/>
      <c r="O878" s="361"/>
    </row>
    <row r="879" spans="14:15" ht="29.1" customHeight="1">
      <c r="N879" s="361"/>
      <c r="O879" s="361"/>
    </row>
    <row r="880" spans="14:15" ht="29.1" customHeight="1">
      <c r="N880" s="361"/>
      <c r="O880" s="361"/>
    </row>
    <row r="881" spans="14:15" ht="29.1" customHeight="1">
      <c r="N881" s="361"/>
      <c r="O881" s="361"/>
    </row>
    <row r="882" spans="14:15" ht="29.1" customHeight="1">
      <c r="N882" s="361"/>
      <c r="O882" s="361"/>
    </row>
    <row r="883" spans="14:15" ht="29.1" customHeight="1">
      <c r="N883" s="361"/>
      <c r="O883" s="361"/>
    </row>
    <row r="884" spans="14:15" ht="29.1" customHeight="1">
      <c r="N884" s="361"/>
      <c r="O884" s="361"/>
    </row>
    <row r="885" spans="14:15" ht="29.1" customHeight="1">
      <c r="N885" s="361"/>
      <c r="O885" s="361"/>
    </row>
    <row r="886" spans="14:15" ht="29.1" customHeight="1">
      <c r="N886" s="361"/>
      <c r="O886" s="361"/>
    </row>
    <row r="887" spans="14:15" ht="29.1" customHeight="1">
      <c r="N887" s="361"/>
      <c r="O887" s="361"/>
    </row>
    <row r="888" spans="14:15" ht="29.1" customHeight="1">
      <c r="N888" s="361"/>
      <c r="O888" s="361"/>
    </row>
    <row r="889" spans="14:15" ht="29.1" customHeight="1">
      <c r="N889" s="361"/>
      <c r="O889" s="361"/>
    </row>
    <row r="890" spans="14:15" ht="29.1" customHeight="1">
      <c r="N890" s="361"/>
      <c r="O890" s="361"/>
    </row>
    <row r="891" spans="14:15" ht="29.1" customHeight="1">
      <c r="N891" s="361"/>
      <c r="O891" s="361"/>
    </row>
    <row r="892" spans="14:15" ht="29.1" customHeight="1">
      <c r="N892" s="361"/>
      <c r="O892" s="361"/>
    </row>
    <row r="893" spans="14:15" ht="29.1" customHeight="1">
      <c r="N893" s="361"/>
      <c r="O893" s="361"/>
    </row>
    <row r="894" spans="14:15" ht="29.1" customHeight="1">
      <c r="N894" s="361"/>
      <c r="O894" s="361"/>
    </row>
    <row r="895" spans="14:15" ht="29.1" customHeight="1">
      <c r="N895" s="361"/>
      <c r="O895" s="361"/>
    </row>
    <row r="896" spans="14:15" ht="29.1" customHeight="1">
      <c r="N896" s="361"/>
      <c r="O896" s="361"/>
    </row>
    <row r="897" spans="14:15" ht="29.1" customHeight="1">
      <c r="N897" s="361"/>
      <c r="O897" s="361"/>
    </row>
    <row r="898" spans="14:15" ht="29.1" customHeight="1">
      <c r="N898" s="361"/>
      <c r="O898" s="361"/>
    </row>
    <row r="899" spans="14:15" ht="29.1" customHeight="1">
      <c r="N899" s="361"/>
      <c r="O899" s="361"/>
    </row>
    <row r="900" spans="14:15" ht="29.1" customHeight="1">
      <c r="N900" s="361"/>
      <c r="O900" s="361"/>
    </row>
    <row r="901" spans="14:15" ht="29.1" customHeight="1">
      <c r="N901" s="361"/>
      <c r="O901" s="361"/>
    </row>
    <row r="902" spans="14:15" ht="29.1" customHeight="1">
      <c r="N902" s="361"/>
      <c r="O902" s="361"/>
    </row>
    <row r="903" spans="14:15" ht="29.1" customHeight="1">
      <c r="N903" s="361"/>
      <c r="O903" s="361"/>
    </row>
    <row r="904" spans="14:15" ht="29.1" customHeight="1">
      <c r="N904" s="361"/>
      <c r="O904" s="361"/>
    </row>
    <row r="905" spans="14:15" ht="29.1" customHeight="1">
      <c r="N905" s="361"/>
      <c r="O905" s="361"/>
    </row>
    <row r="906" spans="14:15" ht="29.1" customHeight="1">
      <c r="N906" s="361"/>
      <c r="O906" s="361"/>
    </row>
    <row r="907" spans="14:15" ht="29.1" customHeight="1">
      <c r="N907" s="361"/>
      <c r="O907" s="361"/>
    </row>
    <row r="908" spans="14:15" ht="29.1" customHeight="1">
      <c r="N908" s="361"/>
      <c r="O908" s="361"/>
    </row>
    <row r="909" spans="14:15" ht="29.1" customHeight="1">
      <c r="N909" s="361"/>
      <c r="O909" s="361"/>
    </row>
    <row r="910" spans="14:15" ht="29.1" customHeight="1">
      <c r="N910" s="361"/>
      <c r="O910" s="361"/>
    </row>
    <row r="911" spans="14:15" ht="29.1" customHeight="1">
      <c r="N911" s="361"/>
      <c r="O911" s="361"/>
    </row>
    <row r="912" spans="14:15" ht="29.1" customHeight="1">
      <c r="N912" s="361"/>
      <c r="O912" s="361"/>
    </row>
    <row r="913" spans="14:15" ht="29.1" customHeight="1">
      <c r="N913" s="361"/>
      <c r="O913" s="361"/>
    </row>
    <row r="914" spans="14:15" ht="29.1" customHeight="1">
      <c r="N914" s="361"/>
      <c r="O914" s="361"/>
    </row>
    <row r="915" spans="14:15" ht="29.1" customHeight="1">
      <c r="N915" s="361"/>
      <c r="O915" s="361"/>
    </row>
    <row r="916" spans="14:15" ht="29.1" customHeight="1">
      <c r="N916" s="361"/>
      <c r="O916" s="361"/>
    </row>
    <row r="917" spans="14:15" ht="29.1" customHeight="1">
      <c r="N917" s="361"/>
      <c r="O917" s="361"/>
    </row>
    <row r="918" spans="14:15" ht="29.1" customHeight="1">
      <c r="N918" s="361"/>
      <c r="O918" s="361"/>
    </row>
    <row r="919" spans="14:15" ht="29.1" customHeight="1">
      <c r="N919" s="361"/>
      <c r="O919" s="361"/>
    </row>
    <row r="920" spans="14:15" ht="29.1" customHeight="1">
      <c r="N920" s="361"/>
      <c r="O920" s="361"/>
    </row>
    <row r="921" spans="14:15" ht="29.1" customHeight="1">
      <c r="N921" s="361"/>
      <c r="O921" s="361"/>
    </row>
    <row r="922" spans="14:15" ht="29.1" customHeight="1">
      <c r="N922" s="361"/>
      <c r="O922" s="361"/>
    </row>
    <row r="923" spans="14:15" ht="29.1" customHeight="1">
      <c r="N923" s="361"/>
      <c r="O923" s="361"/>
    </row>
    <row r="924" spans="14:15" ht="29.1" customHeight="1">
      <c r="N924" s="361"/>
      <c r="O924" s="361"/>
    </row>
    <row r="925" spans="14:15" ht="29.1" customHeight="1">
      <c r="N925" s="361"/>
      <c r="O925" s="361"/>
    </row>
    <row r="926" spans="14:15" ht="29.1" customHeight="1">
      <c r="N926" s="361"/>
      <c r="O926" s="361"/>
    </row>
    <row r="927" spans="14:15" ht="29.1" customHeight="1">
      <c r="N927" s="361"/>
      <c r="O927" s="361"/>
    </row>
    <row r="928" spans="14:15" ht="29.1" customHeight="1">
      <c r="N928" s="361"/>
      <c r="O928" s="361"/>
    </row>
    <row r="929" spans="14:15" ht="29.1" customHeight="1">
      <c r="N929" s="361"/>
      <c r="O929" s="361"/>
    </row>
    <row r="930" spans="14:15" ht="29.1" customHeight="1">
      <c r="N930" s="361"/>
      <c r="O930" s="361"/>
    </row>
    <row r="931" spans="14:15" ht="29.1" customHeight="1">
      <c r="N931" s="361"/>
      <c r="O931" s="361"/>
    </row>
    <row r="932" spans="14:15" ht="29.1" customHeight="1">
      <c r="N932" s="361"/>
      <c r="O932" s="361"/>
    </row>
    <row r="933" spans="14:15" ht="29.1" customHeight="1">
      <c r="N933" s="361"/>
      <c r="O933" s="361"/>
    </row>
    <row r="934" spans="14:15" ht="29.1" customHeight="1">
      <c r="N934" s="361"/>
      <c r="O934" s="361"/>
    </row>
    <row r="935" spans="14:15" ht="29.1" customHeight="1">
      <c r="N935" s="361"/>
      <c r="O935" s="361"/>
    </row>
    <row r="936" spans="14:15" ht="29.1" customHeight="1">
      <c r="N936" s="361"/>
      <c r="O936" s="361"/>
    </row>
    <row r="937" spans="14:15" ht="29.1" customHeight="1">
      <c r="N937" s="361"/>
      <c r="O937" s="361"/>
    </row>
    <row r="938" spans="14:15" ht="29.1" customHeight="1">
      <c r="N938" s="361"/>
      <c r="O938" s="361"/>
    </row>
    <row r="939" spans="14:15" ht="29.1" customHeight="1">
      <c r="N939" s="361"/>
      <c r="O939" s="361"/>
    </row>
    <row r="940" spans="14:15" ht="29.1" customHeight="1">
      <c r="N940" s="361"/>
      <c r="O940" s="361"/>
    </row>
    <row r="941" spans="14:15" ht="29.1" customHeight="1">
      <c r="N941" s="361"/>
      <c r="O941" s="361"/>
    </row>
    <row r="942" spans="14:15" ht="29.1" customHeight="1">
      <c r="N942" s="361"/>
      <c r="O942" s="361"/>
    </row>
    <row r="943" spans="14:15" ht="29.1" customHeight="1">
      <c r="N943" s="361"/>
      <c r="O943" s="361"/>
    </row>
    <row r="944" spans="14:15" ht="29.1" customHeight="1">
      <c r="N944" s="361"/>
      <c r="O944" s="361"/>
    </row>
    <row r="945" spans="14:15" ht="29.1" customHeight="1">
      <c r="N945" s="361"/>
      <c r="O945" s="361"/>
    </row>
    <row r="946" spans="14:15" ht="29.1" customHeight="1">
      <c r="N946" s="361"/>
      <c r="O946" s="361"/>
    </row>
    <row r="947" spans="14:15" ht="29.1" customHeight="1">
      <c r="N947" s="361"/>
      <c r="O947" s="361"/>
    </row>
    <row r="948" spans="14:15" ht="29.1" customHeight="1">
      <c r="N948" s="361"/>
      <c r="O948" s="361"/>
    </row>
    <row r="949" spans="14:15" ht="29.1" customHeight="1">
      <c r="N949" s="361"/>
      <c r="O949" s="361"/>
    </row>
    <row r="950" spans="14:15" ht="29.1" customHeight="1">
      <c r="N950" s="361"/>
      <c r="O950" s="361"/>
    </row>
    <row r="951" spans="14:15" ht="29.1" customHeight="1">
      <c r="N951" s="361"/>
      <c r="O951" s="361"/>
    </row>
    <row r="952" spans="14:15" ht="29.1" customHeight="1">
      <c r="N952" s="361"/>
      <c r="O952" s="361"/>
    </row>
    <row r="953" spans="14:15" ht="29.1" customHeight="1">
      <c r="N953" s="361"/>
      <c r="O953" s="361"/>
    </row>
    <row r="954" spans="14:15" ht="29.1" customHeight="1">
      <c r="N954" s="361"/>
      <c r="O954" s="361"/>
    </row>
    <row r="955" spans="14:15" ht="29.1" customHeight="1">
      <c r="N955" s="361"/>
      <c r="O955" s="361"/>
    </row>
    <row r="956" spans="14:15" ht="29.1" customHeight="1">
      <c r="N956" s="361"/>
      <c r="O956" s="361"/>
    </row>
    <row r="957" spans="14:15" ht="29.1" customHeight="1">
      <c r="N957" s="361"/>
      <c r="O957" s="361"/>
    </row>
    <row r="958" spans="14:15" ht="29.1" customHeight="1">
      <c r="N958" s="361"/>
      <c r="O958" s="361"/>
    </row>
    <row r="959" spans="14:15" ht="29.1" customHeight="1">
      <c r="N959" s="361"/>
      <c r="O959" s="361"/>
    </row>
    <row r="960" spans="14:15" ht="29.1" customHeight="1">
      <c r="N960" s="361"/>
      <c r="O960" s="361"/>
    </row>
    <row r="961" spans="14:15" ht="29.1" customHeight="1">
      <c r="N961" s="361"/>
      <c r="O961" s="361"/>
    </row>
    <row r="962" spans="14:15" ht="29.1" customHeight="1">
      <c r="N962" s="361"/>
      <c r="O962" s="361"/>
    </row>
    <row r="963" spans="14:15" ht="29.1" customHeight="1">
      <c r="N963" s="361"/>
      <c r="O963" s="361"/>
    </row>
    <row r="964" spans="14:15" ht="29.1" customHeight="1">
      <c r="N964" s="361"/>
      <c r="O964" s="361"/>
    </row>
    <row r="965" spans="14:15" ht="29.1" customHeight="1">
      <c r="N965" s="361"/>
      <c r="O965" s="361"/>
    </row>
    <row r="966" spans="14:15" ht="29.1" customHeight="1">
      <c r="N966" s="361"/>
      <c r="O966" s="361"/>
    </row>
    <row r="967" spans="14:15" ht="29.1" customHeight="1">
      <c r="N967" s="361"/>
      <c r="O967" s="361"/>
    </row>
    <row r="968" spans="14:15" ht="29.1" customHeight="1">
      <c r="N968" s="361"/>
      <c r="O968" s="361"/>
    </row>
    <row r="969" spans="14:15" ht="29.1" customHeight="1">
      <c r="N969" s="361"/>
      <c r="O969" s="361"/>
    </row>
    <row r="970" spans="14:15" ht="29.1" customHeight="1">
      <c r="N970" s="361"/>
      <c r="O970" s="361"/>
    </row>
    <row r="971" spans="14:15" ht="29.1" customHeight="1">
      <c r="N971" s="361"/>
      <c r="O971" s="361"/>
    </row>
    <row r="972" spans="14:15" ht="29.1" customHeight="1">
      <c r="N972" s="361"/>
      <c r="O972" s="361"/>
    </row>
    <row r="973" spans="14:15" ht="29.1" customHeight="1">
      <c r="N973" s="361"/>
      <c r="O973" s="361"/>
    </row>
    <row r="974" spans="14:15" ht="29.1" customHeight="1">
      <c r="N974" s="361"/>
      <c r="O974" s="361"/>
    </row>
    <row r="975" spans="14:15" ht="29.1" customHeight="1">
      <c r="N975" s="361"/>
      <c r="O975" s="361"/>
    </row>
    <row r="976" spans="14:15" ht="29.1" customHeight="1">
      <c r="N976" s="361"/>
      <c r="O976" s="361"/>
    </row>
    <row r="977" spans="14:15" ht="29.1" customHeight="1">
      <c r="N977" s="361"/>
      <c r="O977" s="361"/>
    </row>
    <row r="978" spans="14:15" ht="29.1" customHeight="1">
      <c r="N978" s="361"/>
      <c r="O978" s="361"/>
    </row>
    <row r="979" spans="14:15" ht="29.1" customHeight="1">
      <c r="N979" s="361"/>
      <c r="O979" s="361"/>
    </row>
    <row r="980" spans="14:15" ht="29.1" customHeight="1">
      <c r="N980" s="361"/>
      <c r="O980" s="361"/>
    </row>
    <row r="981" spans="14:15" ht="29.1" customHeight="1">
      <c r="N981" s="361"/>
      <c r="O981" s="361"/>
    </row>
    <row r="982" spans="14:15" ht="29.1" customHeight="1">
      <c r="N982" s="361"/>
      <c r="O982" s="361"/>
    </row>
    <row r="983" spans="14:15" ht="29.1" customHeight="1">
      <c r="N983" s="361"/>
      <c r="O983" s="361"/>
    </row>
    <row r="984" spans="14:15" ht="29.1" customHeight="1">
      <c r="N984" s="361"/>
      <c r="O984" s="361"/>
    </row>
    <row r="985" spans="14:15" ht="29.1" customHeight="1">
      <c r="N985" s="361"/>
      <c r="O985" s="361"/>
    </row>
    <row r="986" spans="14:15" ht="29.1" customHeight="1">
      <c r="N986" s="361"/>
      <c r="O986" s="361"/>
    </row>
    <row r="987" spans="14:15" ht="29.1" customHeight="1">
      <c r="N987" s="361"/>
      <c r="O987" s="361"/>
    </row>
    <row r="988" spans="14:15" ht="29.1" customHeight="1">
      <c r="N988" s="361"/>
      <c r="O988" s="361"/>
    </row>
    <row r="989" spans="14:15" ht="29.1" customHeight="1">
      <c r="N989" s="361"/>
      <c r="O989" s="361"/>
    </row>
    <row r="990" spans="14:15" ht="29.1" customHeight="1">
      <c r="N990" s="361"/>
      <c r="O990" s="361"/>
    </row>
    <row r="991" spans="14:15" ht="29.1" customHeight="1">
      <c r="N991" s="361"/>
      <c r="O991" s="361"/>
    </row>
    <row r="992" spans="14:15" ht="29.1" customHeight="1">
      <c r="N992" s="361"/>
      <c r="O992" s="361"/>
    </row>
    <row r="993" spans="14:15" ht="29.1" customHeight="1">
      <c r="N993" s="361"/>
      <c r="O993" s="361"/>
    </row>
    <row r="994" spans="14:15" ht="29.1" customHeight="1">
      <c r="N994" s="361"/>
      <c r="O994" s="361"/>
    </row>
    <row r="995" spans="14:15" ht="29.1" customHeight="1">
      <c r="N995" s="361"/>
      <c r="O995" s="361"/>
    </row>
    <row r="996" spans="14:15" ht="29.1" customHeight="1">
      <c r="N996" s="361"/>
      <c r="O996" s="361"/>
    </row>
    <row r="997" spans="14:15" ht="29.1" customHeight="1">
      <c r="N997" s="361"/>
      <c r="O997" s="361"/>
    </row>
    <row r="998" spans="14:15" ht="29.1" customHeight="1">
      <c r="N998" s="361"/>
      <c r="O998" s="361"/>
    </row>
    <row r="999" spans="14:15" ht="29.1" customHeight="1">
      <c r="N999" s="361"/>
      <c r="O999" s="361"/>
    </row>
    <row r="1000" spans="14:15" ht="29.1" customHeight="1">
      <c r="N1000" s="361"/>
      <c r="O1000" s="361"/>
    </row>
    <row r="1001" spans="14:15" ht="29.1" customHeight="1">
      <c r="N1001" s="361"/>
      <c r="O1001" s="361"/>
    </row>
    <row r="1002" spans="14:15" ht="29.1" customHeight="1">
      <c r="N1002" s="361"/>
      <c r="O1002" s="361"/>
    </row>
    <row r="1003" spans="14:15" ht="29.1" customHeight="1">
      <c r="N1003" s="361"/>
      <c r="O1003" s="361"/>
    </row>
    <row r="1004" spans="14:15" ht="29.1" customHeight="1">
      <c r="N1004" s="361"/>
      <c r="O1004" s="361"/>
    </row>
    <row r="1005" spans="14:15" ht="29.1" customHeight="1">
      <c r="N1005" s="361"/>
      <c r="O1005" s="361"/>
    </row>
    <row r="1006" spans="14:15" ht="29.1" customHeight="1">
      <c r="N1006" s="361"/>
      <c r="O1006" s="361"/>
    </row>
    <row r="1007" spans="14:15" ht="29.1" customHeight="1">
      <c r="N1007" s="361"/>
      <c r="O1007" s="361"/>
    </row>
    <row r="1008" spans="14:15" ht="29.1" customHeight="1">
      <c r="N1008" s="361"/>
      <c r="O1008" s="361"/>
    </row>
    <row r="1009" spans="14:15" ht="29.1" customHeight="1">
      <c r="N1009" s="361"/>
      <c r="O1009" s="361"/>
    </row>
    <row r="1010" spans="14:15" ht="29.1" customHeight="1">
      <c r="N1010" s="361"/>
      <c r="O1010" s="361"/>
    </row>
    <row r="1011" spans="14:15" ht="29.1" customHeight="1">
      <c r="N1011" s="361"/>
      <c r="O1011" s="361"/>
    </row>
    <row r="1012" spans="14:15" ht="29.1" customHeight="1">
      <c r="N1012" s="361"/>
      <c r="O1012" s="361"/>
    </row>
    <row r="1013" spans="14:15" ht="29.1" customHeight="1">
      <c r="N1013" s="361"/>
      <c r="O1013" s="361"/>
    </row>
    <row r="1014" spans="14:15" ht="29.1" customHeight="1">
      <c r="N1014" s="361"/>
      <c r="O1014" s="361"/>
    </row>
    <row r="1015" spans="14:15" ht="29.1" customHeight="1">
      <c r="N1015" s="361"/>
      <c r="O1015" s="361"/>
    </row>
    <row r="1016" spans="14:15" ht="29.1" customHeight="1">
      <c r="N1016" s="361"/>
      <c r="O1016" s="361"/>
    </row>
    <row r="1017" spans="14:15" ht="29.1" customHeight="1">
      <c r="N1017" s="361"/>
      <c r="O1017" s="361"/>
    </row>
    <row r="1018" spans="14:15" ht="29.1" customHeight="1">
      <c r="N1018" s="361"/>
      <c r="O1018" s="361"/>
    </row>
    <row r="1019" spans="14:15" ht="29.1" customHeight="1">
      <c r="N1019" s="361"/>
      <c r="O1019" s="361"/>
    </row>
    <row r="1020" spans="14:15" ht="29.1" customHeight="1">
      <c r="N1020" s="361"/>
      <c r="O1020" s="361"/>
    </row>
    <row r="1021" spans="14:15" ht="29.1" customHeight="1">
      <c r="N1021" s="361"/>
      <c r="O1021" s="361"/>
    </row>
    <row r="1022" spans="14:15" ht="29.1" customHeight="1">
      <c r="N1022" s="361"/>
      <c r="O1022" s="361"/>
    </row>
    <row r="1023" spans="14:15" ht="29.1" customHeight="1">
      <c r="N1023" s="361"/>
      <c r="O1023" s="361"/>
    </row>
    <row r="1024" spans="14:15" ht="29.1" customHeight="1">
      <c r="N1024" s="361"/>
      <c r="O1024" s="361"/>
    </row>
    <row r="1025" spans="14:15" ht="29.1" customHeight="1">
      <c r="N1025" s="361"/>
      <c r="O1025" s="361"/>
    </row>
    <row r="1026" spans="14:15" ht="29.1" customHeight="1">
      <c r="N1026" s="361"/>
      <c r="O1026" s="361"/>
    </row>
    <row r="1027" spans="14:15" ht="29.1" customHeight="1">
      <c r="N1027" s="361"/>
      <c r="O1027" s="361"/>
    </row>
    <row r="1028" spans="14:15" ht="29.1" customHeight="1">
      <c r="N1028" s="361"/>
      <c r="O1028" s="361"/>
    </row>
    <row r="1029" spans="14:15" ht="29.1" customHeight="1">
      <c r="N1029" s="361"/>
      <c r="O1029" s="361"/>
    </row>
    <row r="1030" spans="14:15" ht="29.1" customHeight="1">
      <c r="N1030" s="361"/>
      <c r="O1030" s="361"/>
    </row>
    <row r="1031" spans="14:15" ht="29.1" customHeight="1">
      <c r="N1031" s="361"/>
      <c r="O1031" s="361"/>
    </row>
    <row r="1032" spans="14:15" ht="29.1" customHeight="1">
      <c r="N1032" s="361"/>
      <c r="O1032" s="361"/>
    </row>
    <row r="1033" spans="14:15" ht="29.1" customHeight="1">
      <c r="N1033" s="361"/>
      <c r="O1033" s="361"/>
    </row>
    <row r="1034" spans="14:15" ht="29.1" customHeight="1">
      <c r="N1034" s="361"/>
      <c r="O1034" s="361"/>
    </row>
    <row r="1035" spans="14:15" ht="29.1" customHeight="1">
      <c r="N1035" s="361"/>
      <c r="O1035" s="361"/>
    </row>
    <row r="1036" spans="14:15" ht="29.1" customHeight="1">
      <c r="N1036" s="361"/>
      <c r="O1036" s="361"/>
    </row>
    <row r="1037" spans="14:15" ht="29.1" customHeight="1">
      <c r="N1037" s="361"/>
      <c r="O1037" s="361"/>
    </row>
    <row r="1038" spans="14:15" ht="29.1" customHeight="1">
      <c r="N1038" s="361"/>
      <c r="O1038" s="361"/>
    </row>
    <row r="1039" spans="14:15" ht="29.1" customHeight="1">
      <c r="N1039" s="361"/>
      <c r="O1039" s="361"/>
    </row>
    <row r="1040" spans="14:15" ht="29.1" customHeight="1">
      <c r="N1040" s="361"/>
      <c r="O1040" s="361"/>
    </row>
    <row r="1041" spans="14:15" ht="29.1" customHeight="1">
      <c r="N1041" s="361"/>
      <c r="O1041" s="361"/>
    </row>
    <row r="1042" spans="14:15" ht="29.1" customHeight="1">
      <c r="N1042" s="361"/>
      <c r="O1042" s="361"/>
    </row>
    <row r="1043" spans="14:15" ht="29.1" customHeight="1">
      <c r="N1043" s="361"/>
      <c r="O1043" s="361"/>
    </row>
    <row r="1044" spans="14:15" ht="29.1" customHeight="1">
      <c r="N1044" s="361"/>
      <c r="O1044" s="361"/>
    </row>
    <row r="1045" spans="14:15" ht="29.1" customHeight="1">
      <c r="N1045" s="361"/>
      <c r="O1045" s="361"/>
    </row>
    <row r="1046" spans="14:15" ht="29.1" customHeight="1">
      <c r="N1046" s="361"/>
      <c r="O1046" s="361"/>
    </row>
    <row r="1047" spans="14:15" ht="29.1" customHeight="1">
      <c r="N1047" s="361"/>
      <c r="O1047" s="361"/>
    </row>
    <row r="1048" spans="14:15" ht="29.1" customHeight="1">
      <c r="N1048" s="361"/>
      <c r="O1048" s="361"/>
    </row>
    <row r="1049" spans="14:15" ht="29.1" customHeight="1">
      <c r="N1049" s="361"/>
      <c r="O1049" s="361"/>
    </row>
    <row r="1050" spans="14:15" ht="29.1" customHeight="1">
      <c r="N1050" s="361"/>
      <c r="O1050" s="361"/>
    </row>
    <row r="1051" spans="14:15" ht="29.1" customHeight="1">
      <c r="N1051" s="361"/>
      <c r="O1051" s="361"/>
    </row>
    <row r="1052" spans="14:15" ht="29.1" customHeight="1">
      <c r="N1052" s="361"/>
      <c r="O1052" s="361"/>
    </row>
    <row r="1053" spans="14:15" ht="29.1" customHeight="1">
      <c r="N1053" s="361"/>
      <c r="O1053" s="361"/>
    </row>
    <row r="1054" spans="14:15" ht="29.1" customHeight="1">
      <c r="N1054" s="361"/>
      <c r="O1054" s="361"/>
    </row>
    <row r="1055" spans="14:15" ht="29.1" customHeight="1">
      <c r="N1055" s="361"/>
      <c r="O1055" s="361"/>
    </row>
    <row r="1056" spans="14:15" ht="29.1" customHeight="1">
      <c r="N1056" s="361"/>
      <c r="O1056" s="361"/>
    </row>
    <row r="1057" spans="14:15" ht="29.1" customHeight="1">
      <c r="N1057" s="361"/>
      <c r="O1057" s="361"/>
    </row>
    <row r="1058" spans="14:15" ht="29.1" customHeight="1">
      <c r="N1058" s="361"/>
      <c r="O1058" s="361"/>
    </row>
    <row r="1059" spans="14:15" ht="29.1" customHeight="1">
      <c r="N1059" s="361"/>
      <c r="O1059" s="361"/>
    </row>
    <row r="1060" spans="14:15" ht="29.1" customHeight="1">
      <c r="N1060" s="361"/>
      <c r="O1060" s="361"/>
    </row>
    <row r="1061" spans="14:15" ht="29.1" customHeight="1">
      <c r="N1061" s="361"/>
      <c r="O1061" s="361"/>
    </row>
    <row r="1062" spans="14:15" ht="29.1" customHeight="1">
      <c r="N1062" s="361"/>
      <c r="O1062" s="361"/>
    </row>
    <row r="1063" spans="14:15" ht="29.1" customHeight="1">
      <c r="N1063" s="361"/>
      <c r="O1063" s="361"/>
    </row>
    <row r="1064" spans="14:15" ht="29.1" customHeight="1">
      <c r="N1064" s="361"/>
      <c r="O1064" s="361"/>
    </row>
    <row r="1065" spans="14:15" ht="29.1" customHeight="1">
      <c r="N1065" s="361"/>
      <c r="O1065" s="361"/>
    </row>
    <row r="1066" spans="14:15" ht="29.1" customHeight="1">
      <c r="N1066" s="361"/>
      <c r="O1066" s="361"/>
    </row>
    <row r="1067" spans="14:15" ht="29.1" customHeight="1">
      <c r="N1067" s="361"/>
      <c r="O1067" s="361"/>
    </row>
    <row r="1068" spans="14:15" ht="29.1" customHeight="1">
      <c r="N1068" s="361"/>
      <c r="O1068" s="361"/>
    </row>
    <row r="1069" spans="14:15" ht="29.1" customHeight="1">
      <c r="N1069" s="361"/>
      <c r="O1069" s="361"/>
    </row>
    <row r="1070" spans="14:15" ht="29.1" customHeight="1">
      <c r="N1070" s="361"/>
      <c r="O1070" s="361"/>
    </row>
    <row r="1071" spans="14:15" ht="29.1" customHeight="1">
      <c r="N1071" s="361"/>
      <c r="O1071" s="361"/>
    </row>
    <row r="1072" spans="14:15" ht="29.1" customHeight="1">
      <c r="N1072" s="361"/>
      <c r="O1072" s="361"/>
    </row>
    <row r="1073" spans="14:15" ht="29.1" customHeight="1">
      <c r="N1073" s="361"/>
      <c r="O1073" s="361"/>
    </row>
    <row r="1074" spans="14:15" ht="29.1" customHeight="1">
      <c r="N1074" s="361"/>
      <c r="O1074" s="361"/>
    </row>
    <row r="1075" spans="14:15" ht="29.1" customHeight="1">
      <c r="N1075" s="361"/>
      <c r="O1075" s="361"/>
    </row>
    <row r="1076" spans="14:15" ht="29.1" customHeight="1">
      <c r="N1076" s="361"/>
      <c r="O1076" s="361"/>
    </row>
    <row r="1077" spans="14:15" ht="29.1" customHeight="1">
      <c r="N1077" s="361"/>
      <c r="O1077" s="361"/>
    </row>
    <row r="1078" spans="14:15" ht="29.1" customHeight="1">
      <c r="N1078" s="361"/>
      <c r="O1078" s="361"/>
    </row>
    <row r="1079" spans="14:15" ht="29.1" customHeight="1">
      <c r="N1079" s="361"/>
      <c r="O1079" s="361"/>
    </row>
    <row r="1080" spans="14:15" ht="29.1" customHeight="1">
      <c r="N1080" s="361"/>
      <c r="O1080" s="361"/>
    </row>
    <row r="1081" spans="14:15" ht="29.1" customHeight="1">
      <c r="N1081" s="361"/>
      <c r="O1081" s="361"/>
    </row>
    <row r="1082" spans="14:15" ht="29.1" customHeight="1">
      <c r="N1082" s="361"/>
      <c r="O1082" s="361"/>
    </row>
    <row r="1083" spans="14:15" ht="29.1" customHeight="1">
      <c r="N1083" s="361"/>
      <c r="O1083" s="361"/>
    </row>
    <row r="1084" spans="14:15" ht="29.1" customHeight="1">
      <c r="N1084" s="361"/>
      <c r="O1084" s="361"/>
    </row>
    <row r="1085" spans="14:15" ht="29.1" customHeight="1">
      <c r="N1085" s="361"/>
      <c r="O1085" s="361"/>
    </row>
    <row r="1086" spans="14:15" ht="29.1" customHeight="1">
      <c r="N1086" s="361"/>
      <c r="O1086" s="361"/>
    </row>
    <row r="1087" spans="14:15" ht="29.1" customHeight="1">
      <c r="N1087" s="361"/>
      <c r="O1087" s="361"/>
    </row>
    <row r="1088" spans="14:15" ht="29.1" customHeight="1">
      <c r="N1088" s="361"/>
      <c r="O1088" s="361"/>
    </row>
    <row r="1089" spans="14:15" ht="29.1" customHeight="1">
      <c r="N1089" s="361"/>
      <c r="O1089" s="361"/>
    </row>
    <row r="1090" spans="14:15" ht="29.1" customHeight="1">
      <c r="N1090" s="361"/>
      <c r="O1090" s="361"/>
    </row>
    <row r="1091" spans="14:15" ht="29.1" customHeight="1">
      <c r="N1091" s="361"/>
      <c r="O1091" s="361"/>
    </row>
    <row r="1092" spans="14:15" ht="29.1" customHeight="1">
      <c r="N1092" s="361"/>
      <c r="O1092" s="361"/>
    </row>
    <row r="1093" spans="14:15" ht="29.1" customHeight="1">
      <c r="N1093" s="361"/>
      <c r="O1093" s="361"/>
    </row>
    <row r="1094" spans="14:15" ht="29.1" customHeight="1">
      <c r="N1094" s="361"/>
      <c r="O1094" s="361"/>
    </row>
    <row r="1095" spans="14:15" ht="29.1" customHeight="1">
      <c r="N1095" s="361"/>
      <c r="O1095" s="361"/>
    </row>
    <row r="1096" spans="14:15" ht="29.1" customHeight="1">
      <c r="N1096" s="361"/>
      <c r="O1096" s="361"/>
    </row>
    <row r="1097" spans="14:15" ht="29.1" customHeight="1">
      <c r="N1097" s="361"/>
      <c r="O1097" s="361"/>
    </row>
    <row r="1098" spans="14:15" ht="29.1" customHeight="1">
      <c r="N1098" s="361"/>
      <c r="O1098" s="361"/>
    </row>
    <row r="1099" spans="14:15" ht="29.1" customHeight="1">
      <c r="N1099" s="361"/>
      <c r="O1099" s="361"/>
    </row>
    <row r="1100" spans="14:15" ht="29.1" customHeight="1">
      <c r="N1100" s="361"/>
      <c r="O1100" s="361"/>
    </row>
    <row r="1101" spans="14:15" ht="29.1" customHeight="1">
      <c r="N1101" s="361"/>
      <c r="O1101" s="361"/>
    </row>
    <row r="1102" spans="14:15" ht="29.1" customHeight="1">
      <c r="N1102" s="361"/>
      <c r="O1102" s="361"/>
    </row>
    <row r="1103" spans="14:15" ht="29.1" customHeight="1">
      <c r="N1103" s="361"/>
      <c r="O1103" s="361"/>
    </row>
    <row r="1104" spans="14:15" ht="29.1" customHeight="1">
      <c r="N1104" s="361"/>
      <c r="O1104" s="361"/>
    </row>
    <row r="1105" spans="14:15" ht="29.1" customHeight="1">
      <c r="N1105" s="361"/>
      <c r="O1105" s="361"/>
    </row>
    <row r="1106" spans="14:15" ht="29.1" customHeight="1">
      <c r="N1106" s="361"/>
      <c r="O1106" s="361"/>
    </row>
    <row r="1107" spans="14:15" ht="29.1" customHeight="1">
      <c r="N1107" s="361"/>
      <c r="O1107" s="361"/>
    </row>
    <row r="1108" spans="14:15" ht="29.1" customHeight="1">
      <c r="N1108" s="361"/>
      <c r="O1108" s="361"/>
    </row>
    <row r="1109" spans="14:15" ht="29.1" customHeight="1">
      <c r="N1109" s="361"/>
      <c r="O1109" s="361"/>
    </row>
    <row r="1110" spans="14:15" ht="29.1" customHeight="1">
      <c r="N1110" s="361"/>
      <c r="O1110" s="361"/>
    </row>
    <row r="1111" spans="14:15" ht="29.1" customHeight="1">
      <c r="N1111" s="361"/>
      <c r="O1111" s="361"/>
    </row>
    <row r="1112" spans="14:15" ht="29.1" customHeight="1">
      <c r="N1112" s="361"/>
      <c r="O1112" s="361"/>
    </row>
    <row r="1113" spans="14:15" ht="29.1" customHeight="1">
      <c r="N1113" s="361"/>
      <c r="O1113" s="361"/>
    </row>
    <row r="1114" spans="14:15" ht="29.1" customHeight="1">
      <c r="N1114" s="361"/>
      <c r="O1114" s="361"/>
    </row>
    <row r="1115" spans="14:15" ht="29.1" customHeight="1">
      <c r="N1115" s="361"/>
      <c r="O1115" s="361"/>
    </row>
    <row r="1116" spans="14:15" ht="29.1" customHeight="1">
      <c r="N1116" s="361"/>
      <c r="O1116" s="361"/>
    </row>
    <row r="1117" spans="14:15" ht="29.1" customHeight="1">
      <c r="N1117" s="361"/>
      <c r="O1117" s="361"/>
    </row>
    <row r="1118" spans="14:15" ht="29.1" customHeight="1">
      <c r="N1118" s="361"/>
      <c r="O1118" s="361"/>
    </row>
    <row r="1119" spans="14:15" ht="29.1" customHeight="1">
      <c r="N1119" s="361"/>
      <c r="O1119" s="361"/>
    </row>
    <row r="1120" spans="14:15" ht="29.1" customHeight="1">
      <c r="N1120" s="361"/>
      <c r="O1120" s="361"/>
    </row>
    <row r="1121" spans="14:15" ht="29.1" customHeight="1">
      <c r="N1121" s="361"/>
      <c r="O1121" s="361"/>
    </row>
    <row r="1122" spans="14:15" ht="29.1" customHeight="1">
      <c r="N1122" s="361"/>
      <c r="O1122" s="361"/>
    </row>
    <row r="1123" spans="14:15" ht="29.1" customHeight="1">
      <c r="N1123" s="361"/>
      <c r="O1123" s="361"/>
    </row>
    <row r="1124" spans="14:15" ht="29.1" customHeight="1">
      <c r="N1124" s="361"/>
      <c r="O1124" s="361"/>
    </row>
    <row r="1125" spans="14:15" ht="29.1" customHeight="1">
      <c r="N1125" s="361"/>
      <c r="O1125" s="361"/>
    </row>
    <row r="1126" spans="14:15" ht="29.1" customHeight="1">
      <c r="N1126" s="361"/>
      <c r="O1126" s="361"/>
    </row>
    <row r="1127" spans="14:15" ht="29.1" customHeight="1">
      <c r="N1127" s="361"/>
      <c r="O1127" s="361"/>
    </row>
    <row r="1128" spans="14:15" ht="29.1" customHeight="1">
      <c r="N1128" s="361"/>
      <c r="O1128" s="361"/>
    </row>
    <row r="1129" spans="14:15" ht="29.1" customHeight="1">
      <c r="N1129" s="361"/>
      <c r="O1129" s="361"/>
    </row>
    <row r="1130" spans="14:15" ht="29.1" customHeight="1">
      <c r="N1130" s="361"/>
      <c r="O1130" s="361"/>
    </row>
    <row r="1131" spans="14:15" ht="29.1" customHeight="1">
      <c r="N1131" s="361"/>
      <c r="O1131" s="361"/>
    </row>
    <row r="1132" spans="14:15" ht="29.1" customHeight="1">
      <c r="N1132" s="361"/>
      <c r="O1132" s="361"/>
    </row>
    <row r="1133" spans="14:15" ht="29.1" customHeight="1">
      <c r="N1133" s="361"/>
      <c r="O1133" s="361"/>
    </row>
    <row r="1134" spans="14:15" ht="29.1" customHeight="1">
      <c r="N1134" s="361"/>
      <c r="O1134" s="361"/>
    </row>
    <row r="1135" spans="14:15" ht="29.1" customHeight="1">
      <c r="N1135" s="361"/>
      <c r="O1135" s="361"/>
    </row>
    <row r="1136" spans="14:15" ht="29.1" customHeight="1">
      <c r="N1136" s="361"/>
      <c r="O1136" s="361"/>
    </row>
    <row r="1137" spans="14:15" ht="29.1" customHeight="1">
      <c r="N1137" s="361"/>
      <c r="O1137" s="361"/>
    </row>
    <row r="1138" spans="14:15" ht="29.1" customHeight="1">
      <c r="N1138" s="361"/>
      <c r="O1138" s="361"/>
    </row>
    <row r="1139" spans="14:15" ht="29.1" customHeight="1">
      <c r="N1139" s="361"/>
      <c r="O1139" s="361"/>
    </row>
    <row r="1140" spans="14:15" ht="29.1" customHeight="1">
      <c r="N1140" s="361"/>
      <c r="O1140" s="361"/>
    </row>
    <row r="1141" spans="14:15" ht="29.1" customHeight="1">
      <c r="N1141" s="361"/>
      <c r="O1141" s="361"/>
    </row>
    <row r="1142" spans="14:15" ht="29.1" customHeight="1">
      <c r="N1142" s="361"/>
      <c r="O1142" s="361"/>
    </row>
    <row r="1143" spans="14:15" ht="29.1" customHeight="1">
      <c r="N1143" s="361"/>
      <c r="O1143" s="361"/>
    </row>
    <row r="1144" spans="14:15" ht="29.1" customHeight="1">
      <c r="N1144" s="361"/>
      <c r="O1144" s="361"/>
    </row>
    <row r="1145" spans="14:15" ht="29.1" customHeight="1">
      <c r="N1145" s="361"/>
      <c r="O1145" s="361"/>
    </row>
    <row r="1146" spans="14:15" ht="29.1" customHeight="1">
      <c r="N1146" s="361"/>
      <c r="O1146" s="361"/>
    </row>
    <row r="1147" spans="14:15" ht="29.1" customHeight="1">
      <c r="N1147" s="361"/>
      <c r="O1147" s="361"/>
    </row>
    <row r="1148" spans="14:15" ht="29.1" customHeight="1">
      <c r="N1148" s="361"/>
      <c r="O1148" s="361"/>
    </row>
    <row r="1149" spans="14:15" ht="29.1" customHeight="1">
      <c r="N1149" s="361"/>
      <c r="O1149" s="361"/>
    </row>
    <row r="1150" spans="14:15" ht="29.1" customHeight="1">
      <c r="N1150" s="361"/>
      <c r="O1150" s="361"/>
    </row>
    <row r="1151" spans="14:15" ht="29.1" customHeight="1">
      <c r="N1151" s="361"/>
      <c r="O1151" s="361"/>
    </row>
    <row r="1152" spans="14:15" ht="29.1" customHeight="1">
      <c r="N1152" s="361"/>
      <c r="O1152" s="361"/>
    </row>
    <row r="1153" spans="14:15" ht="29.1" customHeight="1">
      <c r="N1153" s="361"/>
      <c r="O1153" s="361"/>
    </row>
    <row r="1154" spans="14:15" ht="29.1" customHeight="1">
      <c r="N1154" s="361"/>
      <c r="O1154" s="361"/>
    </row>
    <row r="1155" spans="14:15" ht="29.1" customHeight="1">
      <c r="N1155" s="361"/>
      <c r="O1155" s="361"/>
    </row>
    <row r="1156" spans="14:15" ht="29.1" customHeight="1">
      <c r="N1156" s="361"/>
      <c r="O1156" s="361"/>
    </row>
    <row r="1157" spans="14:15" ht="29.1" customHeight="1">
      <c r="N1157" s="361"/>
      <c r="O1157" s="361"/>
    </row>
    <row r="1158" spans="14:15" ht="29.1" customHeight="1">
      <c r="N1158" s="361"/>
      <c r="O1158" s="361"/>
    </row>
    <row r="1159" spans="14:15" ht="29.1" customHeight="1">
      <c r="N1159" s="361"/>
      <c r="O1159" s="361"/>
    </row>
    <row r="1160" spans="14:15" ht="29.1" customHeight="1">
      <c r="N1160" s="361"/>
      <c r="O1160" s="361"/>
    </row>
    <row r="1161" spans="14:15" ht="29.1" customHeight="1">
      <c r="N1161" s="361"/>
      <c r="O1161" s="361"/>
    </row>
    <row r="1162" spans="14:15" ht="29.1" customHeight="1">
      <c r="N1162" s="361"/>
      <c r="O1162" s="361"/>
    </row>
    <row r="1163" spans="14:15" ht="29.1" customHeight="1">
      <c r="N1163" s="361"/>
      <c r="O1163" s="361"/>
    </row>
    <row r="1164" spans="14:15" ht="29.1" customHeight="1">
      <c r="N1164" s="361"/>
      <c r="O1164" s="361"/>
    </row>
    <row r="1165" spans="14:15" ht="29.1" customHeight="1">
      <c r="N1165" s="361"/>
      <c r="O1165" s="361"/>
    </row>
    <row r="1166" spans="14:15" ht="29.1" customHeight="1">
      <c r="N1166" s="361"/>
      <c r="O1166" s="361"/>
    </row>
    <row r="1167" spans="14:15" ht="29.1" customHeight="1">
      <c r="N1167" s="361"/>
      <c r="O1167" s="361"/>
    </row>
    <row r="1168" spans="14:15" ht="29.1" customHeight="1">
      <c r="N1168" s="361"/>
      <c r="O1168" s="361"/>
    </row>
    <row r="1169" spans="14:15" ht="29.1" customHeight="1">
      <c r="N1169" s="361"/>
      <c r="O1169" s="361"/>
    </row>
    <row r="1170" spans="14:15" ht="29.1" customHeight="1">
      <c r="N1170" s="361"/>
      <c r="O1170" s="361"/>
    </row>
    <row r="1171" spans="14:15" ht="29.1" customHeight="1">
      <c r="N1171" s="361"/>
      <c r="O1171" s="361"/>
    </row>
    <row r="1172" spans="14:15" ht="29.1" customHeight="1">
      <c r="N1172" s="361"/>
      <c r="O1172" s="361"/>
    </row>
    <row r="1173" spans="14:15" ht="29.1" customHeight="1">
      <c r="N1173" s="361"/>
      <c r="O1173" s="361"/>
    </row>
    <row r="1174" spans="14:15" ht="29.1" customHeight="1">
      <c r="N1174" s="361"/>
      <c r="O1174" s="361"/>
    </row>
    <row r="1175" spans="14:15" ht="29.1" customHeight="1">
      <c r="N1175" s="361"/>
      <c r="O1175" s="361"/>
    </row>
    <row r="1176" spans="14:15" ht="29.1" customHeight="1">
      <c r="N1176" s="361"/>
      <c r="O1176" s="361"/>
    </row>
    <row r="1177" spans="14:15" ht="29.1" customHeight="1">
      <c r="N1177" s="361"/>
      <c r="O1177" s="361"/>
    </row>
    <row r="1178" spans="14:15" ht="29.1" customHeight="1">
      <c r="N1178" s="361"/>
      <c r="O1178" s="361"/>
    </row>
    <row r="1179" spans="14:15" ht="29.1" customHeight="1">
      <c r="N1179" s="361"/>
      <c r="O1179" s="361"/>
    </row>
    <row r="1180" spans="14:15" ht="29.1" customHeight="1">
      <c r="N1180" s="361"/>
      <c r="O1180" s="361"/>
    </row>
    <row r="1181" spans="14:15" ht="29.1" customHeight="1">
      <c r="N1181" s="361"/>
      <c r="O1181" s="361"/>
    </row>
    <row r="1182" spans="14:15" ht="29.1" customHeight="1">
      <c r="N1182" s="361"/>
      <c r="O1182" s="361"/>
    </row>
    <row r="1183" spans="14:15" ht="29.1" customHeight="1">
      <c r="N1183" s="361"/>
      <c r="O1183" s="361"/>
    </row>
    <row r="1184" spans="14:15" ht="29.1" customHeight="1">
      <c r="N1184" s="361"/>
      <c r="O1184" s="361"/>
    </row>
    <row r="1185" spans="14:15" ht="29.1" customHeight="1">
      <c r="N1185" s="361"/>
      <c r="O1185" s="361"/>
    </row>
    <row r="1186" spans="14:15" ht="29.1" customHeight="1">
      <c r="N1186" s="361"/>
      <c r="O1186" s="361"/>
    </row>
    <row r="1187" spans="14:15" ht="29.1" customHeight="1">
      <c r="N1187" s="361"/>
      <c r="O1187" s="361"/>
    </row>
    <row r="1188" spans="14:15" ht="29.1" customHeight="1">
      <c r="N1188" s="361"/>
      <c r="O1188" s="361"/>
    </row>
    <row r="1189" spans="14:15" ht="29.1" customHeight="1">
      <c r="N1189" s="361"/>
      <c r="O1189" s="361"/>
    </row>
    <row r="1190" spans="14:15" ht="29.1" customHeight="1">
      <c r="N1190" s="361"/>
      <c r="O1190" s="361"/>
    </row>
    <row r="1191" spans="14:15" ht="29.1" customHeight="1">
      <c r="N1191" s="361"/>
      <c r="O1191" s="361"/>
    </row>
    <row r="1192" spans="14:15" ht="29.1" customHeight="1">
      <c r="N1192" s="361"/>
      <c r="O1192" s="361"/>
    </row>
    <row r="1193" spans="14:15" ht="29.1" customHeight="1">
      <c r="N1193" s="361"/>
      <c r="O1193" s="361"/>
    </row>
    <row r="1194" spans="14:15" ht="29.1" customHeight="1">
      <c r="N1194" s="361"/>
      <c r="O1194" s="361"/>
    </row>
    <row r="1195" spans="14:15" ht="29.1" customHeight="1">
      <c r="N1195" s="361"/>
      <c r="O1195" s="361"/>
    </row>
    <row r="1196" spans="14:15" ht="29.1" customHeight="1">
      <c r="N1196" s="361"/>
      <c r="O1196" s="361"/>
    </row>
    <row r="1197" spans="14:15" ht="29.1" customHeight="1">
      <c r="N1197" s="361"/>
      <c r="O1197" s="361"/>
    </row>
    <row r="1198" spans="14:15" ht="29.1" customHeight="1">
      <c r="N1198" s="361"/>
      <c r="O1198" s="361"/>
    </row>
    <row r="1199" spans="14:15" ht="29.1" customHeight="1">
      <c r="N1199" s="361"/>
      <c r="O1199" s="361"/>
    </row>
    <row r="1200" spans="14:15" ht="29.1" customHeight="1">
      <c r="N1200" s="361"/>
      <c r="O1200" s="361"/>
    </row>
    <row r="1201" spans="14:15" ht="29.1" customHeight="1">
      <c r="N1201" s="361"/>
      <c r="O1201" s="361"/>
    </row>
    <row r="1202" spans="14:15" ht="29.1" customHeight="1">
      <c r="N1202" s="361"/>
      <c r="O1202" s="361"/>
    </row>
    <row r="1203" spans="14:15" ht="29.1" customHeight="1">
      <c r="N1203" s="361"/>
      <c r="O1203" s="361"/>
    </row>
    <row r="1204" spans="14:15" ht="29.1" customHeight="1">
      <c r="N1204" s="361"/>
      <c r="O1204" s="361"/>
    </row>
    <row r="1205" spans="14:15" ht="29.1" customHeight="1">
      <c r="N1205" s="361"/>
      <c r="O1205" s="361"/>
    </row>
    <row r="1206" spans="14:15" ht="29.1" customHeight="1">
      <c r="N1206" s="361"/>
      <c r="O1206" s="361"/>
    </row>
    <row r="1207" spans="14:15" ht="29.1" customHeight="1">
      <c r="N1207" s="361"/>
      <c r="O1207" s="361"/>
    </row>
    <row r="1208" spans="14:15" ht="29.1" customHeight="1">
      <c r="N1208" s="361"/>
      <c r="O1208" s="361"/>
    </row>
    <row r="1209" spans="14:15" ht="29.1" customHeight="1">
      <c r="N1209" s="361"/>
      <c r="O1209" s="361"/>
    </row>
    <row r="1210" spans="14:15" ht="29.1" customHeight="1">
      <c r="N1210" s="361"/>
      <c r="O1210" s="361"/>
    </row>
    <row r="1211" spans="14:15" ht="29.1" customHeight="1">
      <c r="N1211" s="361"/>
      <c r="O1211" s="361"/>
    </row>
    <row r="1212" spans="14:15" ht="29.1" customHeight="1">
      <c r="N1212" s="361"/>
      <c r="O1212" s="361"/>
    </row>
    <row r="1213" spans="14:15" ht="29.1" customHeight="1">
      <c r="N1213" s="361"/>
      <c r="O1213" s="361"/>
    </row>
    <row r="1214" spans="14:15" ht="29.1" customHeight="1">
      <c r="N1214" s="361"/>
      <c r="O1214" s="361"/>
    </row>
    <row r="1215" spans="14:15" ht="29.1" customHeight="1">
      <c r="N1215" s="361"/>
      <c r="O1215" s="361"/>
    </row>
    <row r="1216" spans="14:15" ht="29.1" customHeight="1">
      <c r="N1216" s="361"/>
      <c r="O1216" s="361"/>
    </row>
    <row r="1217" spans="14:15" ht="29.1" customHeight="1">
      <c r="N1217" s="361"/>
      <c r="O1217" s="361"/>
    </row>
    <row r="1218" spans="14:15" ht="29.1" customHeight="1">
      <c r="N1218" s="361"/>
      <c r="O1218" s="361"/>
    </row>
    <row r="1219" spans="14:15" ht="29.1" customHeight="1">
      <c r="N1219" s="361"/>
      <c r="O1219" s="361"/>
    </row>
    <row r="1220" spans="14:15" ht="29.1" customHeight="1">
      <c r="N1220" s="361"/>
      <c r="O1220" s="361"/>
    </row>
    <row r="1221" spans="14:15" ht="29.1" customHeight="1">
      <c r="N1221" s="361"/>
      <c r="O1221" s="361"/>
    </row>
    <row r="1222" spans="14:15" ht="29.1" customHeight="1">
      <c r="N1222" s="361"/>
      <c r="O1222" s="361"/>
    </row>
    <row r="1223" spans="14:15" ht="29.1" customHeight="1">
      <c r="N1223" s="361"/>
      <c r="O1223" s="361"/>
    </row>
    <row r="1224" spans="14:15" ht="29.1" customHeight="1">
      <c r="N1224" s="361"/>
      <c r="O1224" s="361"/>
    </row>
    <row r="1225" spans="14:15" ht="29.1" customHeight="1">
      <c r="N1225" s="361"/>
      <c r="O1225" s="361"/>
    </row>
    <row r="1226" spans="14:15" ht="29.1" customHeight="1">
      <c r="N1226" s="361"/>
      <c r="O1226" s="361"/>
    </row>
    <row r="1227" spans="14:15" ht="29.1" customHeight="1">
      <c r="N1227" s="361"/>
      <c r="O1227" s="361"/>
    </row>
    <row r="1228" spans="14:15" ht="29.1" customHeight="1">
      <c r="N1228" s="361"/>
      <c r="O1228" s="361"/>
    </row>
    <row r="1229" spans="14:15" ht="29.1" customHeight="1">
      <c r="N1229" s="361"/>
      <c r="O1229" s="361"/>
    </row>
    <row r="1230" spans="14:15" ht="29.1" customHeight="1">
      <c r="N1230" s="361"/>
      <c r="O1230" s="361"/>
    </row>
    <row r="1231" spans="14:15" ht="29.1" customHeight="1">
      <c r="N1231" s="361"/>
      <c r="O1231" s="361"/>
    </row>
    <row r="1232" spans="14:15" ht="29.1" customHeight="1">
      <c r="N1232" s="361"/>
      <c r="O1232" s="361"/>
    </row>
    <row r="1233" spans="14:15" ht="29.1" customHeight="1">
      <c r="N1233" s="361"/>
      <c r="O1233" s="361"/>
    </row>
    <row r="1234" spans="14:15" ht="29.1" customHeight="1">
      <c r="N1234" s="361"/>
      <c r="O1234" s="361"/>
    </row>
    <row r="1235" spans="14:15" ht="29.1" customHeight="1">
      <c r="N1235" s="361"/>
      <c r="O1235" s="361"/>
    </row>
    <row r="1236" spans="14:15" ht="29.1" customHeight="1">
      <c r="N1236" s="361"/>
      <c r="O1236" s="361"/>
    </row>
    <row r="1237" spans="14:15" ht="29.1" customHeight="1">
      <c r="N1237" s="361"/>
      <c r="O1237" s="361"/>
    </row>
    <row r="1238" spans="14:15" ht="29.1" customHeight="1">
      <c r="N1238" s="361"/>
      <c r="O1238" s="361"/>
    </row>
    <row r="1239" spans="14:15" ht="29.1" customHeight="1">
      <c r="N1239" s="361"/>
      <c r="O1239" s="361"/>
    </row>
    <row r="1240" spans="14:15" ht="29.1" customHeight="1">
      <c r="N1240" s="361"/>
      <c r="O1240" s="361"/>
    </row>
    <row r="1241" spans="14:15" ht="29.1" customHeight="1">
      <c r="N1241" s="361"/>
      <c r="O1241" s="361"/>
    </row>
    <row r="1242" spans="14:15" ht="29.1" customHeight="1">
      <c r="N1242" s="361"/>
      <c r="O1242" s="361"/>
    </row>
    <row r="1243" spans="14:15" ht="29.1" customHeight="1">
      <c r="N1243" s="361"/>
      <c r="O1243" s="361"/>
    </row>
    <row r="1244" spans="14:15" ht="29.1" customHeight="1">
      <c r="N1244" s="361"/>
      <c r="O1244" s="361"/>
    </row>
    <row r="1245" spans="14:15" ht="29.1" customHeight="1">
      <c r="N1245" s="361"/>
      <c r="O1245" s="361"/>
    </row>
    <row r="1246" spans="14:15" ht="29.1" customHeight="1">
      <c r="N1246" s="361"/>
      <c r="O1246" s="361"/>
    </row>
    <row r="1247" spans="14:15" ht="29.1" customHeight="1">
      <c r="N1247" s="361"/>
      <c r="O1247" s="361"/>
    </row>
    <row r="1248" spans="14:15" ht="29.1" customHeight="1">
      <c r="N1248" s="361"/>
      <c r="O1248" s="361"/>
    </row>
    <row r="1249" spans="14:15" ht="29.1" customHeight="1">
      <c r="N1249" s="361"/>
      <c r="O1249" s="361"/>
    </row>
    <row r="1250" spans="14:15" ht="29.1" customHeight="1">
      <c r="N1250" s="361"/>
      <c r="O1250" s="361"/>
    </row>
    <row r="1251" spans="14:15" ht="29.1" customHeight="1">
      <c r="N1251" s="361"/>
      <c r="O1251" s="361"/>
    </row>
    <row r="1252" spans="14:15" ht="29.1" customHeight="1">
      <c r="N1252" s="361"/>
      <c r="O1252" s="361"/>
    </row>
    <row r="1253" spans="14:15" ht="29.1" customHeight="1">
      <c r="N1253" s="361"/>
      <c r="O1253" s="361"/>
    </row>
    <row r="1254" spans="14:15" ht="29.1" customHeight="1">
      <c r="N1254" s="361"/>
      <c r="O1254" s="361"/>
    </row>
    <row r="1255" spans="14:15" ht="29.1" customHeight="1">
      <c r="N1255" s="361"/>
      <c r="O1255" s="361"/>
    </row>
    <row r="1256" spans="14:15" ht="29.1" customHeight="1">
      <c r="N1256" s="361"/>
      <c r="O1256" s="361"/>
    </row>
    <row r="1257" spans="14:15" ht="29.1" customHeight="1">
      <c r="N1257" s="361"/>
      <c r="O1257" s="361"/>
    </row>
    <row r="1258" spans="14:15" ht="29.1" customHeight="1">
      <c r="N1258" s="361"/>
      <c r="O1258" s="361"/>
    </row>
    <row r="1259" spans="14:15" ht="29.1" customHeight="1">
      <c r="N1259" s="361"/>
      <c r="O1259" s="361"/>
    </row>
    <row r="1260" spans="14:15" ht="29.1" customHeight="1">
      <c r="N1260" s="361"/>
      <c r="O1260" s="361"/>
    </row>
    <row r="1261" spans="14:15" ht="29.1" customHeight="1">
      <c r="N1261" s="361"/>
      <c r="O1261" s="361"/>
    </row>
    <row r="1262" spans="14:15" ht="29.1" customHeight="1">
      <c r="N1262" s="361"/>
      <c r="O1262" s="361"/>
    </row>
    <row r="1263" spans="14:15" ht="29.1" customHeight="1">
      <c r="N1263" s="361"/>
      <c r="O1263" s="361"/>
    </row>
    <row r="1264" spans="14:15" ht="29.1" customHeight="1">
      <c r="N1264" s="361"/>
      <c r="O1264" s="361"/>
    </row>
    <row r="1265" spans="14:15" ht="29.1" customHeight="1">
      <c r="N1265" s="361"/>
      <c r="O1265" s="361"/>
    </row>
    <row r="1266" spans="14:15" ht="29.1" customHeight="1">
      <c r="N1266" s="361"/>
      <c r="O1266" s="361"/>
    </row>
    <row r="1267" spans="14:15" ht="29.1" customHeight="1">
      <c r="N1267" s="361"/>
      <c r="O1267" s="361"/>
    </row>
    <row r="1268" spans="14:15" ht="29.1" customHeight="1">
      <c r="N1268" s="361"/>
      <c r="O1268" s="361"/>
    </row>
    <row r="1269" spans="14:15" ht="29.1" customHeight="1">
      <c r="N1269" s="361"/>
      <c r="O1269" s="361"/>
    </row>
    <row r="1270" spans="14:15" ht="29.1" customHeight="1">
      <c r="N1270" s="361"/>
      <c r="O1270" s="361"/>
    </row>
    <row r="1271" spans="14:15" ht="29.1" customHeight="1">
      <c r="N1271" s="361"/>
      <c r="O1271" s="361"/>
    </row>
    <row r="1272" spans="14:15" ht="29.1" customHeight="1">
      <c r="N1272" s="361"/>
      <c r="O1272" s="361"/>
    </row>
    <row r="1273" spans="14:15" ht="29.1" customHeight="1">
      <c r="N1273" s="361"/>
      <c r="O1273" s="361"/>
    </row>
    <row r="1274" spans="14:15" ht="29.1" customHeight="1">
      <c r="N1274" s="361"/>
      <c r="O1274" s="361"/>
    </row>
    <row r="1275" spans="14:15" ht="29.1" customHeight="1">
      <c r="N1275" s="361"/>
      <c r="O1275" s="361"/>
    </row>
    <row r="1276" spans="14:15" ht="29.1" customHeight="1">
      <c r="N1276" s="361"/>
      <c r="O1276" s="361"/>
    </row>
    <row r="1277" spans="14:15" ht="29.1" customHeight="1">
      <c r="N1277" s="361"/>
      <c r="O1277" s="361"/>
    </row>
    <row r="1278" spans="14:15" ht="29.1" customHeight="1">
      <c r="N1278" s="361"/>
      <c r="O1278" s="361"/>
    </row>
    <row r="1279" spans="14:15" ht="29.1" customHeight="1">
      <c r="N1279" s="361"/>
      <c r="O1279" s="361"/>
    </row>
    <row r="1280" spans="14:15" ht="29.1" customHeight="1">
      <c r="N1280" s="361"/>
      <c r="O1280" s="361"/>
    </row>
    <row r="1281" spans="14:15" ht="29.1" customHeight="1">
      <c r="N1281" s="361"/>
      <c r="O1281" s="361"/>
    </row>
    <row r="1282" spans="14:15" ht="29.1" customHeight="1">
      <c r="N1282" s="361"/>
      <c r="O1282" s="361"/>
    </row>
    <row r="1283" spans="14:15" ht="29.1" customHeight="1">
      <c r="N1283" s="361"/>
      <c r="O1283" s="361"/>
    </row>
    <row r="1284" spans="14:15" ht="29.1" customHeight="1">
      <c r="N1284" s="361"/>
      <c r="O1284" s="361"/>
    </row>
    <row r="1285" spans="14:15" ht="29.1" customHeight="1">
      <c r="N1285" s="361"/>
      <c r="O1285" s="361"/>
    </row>
    <row r="1286" spans="14:15" ht="29.1" customHeight="1">
      <c r="N1286" s="361"/>
      <c r="O1286" s="361"/>
    </row>
    <row r="1287" spans="14:15" ht="29.1" customHeight="1">
      <c r="N1287" s="361"/>
      <c r="O1287" s="361"/>
    </row>
    <row r="1288" spans="14:15" ht="29.1" customHeight="1">
      <c r="N1288" s="361"/>
      <c r="O1288" s="361"/>
    </row>
    <row r="1289" spans="14:15" ht="29.1" customHeight="1">
      <c r="N1289" s="361"/>
      <c r="O1289" s="361"/>
    </row>
    <row r="1290" spans="14:15" ht="29.1" customHeight="1">
      <c r="N1290" s="361"/>
      <c r="O1290" s="361"/>
    </row>
    <row r="1291" spans="14:15" ht="29.1" customHeight="1">
      <c r="N1291" s="361"/>
      <c r="O1291" s="361"/>
    </row>
    <row r="1292" spans="14:15" ht="29.1" customHeight="1">
      <c r="N1292" s="361"/>
      <c r="O1292" s="361"/>
    </row>
    <row r="1293" spans="14:15" ht="29.1" customHeight="1">
      <c r="N1293" s="361"/>
      <c r="O1293" s="361"/>
    </row>
    <row r="1294" spans="14:15" ht="29.1" customHeight="1">
      <c r="N1294" s="361"/>
      <c r="O1294" s="361"/>
    </row>
    <row r="1295" spans="14:15" ht="29.1" customHeight="1">
      <c r="N1295" s="361"/>
      <c r="O1295" s="361"/>
    </row>
    <row r="1296" spans="14:15" ht="29.1" customHeight="1">
      <c r="N1296" s="361"/>
      <c r="O1296" s="361"/>
    </row>
    <row r="1297" spans="14:15" ht="29.1" customHeight="1">
      <c r="N1297" s="361"/>
      <c r="O1297" s="361"/>
    </row>
    <row r="1298" spans="14:15" ht="29.1" customHeight="1">
      <c r="N1298" s="361"/>
      <c r="O1298" s="361"/>
    </row>
    <row r="1299" spans="14:15" ht="29.1" customHeight="1">
      <c r="N1299" s="361"/>
      <c r="O1299" s="361"/>
    </row>
    <row r="1300" spans="14:15" ht="29.1" customHeight="1">
      <c r="N1300" s="361"/>
      <c r="O1300" s="361"/>
    </row>
    <row r="1301" spans="14:15" ht="29.1" customHeight="1">
      <c r="N1301" s="361"/>
      <c r="O1301" s="361"/>
    </row>
    <row r="1302" spans="14:15" ht="29.1" customHeight="1">
      <c r="N1302" s="361"/>
      <c r="O1302" s="361"/>
    </row>
    <row r="1303" spans="14:15" ht="29.1" customHeight="1">
      <c r="N1303" s="361"/>
      <c r="O1303" s="361"/>
    </row>
    <row r="1304" spans="14:15" ht="29.1" customHeight="1">
      <c r="N1304" s="361"/>
      <c r="O1304" s="361"/>
    </row>
    <row r="1305" spans="14:15" ht="29.1" customHeight="1">
      <c r="N1305" s="361"/>
      <c r="O1305" s="361"/>
    </row>
    <row r="1306" spans="14:15" ht="29.1" customHeight="1">
      <c r="N1306" s="361"/>
      <c r="O1306" s="361"/>
    </row>
    <row r="1307" spans="14:15" ht="29.1" customHeight="1">
      <c r="N1307" s="361"/>
      <c r="O1307" s="361"/>
    </row>
    <row r="1308" spans="14:15" ht="29.1" customHeight="1">
      <c r="N1308" s="361"/>
      <c r="O1308" s="361"/>
    </row>
    <row r="1309" spans="14:15" ht="29.1" customHeight="1">
      <c r="N1309" s="361"/>
      <c r="O1309" s="361"/>
    </row>
    <row r="1310" spans="14:15" ht="29.1" customHeight="1">
      <c r="N1310" s="361"/>
      <c r="O1310" s="361"/>
    </row>
    <row r="1311" spans="14:15" ht="29.1" customHeight="1">
      <c r="N1311" s="361"/>
      <c r="O1311" s="361"/>
    </row>
    <row r="1312" spans="14:15" ht="29.1" customHeight="1">
      <c r="N1312" s="361"/>
      <c r="O1312" s="361"/>
    </row>
    <row r="1313" spans="14:15" ht="29.1" customHeight="1">
      <c r="N1313" s="361"/>
      <c r="O1313" s="361"/>
    </row>
    <row r="1314" spans="14:15" ht="29.1" customHeight="1">
      <c r="N1314" s="361"/>
      <c r="O1314" s="361"/>
    </row>
    <row r="1315" spans="14:15" ht="29.1" customHeight="1">
      <c r="N1315" s="361"/>
      <c r="O1315" s="361"/>
    </row>
    <row r="1316" spans="14:15" ht="29.1" customHeight="1">
      <c r="N1316" s="361"/>
      <c r="O1316" s="361"/>
    </row>
    <row r="1317" spans="14:15" ht="29.1" customHeight="1">
      <c r="N1317" s="361"/>
      <c r="O1317" s="361"/>
    </row>
    <row r="1318" spans="14:15" ht="29.1" customHeight="1">
      <c r="N1318" s="361"/>
      <c r="O1318" s="361"/>
    </row>
    <row r="1319" spans="14:15" ht="29.1" customHeight="1">
      <c r="N1319" s="361"/>
      <c r="O1319" s="361"/>
    </row>
    <row r="1320" spans="14:15" ht="29.1" customHeight="1">
      <c r="N1320" s="361"/>
      <c r="O1320" s="361"/>
    </row>
    <row r="1321" spans="14:15" ht="29.1" customHeight="1">
      <c r="N1321" s="361"/>
      <c r="O1321" s="361"/>
    </row>
    <row r="1322" spans="14:15" ht="29.1" customHeight="1">
      <c r="N1322" s="361"/>
      <c r="O1322" s="361"/>
    </row>
    <row r="1323" spans="14:15" ht="29.1" customHeight="1">
      <c r="N1323" s="361"/>
      <c r="O1323" s="361"/>
    </row>
    <row r="1324" spans="14:15" ht="29.1" customHeight="1">
      <c r="N1324" s="361"/>
      <c r="O1324" s="361"/>
    </row>
    <row r="1325" spans="14:15" ht="29.1" customHeight="1">
      <c r="N1325" s="361"/>
      <c r="O1325" s="361"/>
    </row>
    <row r="1326" spans="14:15" ht="29.1" customHeight="1">
      <c r="N1326" s="361"/>
      <c r="O1326" s="361"/>
    </row>
    <row r="1327" spans="14:15" ht="29.1" customHeight="1">
      <c r="N1327" s="361"/>
      <c r="O1327" s="361"/>
    </row>
    <row r="1328" spans="14:15" ht="29.1" customHeight="1">
      <c r="N1328" s="361"/>
      <c r="O1328" s="361"/>
    </row>
    <row r="1329" spans="14:15" ht="29.1" customHeight="1">
      <c r="N1329" s="361"/>
      <c r="O1329" s="361"/>
    </row>
    <row r="1330" spans="14:15" ht="29.1" customHeight="1">
      <c r="N1330" s="361"/>
      <c r="O1330" s="361"/>
    </row>
    <row r="1331" spans="14:15" ht="29.1" customHeight="1">
      <c r="N1331" s="361"/>
      <c r="O1331" s="361"/>
    </row>
    <row r="1332" spans="14:15" ht="29.1" customHeight="1">
      <c r="N1332" s="361"/>
      <c r="O1332" s="361"/>
    </row>
    <row r="1333" spans="14:15" ht="29.1" customHeight="1">
      <c r="N1333" s="361"/>
      <c r="O1333" s="361"/>
    </row>
    <row r="1334" spans="14:15" ht="29.1" customHeight="1">
      <c r="N1334" s="361"/>
      <c r="O1334" s="361"/>
    </row>
    <row r="1335" spans="14:15" ht="29.1" customHeight="1">
      <c r="N1335" s="361"/>
      <c r="O1335" s="361"/>
    </row>
    <row r="1336" spans="14:15" ht="29.1" customHeight="1">
      <c r="N1336" s="361"/>
      <c r="O1336" s="361"/>
    </row>
    <row r="1337" spans="14:15" ht="29.1" customHeight="1">
      <c r="N1337" s="361"/>
      <c r="O1337" s="361"/>
    </row>
    <row r="1338" spans="14:15" ht="29.1" customHeight="1">
      <c r="N1338" s="361"/>
      <c r="O1338" s="361"/>
    </row>
    <row r="1339" spans="14:15" ht="29.1" customHeight="1">
      <c r="N1339" s="361"/>
      <c r="O1339" s="361"/>
    </row>
    <row r="1340" spans="14:15" ht="29.1" customHeight="1">
      <c r="N1340" s="361"/>
      <c r="O1340" s="361"/>
    </row>
    <row r="1341" spans="14:15" ht="29.1" customHeight="1">
      <c r="N1341" s="361"/>
      <c r="O1341" s="361"/>
    </row>
    <row r="1342" spans="14:15" ht="29.1" customHeight="1">
      <c r="N1342" s="361"/>
      <c r="O1342" s="361"/>
    </row>
    <row r="1343" spans="14:15" ht="29.1" customHeight="1">
      <c r="N1343" s="361"/>
      <c r="O1343" s="361"/>
    </row>
    <row r="1344" spans="14:15" ht="29.1" customHeight="1">
      <c r="N1344" s="361"/>
      <c r="O1344" s="361"/>
    </row>
    <row r="1345" spans="14:15" ht="29.1" customHeight="1">
      <c r="N1345" s="361"/>
      <c r="O1345" s="361"/>
    </row>
    <row r="1346" spans="14:15" ht="29.1" customHeight="1">
      <c r="N1346" s="361"/>
      <c r="O1346" s="361"/>
    </row>
    <row r="1347" spans="14:15" ht="29.1" customHeight="1">
      <c r="N1347" s="361"/>
      <c r="O1347" s="361"/>
    </row>
    <row r="1348" spans="14:15" ht="29.1" customHeight="1">
      <c r="N1348" s="361"/>
      <c r="O1348" s="361"/>
    </row>
    <row r="1349" spans="14:15" ht="29.1" customHeight="1">
      <c r="N1349" s="361"/>
      <c r="O1349" s="361"/>
    </row>
    <row r="1350" spans="14:15" ht="29.1" customHeight="1">
      <c r="N1350" s="361"/>
      <c r="O1350" s="361"/>
    </row>
    <row r="1351" spans="14:15" ht="29.1" customHeight="1">
      <c r="N1351" s="361"/>
      <c r="O1351" s="361"/>
    </row>
    <row r="1352" spans="14:15" ht="29.1" customHeight="1">
      <c r="N1352" s="361"/>
      <c r="O1352" s="361"/>
    </row>
    <row r="1353" spans="14:15" ht="29.1" customHeight="1">
      <c r="N1353" s="361"/>
      <c r="O1353" s="361"/>
    </row>
    <row r="1354" spans="14:15" ht="29.1" customHeight="1">
      <c r="N1354" s="361"/>
      <c r="O1354" s="361"/>
    </row>
    <row r="1355" spans="14:15" ht="29.1" customHeight="1">
      <c r="N1355" s="361"/>
      <c r="O1355" s="361"/>
    </row>
    <row r="1356" spans="14:15" ht="29.1" customHeight="1">
      <c r="N1356" s="361"/>
      <c r="O1356" s="361"/>
    </row>
    <row r="1357" spans="14:15" ht="29.1" customHeight="1">
      <c r="N1357" s="361"/>
      <c r="O1357" s="361"/>
    </row>
    <row r="1358" spans="14:15" ht="29.1" customHeight="1">
      <c r="N1358" s="361"/>
      <c r="O1358" s="361"/>
    </row>
    <row r="1359" spans="14:15" ht="29.1" customHeight="1">
      <c r="N1359" s="361"/>
      <c r="O1359" s="361"/>
    </row>
    <row r="1360" spans="14:15" ht="29.1" customHeight="1">
      <c r="N1360" s="361"/>
      <c r="O1360" s="361"/>
    </row>
    <row r="1361" spans="14:15" ht="29.1" customHeight="1">
      <c r="N1361" s="361"/>
      <c r="O1361" s="361"/>
    </row>
    <row r="1362" spans="14:15" ht="29.1" customHeight="1">
      <c r="N1362" s="361"/>
      <c r="O1362" s="361"/>
    </row>
    <row r="1363" spans="14:15" ht="29.1" customHeight="1">
      <c r="N1363" s="361"/>
      <c r="O1363" s="361"/>
    </row>
    <row r="1364" spans="14:15" ht="29.1" customHeight="1">
      <c r="N1364" s="361"/>
      <c r="O1364" s="361"/>
    </row>
    <row r="1365" spans="14:15" ht="29.1" customHeight="1">
      <c r="N1365" s="361"/>
      <c r="O1365" s="361"/>
    </row>
    <row r="1366" spans="14:15" ht="29.1" customHeight="1">
      <c r="N1366" s="361"/>
      <c r="O1366" s="361"/>
    </row>
    <row r="1367" spans="14:15" ht="29.1" customHeight="1">
      <c r="N1367" s="361"/>
      <c r="O1367" s="361"/>
    </row>
    <row r="1368" spans="14:15" ht="29.1" customHeight="1">
      <c r="N1368" s="361"/>
      <c r="O1368" s="361"/>
    </row>
    <row r="1369" spans="14:15" ht="29.1" customHeight="1">
      <c r="N1369" s="361"/>
      <c r="O1369" s="361"/>
    </row>
    <row r="1370" spans="14:15" ht="29.1" customHeight="1">
      <c r="N1370" s="361"/>
      <c r="O1370" s="361"/>
    </row>
    <row r="1371" spans="14:15" ht="29.1" customHeight="1">
      <c r="N1371" s="361"/>
      <c r="O1371" s="361"/>
    </row>
    <row r="1372" spans="14:15" ht="29.1" customHeight="1">
      <c r="N1372" s="361"/>
      <c r="O1372" s="361"/>
    </row>
    <row r="1373" spans="14:15" ht="29.1" customHeight="1">
      <c r="N1373" s="361"/>
      <c r="O1373" s="361"/>
    </row>
    <row r="1374" spans="14:15" ht="29.1" customHeight="1">
      <c r="N1374" s="361"/>
      <c r="O1374" s="361"/>
    </row>
    <row r="1375" spans="14:15" ht="29.1" customHeight="1">
      <c r="N1375" s="361"/>
      <c r="O1375" s="361"/>
    </row>
    <row r="1376" spans="14:15" ht="29.1" customHeight="1">
      <c r="N1376" s="361"/>
      <c r="O1376" s="361"/>
    </row>
    <row r="1377" spans="14:15" ht="29.1" customHeight="1">
      <c r="N1377" s="361"/>
      <c r="O1377" s="361"/>
    </row>
    <row r="1378" spans="14:15" ht="29.1" customHeight="1">
      <c r="N1378" s="361"/>
      <c r="O1378" s="361"/>
    </row>
    <row r="1379" spans="14:15" ht="29.1" customHeight="1">
      <c r="N1379" s="361"/>
      <c r="O1379" s="361"/>
    </row>
    <row r="1380" spans="14:15" ht="29.1" customHeight="1">
      <c r="N1380" s="361"/>
      <c r="O1380" s="361"/>
    </row>
    <row r="1381" spans="14:15" ht="29.1" customHeight="1">
      <c r="N1381" s="361"/>
      <c r="O1381" s="361"/>
    </row>
    <row r="1382" spans="14:15" ht="29.1" customHeight="1">
      <c r="N1382" s="361"/>
      <c r="O1382" s="361"/>
    </row>
    <row r="1383" spans="14:15" ht="29.1" customHeight="1">
      <c r="N1383" s="361"/>
      <c r="O1383" s="361"/>
    </row>
    <row r="1384" spans="14:15" ht="29.1" customHeight="1">
      <c r="N1384" s="361"/>
      <c r="O1384" s="361"/>
    </row>
    <row r="1385" spans="14:15" ht="29.1" customHeight="1">
      <c r="N1385" s="361"/>
      <c r="O1385" s="361"/>
    </row>
    <row r="1386" spans="14:15" ht="29.1" customHeight="1">
      <c r="N1386" s="361"/>
      <c r="O1386" s="361"/>
    </row>
    <row r="1387" spans="14:15" ht="29.1" customHeight="1">
      <c r="N1387" s="361"/>
      <c r="O1387" s="361"/>
    </row>
    <row r="1388" spans="14:15" ht="29.1" customHeight="1">
      <c r="N1388" s="361"/>
      <c r="O1388" s="361"/>
    </row>
    <row r="1389" spans="14:15" ht="29.1" customHeight="1">
      <c r="N1389" s="361"/>
      <c r="O1389" s="361"/>
    </row>
    <row r="1390" spans="14:15" ht="29.1" customHeight="1">
      <c r="N1390" s="361"/>
      <c r="O1390" s="361"/>
    </row>
    <row r="1391" spans="14:15" ht="29.1" customHeight="1">
      <c r="N1391" s="361"/>
      <c r="O1391" s="361"/>
    </row>
    <row r="1392" spans="14:15" ht="29.1" customHeight="1">
      <c r="N1392" s="361"/>
      <c r="O1392" s="361"/>
    </row>
    <row r="1393" spans="14:15" ht="29.1" customHeight="1">
      <c r="N1393" s="361"/>
      <c r="O1393" s="361"/>
    </row>
    <row r="1394" spans="14:15" ht="29.1" customHeight="1">
      <c r="N1394" s="361"/>
      <c r="O1394" s="361"/>
    </row>
    <row r="1395" spans="14:15" ht="29.1" customHeight="1">
      <c r="N1395" s="361"/>
      <c r="O1395" s="361"/>
    </row>
    <row r="1396" spans="14:15" ht="29.1" customHeight="1">
      <c r="N1396" s="361"/>
      <c r="O1396" s="361"/>
    </row>
    <row r="1397" spans="14:15" ht="29.1" customHeight="1">
      <c r="N1397" s="361"/>
      <c r="O1397" s="361"/>
    </row>
    <row r="1398" spans="14:15" ht="29.1" customHeight="1">
      <c r="N1398" s="361"/>
      <c r="O1398" s="361"/>
    </row>
    <row r="1399" spans="14:15" ht="29.1" customHeight="1">
      <c r="N1399" s="361"/>
      <c r="O1399" s="361"/>
    </row>
    <row r="1400" spans="14:15" ht="29.1" customHeight="1">
      <c r="N1400" s="361"/>
      <c r="O1400" s="361"/>
    </row>
    <row r="1401" spans="14:15" ht="29.1" customHeight="1">
      <c r="N1401" s="361"/>
      <c r="O1401" s="361"/>
    </row>
    <row r="1402" spans="14:15" ht="29.1" customHeight="1">
      <c r="N1402" s="361"/>
      <c r="O1402" s="361"/>
    </row>
    <row r="1403" spans="14:15" ht="29.1" customHeight="1">
      <c r="N1403" s="361"/>
      <c r="O1403" s="361"/>
    </row>
    <row r="1404" spans="14:15" ht="29.1" customHeight="1">
      <c r="N1404" s="361"/>
      <c r="O1404" s="361"/>
    </row>
    <row r="1405" spans="14:15" ht="29.1" customHeight="1">
      <c r="N1405" s="361"/>
      <c r="O1405" s="361"/>
    </row>
    <row r="1406" spans="14:15" ht="29.1" customHeight="1">
      <c r="N1406" s="361"/>
      <c r="O1406" s="361"/>
    </row>
    <row r="1407" spans="14:15" ht="29.1" customHeight="1">
      <c r="N1407" s="361"/>
      <c r="O1407" s="361"/>
    </row>
    <row r="1408" spans="14:15" ht="29.1" customHeight="1">
      <c r="N1408" s="361"/>
      <c r="O1408" s="361"/>
    </row>
    <row r="1409" spans="14:15" ht="29.1" customHeight="1">
      <c r="N1409" s="361"/>
      <c r="O1409" s="361"/>
    </row>
    <row r="1410" spans="14:15" ht="29.1" customHeight="1">
      <c r="N1410" s="361"/>
      <c r="O1410" s="361"/>
    </row>
    <row r="1411" spans="14:15" ht="29.1" customHeight="1">
      <c r="N1411" s="361"/>
      <c r="O1411" s="361"/>
    </row>
    <row r="1412" spans="14:15" ht="29.1" customHeight="1">
      <c r="N1412" s="361"/>
      <c r="O1412" s="361"/>
    </row>
    <row r="1413" spans="14:15" ht="29.1" customHeight="1">
      <c r="N1413" s="361"/>
      <c r="O1413" s="361"/>
    </row>
    <row r="1414" spans="14:15" ht="29.1" customHeight="1">
      <c r="N1414" s="361"/>
      <c r="O1414" s="361"/>
    </row>
    <row r="1415" spans="14:15" ht="29.1" customHeight="1">
      <c r="N1415" s="361"/>
      <c r="O1415" s="361"/>
    </row>
    <row r="1416" spans="14:15" ht="29.1" customHeight="1">
      <c r="N1416" s="361"/>
      <c r="O1416" s="361"/>
    </row>
    <row r="1417" spans="14:15" ht="29.1" customHeight="1">
      <c r="N1417" s="361"/>
      <c r="O1417" s="361"/>
    </row>
    <row r="1418" spans="14:15" ht="29.1" customHeight="1">
      <c r="N1418" s="361"/>
      <c r="O1418" s="361"/>
    </row>
    <row r="1419" spans="14:15" ht="29.1" customHeight="1">
      <c r="N1419" s="361"/>
      <c r="O1419" s="361"/>
    </row>
    <row r="1420" spans="14:15" ht="29.1" customHeight="1">
      <c r="N1420" s="361"/>
      <c r="O1420" s="361"/>
    </row>
    <row r="1421" spans="14:15" ht="29.1" customHeight="1">
      <c r="N1421" s="361"/>
      <c r="O1421" s="361"/>
    </row>
    <row r="1422" spans="14:15" ht="29.1" customHeight="1">
      <c r="N1422" s="361"/>
      <c r="O1422" s="361"/>
    </row>
    <row r="1423" spans="14:15" ht="29.1" customHeight="1">
      <c r="N1423" s="361"/>
      <c r="O1423" s="361"/>
    </row>
    <row r="1424" spans="14:15" ht="29.1" customHeight="1">
      <c r="N1424" s="361"/>
      <c r="O1424" s="361"/>
    </row>
    <row r="1425" spans="14:15" ht="29.1" customHeight="1">
      <c r="N1425" s="361"/>
      <c r="O1425" s="361"/>
    </row>
    <row r="1426" spans="14:15" ht="29.1" customHeight="1">
      <c r="N1426" s="361"/>
      <c r="O1426" s="361"/>
    </row>
    <row r="1427" spans="14:15" ht="29.1" customHeight="1">
      <c r="N1427" s="361"/>
      <c r="O1427" s="361"/>
    </row>
    <row r="1428" spans="14:15" ht="29.1" customHeight="1">
      <c r="N1428" s="361"/>
      <c r="O1428" s="361"/>
    </row>
    <row r="1429" spans="14:15" ht="29.1" customHeight="1">
      <c r="N1429" s="361"/>
      <c r="O1429" s="361"/>
    </row>
    <row r="1430" spans="14:15" ht="29.1" customHeight="1">
      <c r="N1430" s="361"/>
      <c r="O1430" s="361"/>
    </row>
    <row r="1431" spans="14:15" ht="29.1" customHeight="1">
      <c r="N1431" s="361"/>
      <c r="O1431" s="361"/>
    </row>
    <row r="1432" spans="14:15" ht="29.1" customHeight="1">
      <c r="N1432" s="361"/>
      <c r="O1432" s="361"/>
    </row>
    <row r="1433" spans="14:15" ht="29.1" customHeight="1">
      <c r="N1433" s="361"/>
      <c r="O1433" s="361"/>
    </row>
    <row r="1434" spans="14:15" ht="29.1" customHeight="1">
      <c r="N1434" s="361"/>
      <c r="O1434" s="361"/>
    </row>
    <row r="1435" spans="14:15" ht="29.1" customHeight="1">
      <c r="N1435" s="361"/>
      <c r="O1435" s="361"/>
    </row>
    <row r="1436" spans="14:15" ht="29.1" customHeight="1">
      <c r="N1436" s="361"/>
      <c r="O1436" s="361"/>
    </row>
    <row r="1437" spans="14:15" ht="29.1" customHeight="1">
      <c r="N1437" s="361"/>
      <c r="O1437" s="361"/>
    </row>
    <row r="1438" spans="14:15" ht="29.1" customHeight="1">
      <c r="N1438" s="361"/>
      <c r="O1438" s="361"/>
    </row>
    <row r="1439" spans="14:15" ht="29.1" customHeight="1">
      <c r="N1439" s="361"/>
      <c r="O1439" s="361"/>
    </row>
    <row r="1440" spans="14:15" ht="29.1" customHeight="1">
      <c r="N1440" s="361"/>
      <c r="O1440" s="361"/>
    </row>
    <row r="1441" spans="14:15" ht="29.1" customHeight="1">
      <c r="N1441" s="361"/>
      <c r="O1441" s="361"/>
    </row>
    <row r="1442" spans="14:15" ht="29.1" customHeight="1">
      <c r="N1442" s="361"/>
      <c r="O1442" s="361"/>
    </row>
    <row r="1443" spans="14:15" ht="29.1" customHeight="1">
      <c r="N1443" s="361"/>
      <c r="O1443" s="361"/>
    </row>
    <row r="1444" spans="14:15" ht="29.1" customHeight="1">
      <c r="N1444" s="361"/>
      <c r="O1444" s="361"/>
    </row>
    <row r="1445" spans="14:15" ht="29.1" customHeight="1">
      <c r="N1445" s="361"/>
      <c r="O1445" s="361"/>
    </row>
    <row r="1446" spans="14:15" ht="29.1" customHeight="1">
      <c r="N1446" s="361"/>
      <c r="O1446" s="361"/>
    </row>
    <row r="1447" spans="14:15" ht="29.1" customHeight="1">
      <c r="N1447" s="361"/>
      <c r="O1447" s="361"/>
    </row>
    <row r="1448" spans="14:15" ht="29.1" customHeight="1">
      <c r="N1448" s="361"/>
      <c r="O1448" s="361"/>
    </row>
    <row r="1449" spans="14:15" ht="29.1" customHeight="1">
      <c r="N1449" s="361"/>
      <c r="O1449" s="361"/>
    </row>
    <row r="1450" spans="14:15" ht="29.1" customHeight="1">
      <c r="N1450" s="361"/>
      <c r="O1450" s="361"/>
    </row>
    <row r="1451" spans="14:15" ht="29.1" customHeight="1">
      <c r="N1451" s="361"/>
      <c r="O1451" s="361"/>
    </row>
    <row r="1452" spans="14:15" ht="29.1" customHeight="1">
      <c r="N1452" s="361"/>
      <c r="O1452" s="361"/>
    </row>
    <row r="1453" spans="14:15" ht="29.1" customHeight="1">
      <c r="N1453" s="361"/>
      <c r="O1453" s="361"/>
    </row>
    <row r="1454" spans="14:15" ht="29.1" customHeight="1">
      <c r="N1454" s="361"/>
      <c r="O1454" s="361"/>
    </row>
    <row r="1455" spans="14:15" ht="29.1" customHeight="1">
      <c r="N1455" s="361"/>
      <c r="O1455" s="361"/>
    </row>
    <row r="1456" spans="14:15" ht="29.1" customHeight="1">
      <c r="N1456" s="361"/>
      <c r="O1456" s="361"/>
    </row>
    <row r="1457" spans="14:15" ht="29.1" customHeight="1">
      <c r="N1457" s="361"/>
      <c r="O1457" s="361"/>
    </row>
    <row r="1458" spans="14:15" ht="29.1" customHeight="1">
      <c r="N1458" s="361"/>
      <c r="O1458" s="361"/>
    </row>
    <row r="1459" spans="14:15" ht="29.1" customHeight="1">
      <c r="N1459" s="361"/>
      <c r="O1459" s="361"/>
    </row>
    <row r="1460" spans="14:15" ht="29.1" customHeight="1">
      <c r="N1460" s="361"/>
      <c r="O1460" s="361"/>
    </row>
    <row r="1461" spans="14:15" ht="29.1" customHeight="1">
      <c r="N1461" s="361"/>
      <c r="O1461" s="361"/>
    </row>
    <row r="1462" spans="14:15" ht="29.1" customHeight="1">
      <c r="N1462" s="361"/>
      <c r="O1462" s="361"/>
    </row>
    <row r="1463" spans="14:15" ht="29.1" customHeight="1">
      <c r="N1463" s="361"/>
      <c r="O1463" s="361"/>
    </row>
    <row r="1464" spans="14:15" ht="29.1" customHeight="1">
      <c r="N1464" s="361"/>
      <c r="O1464" s="361"/>
    </row>
    <row r="1465" spans="14:15" ht="29.1" customHeight="1">
      <c r="N1465" s="361"/>
      <c r="O1465" s="361"/>
    </row>
    <row r="1466" spans="14:15" ht="29.1" customHeight="1">
      <c r="N1466" s="361"/>
      <c r="O1466" s="361"/>
    </row>
    <row r="1467" spans="14:15" ht="29.1" customHeight="1">
      <c r="N1467" s="361"/>
      <c r="O1467" s="361"/>
    </row>
    <row r="1468" spans="14:15" ht="29.1" customHeight="1">
      <c r="N1468" s="361"/>
      <c r="O1468" s="361"/>
    </row>
    <row r="1469" spans="14:15" ht="29.1" customHeight="1">
      <c r="N1469" s="361"/>
      <c r="O1469" s="361"/>
    </row>
    <row r="1470" spans="14:15" ht="29.1" customHeight="1">
      <c r="N1470" s="361"/>
      <c r="O1470" s="361"/>
    </row>
    <row r="1471" spans="14:15" ht="29.1" customHeight="1">
      <c r="N1471" s="361"/>
      <c r="O1471" s="361"/>
    </row>
    <row r="1472" spans="14:15" ht="29.1" customHeight="1">
      <c r="N1472" s="361"/>
      <c r="O1472" s="361"/>
    </row>
    <row r="1473" spans="14:15" ht="29.1" customHeight="1">
      <c r="N1473" s="361"/>
      <c r="O1473" s="361"/>
    </row>
    <row r="1474" spans="14:15" ht="29.1" customHeight="1">
      <c r="N1474" s="361"/>
      <c r="O1474" s="361"/>
    </row>
    <row r="1475" spans="14:15" ht="29.1" customHeight="1">
      <c r="N1475" s="361"/>
      <c r="O1475" s="361"/>
    </row>
    <row r="1476" spans="14:15" ht="29.1" customHeight="1">
      <c r="N1476" s="361"/>
      <c r="O1476" s="361"/>
    </row>
    <row r="1477" spans="14:15" ht="29.1" customHeight="1">
      <c r="N1477" s="361"/>
      <c r="O1477" s="361"/>
    </row>
    <row r="1478" spans="14:15" ht="29.1" customHeight="1">
      <c r="N1478" s="361"/>
      <c r="O1478" s="361"/>
    </row>
    <row r="1479" spans="14:15" ht="29.1" customHeight="1">
      <c r="N1479" s="361"/>
      <c r="O1479" s="361"/>
    </row>
    <row r="1480" spans="14:15" ht="29.1" customHeight="1">
      <c r="N1480" s="361"/>
      <c r="O1480" s="361"/>
    </row>
    <row r="1481" spans="14:15" ht="29.1" customHeight="1">
      <c r="N1481" s="361"/>
      <c r="O1481" s="361"/>
    </row>
    <row r="1482" spans="14:15" ht="29.1" customHeight="1">
      <c r="N1482" s="361"/>
      <c r="O1482" s="361"/>
    </row>
    <row r="1483" spans="14:15" ht="29.1" customHeight="1">
      <c r="N1483" s="361"/>
      <c r="O1483" s="361"/>
    </row>
    <row r="1484" spans="14:15" ht="29.1" customHeight="1">
      <c r="N1484" s="361"/>
      <c r="O1484" s="361"/>
    </row>
    <row r="1485" spans="14:15" ht="29.1" customHeight="1">
      <c r="N1485" s="361"/>
      <c r="O1485" s="361"/>
    </row>
    <row r="1486" spans="14:15" ht="29.1" customHeight="1">
      <c r="N1486" s="361"/>
      <c r="O1486" s="361"/>
    </row>
    <row r="1487" spans="14:15" ht="29.1" customHeight="1">
      <c r="N1487" s="361"/>
      <c r="O1487" s="361"/>
    </row>
    <row r="1488" spans="14:15" ht="29.1" customHeight="1">
      <c r="N1488" s="361"/>
      <c r="O1488" s="361"/>
    </row>
    <row r="1489" spans="14:15" ht="29.1" customHeight="1">
      <c r="N1489" s="361"/>
      <c r="O1489" s="361"/>
    </row>
    <row r="1490" spans="14:15" ht="29.1" customHeight="1">
      <c r="N1490" s="361"/>
      <c r="O1490" s="361"/>
    </row>
    <row r="1491" spans="14:15" ht="29.1" customHeight="1">
      <c r="N1491" s="361"/>
      <c r="O1491" s="361"/>
    </row>
    <row r="1492" spans="14:15" ht="29.1" customHeight="1">
      <c r="N1492" s="361"/>
      <c r="O1492" s="361"/>
    </row>
    <row r="1493" spans="14:15" ht="29.1" customHeight="1">
      <c r="N1493" s="361"/>
      <c r="O1493" s="361"/>
    </row>
    <row r="1494" spans="14:15" ht="29.1" customHeight="1">
      <c r="N1494" s="361"/>
      <c r="O1494" s="361"/>
    </row>
    <row r="1495" spans="14:15" ht="29.1" customHeight="1">
      <c r="N1495" s="361"/>
      <c r="O1495" s="361"/>
    </row>
    <row r="1496" spans="14:15" ht="29.1" customHeight="1">
      <c r="N1496" s="361"/>
      <c r="O1496" s="361"/>
    </row>
    <row r="1497" spans="14:15" ht="29.1" customHeight="1">
      <c r="N1497" s="361"/>
      <c r="O1497" s="361"/>
    </row>
    <row r="1498" spans="14:15" ht="29.1" customHeight="1">
      <c r="N1498" s="361"/>
      <c r="O1498" s="361"/>
    </row>
    <row r="1499" spans="14:15" ht="29.1" customHeight="1">
      <c r="N1499" s="361"/>
      <c r="O1499" s="361"/>
    </row>
    <row r="1500" spans="14:15" ht="29.1" customHeight="1">
      <c r="N1500" s="361"/>
      <c r="O1500" s="361"/>
    </row>
    <row r="1501" spans="14:15" ht="29.1" customHeight="1">
      <c r="N1501" s="361"/>
      <c r="O1501" s="361"/>
    </row>
    <row r="1502" spans="14:15" ht="29.1" customHeight="1">
      <c r="N1502" s="361"/>
      <c r="O1502" s="361"/>
    </row>
    <row r="1503" spans="14:15" ht="29.1" customHeight="1">
      <c r="N1503" s="361"/>
      <c r="O1503" s="361"/>
    </row>
    <row r="1504" spans="14:15" ht="29.1" customHeight="1">
      <c r="N1504" s="361"/>
      <c r="O1504" s="361"/>
    </row>
    <row r="1505" spans="14:15" ht="29.1" customHeight="1">
      <c r="N1505" s="361"/>
      <c r="O1505" s="361"/>
    </row>
    <row r="1506" spans="14:15" ht="29.1" customHeight="1">
      <c r="N1506" s="361"/>
      <c r="O1506" s="361"/>
    </row>
    <row r="1507" spans="14:15" ht="29.1" customHeight="1">
      <c r="N1507" s="361"/>
      <c r="O1507" s="361"/>
    </row>
    <row r="1508" spans="14:15" ht="29.1" customHeight="1">
      <c r="N1508" s="361"/>
      <c r="O1508" s="361"/>
    </row>
    <row r="1509" spans="14:15" ht="29.1" customHeight="1">
      <c r="N1509" s="361"/>
      <c r="O1509" s="361"/>
    </row>
    <row r="1510" spans="14:15" ht="29.1" customHeight="1">
      <c r="N1510" s="361"/>
      <c r="O1510" s="361"/>
    </row>
    <row r="1511" spans="14:15" ht="29.1" customHeight="1">
      <c r="N1511" s="361"/>
      <c r="O1511" s="361"/>
    </row>
    <row r="1512" spans="14:15" ht="29.1" customHeight="1">
      <c r="N1512" s="361"/>
      <c r="O1512" s="361"/>
    </row>
    <row r="1513" spans="14:15" ht="29.1" customHeight="1">
      <c r="N1513" s="361"/>
      <c r="O1513" s="361"/>
    </row>
    <row r="1514" spans="14:15" ht="29.1" customHeight="1">
      <c r="N1514" s="361"/>
      <c r="O1514" s="361"/>
    </row>
    <row r="1515" spans="14:15" ht="29.1" customHeight="1">
      <c r="N1515" s="361"/>
      <c r="O1515" s="361"/>
    </row>
    <row r="1516" spans="14:15" ht="29.1" customHeight="1">
      <c r="N1516" s="361"/>
      <c r="O1516" s="361"/>
    </row>
    <row r="1517" spans="14:15" ht="29.1" customHeight="1">
      <c r="N1517" s="361"/>
      <c r="O1517" s="361"/>
    </row>
    <row r="1518" spans="14:15" ht="29.1" customHeight="1">
      <c r="N1518" s="361"/>
      <c r="O1518" s="361"/>
    </row>
    <row r="1519" spans="14:15" ht="29.1" customHeight="1">
      <c r="N1519" s="361"/>
      <c r="O1519" s="361"/>
    </row>
    <row r="1520" spans="14:15" ht="29.1" customHeight="1">
      <c r="N1520" s="361"/>
      <c r="O1520" s="361"/>
    </row>
    <row r="1521" spans="14:15" ht="29.1" customHeight="1">
      <c r="N1521" s="361"/>
      <c r="O1521" s="361"/>
    </row>
    <row r="1522" spans="14:15" ht="29.1" customHeight="1">
      <c r="N1522" s="361"/>
      <c r="O1522" s="361"/>
    </row>
    <row r="1523" spans="14:15" ht="29.1" customHeight="1">
      <c r="N1523" s="361"/>
      <c r="O1523" s="361"/>
    </row>
    <row r="1524" spans="14:15" ht="29.1" customHeight="1">
      <c r="N1524" s="361"/>
      <c r="O1524" s="361"/>
    </row>
    <row r="1525" spans="14:15" ht="29.1" customHeight="1">
      <c r="N1525" s="361"/>
      <c r="O1525" s="361"/>
    </row>
    <row r="1526" spans="14:15" ht="29.1" customHeight="1">
      <c r="N1526" s="361"/>
      <c r="O1526" s="361"/>
    </row>
    <row r="1527" spans="14:15" ht="29.1" customHeight="1">
      <c r="N1527" s="361"/>
      <c r="O1527" s="361"/>
    </row>
    <row r="1528" spans="14:15" ht="29.1" customHeight="1">
      <c r="N1528" s="361"/>
      <c r="O1528" s="361"/>
    </row>
    <row r="1529" spans="14:15" ht="29.1" customHeight="1">
      <c r="N1529" s="361"/>
      <c r="O1529" s="361"/>
    </row>
    <row r="1530" spans="14:15" ht="29.1" customHeight="1">
      <c r="N1530" s="361"/>
      <c r="O1530" s="361"/>
    </row>
    <row r="1531" spans="14:15" ht="29.1" customHeight="1">
      <c r="N1531" s="361"/>
      <c r="O1531" s="361"/>
    </row>
    <row r="1532" spans="14:15" ht="29.1" customHeight="1">
      <c r="N1532" s="361"/>
      <c r="O1532" s="361"/>
    </row>
    <row r="1533" spans="14:15" ht="29.1" customHeight="1">
      <c r="N1533" s="361"/>
      <c r="O1533" s="361"/>
    </row>
    <row r="1534" spans="14:15" ht="29.1" customHeight="1">
      <c r="N1534" s="361"/>
      <c r="O1534" s="361"/>
    </row>
    <row r="1535" spans="14:15" ht="29.1" customHeight="1">
      <c r="N1535" s="361"/>
      <c r="O1535" s="361"/>
    </row>
    <row r="1536" spans="14:15" ht="29.1" customHeight="1">
      <c r="N1536" s="361"/>
      <c r="O1536" s="361"/>
    </row>
    <row r="1537" spans="14:15" ht="29.1" customHeight="1">
      <c r="N1537" s="361"/>
      <c r="O1537" s="361"/>
    </row>
    <row r="1538" spans="14:15" ht="29.1" customHeight="1">
      <c r="N1538" s="361"/>
      <c r="O1538" s="361"/>
    </row>
    <row r="1539" spans="14:15" ht="29.1" customHeight="1">
      <c r="N1539" s="361"/>
      <c r="O1539" s="361"/>
    </row>
    <row r="1540" spans="14:15" ht="29.1" customHeight="1">
      <c r="N1540" s="361"/>
      <c r="O1540" s="361"/>
    </row>
    <row r="1541" spans="14:15" ht="29.1" customHeight="1">
      <c r="N1541" s="361"/>
      <c r="O1541" s="361"/>
    </row>
    <row r="1542" spans="14:15" ht="29.1" customHeight="1">
      <c r="N1542" s="361"/>
      <c r="O1542" s="361"/>
    </row>
    <row r="1543" spans="14:15" ht="29.1" customHeight="1">
      <c r="N1543" s="361"/>
      <c r="O1543" s="361"/>
    </row>
    <row r="1544" spans="14:15" ht="29.1" customHeight="1">
      <c r="N1544" s="361"/>
      <c r="O1544" s="361"/>
    </row>
    <row r="1545" spans="14:15" ht="29.1" customHeight="1">
      <c r="N1545" s="361"/>
      <c r="O1545" s="361"/>
    </row>
    <row r="1546" spans="14:15" ht="29.1" customHeight="1">
      <c r="N1546" s="361"/>
      <c r="O1546" s="361"/>
    </row>
    <row r="1547" spans="14:15" ht="29.1" customHeight="1">
      <c r="N1547" s="361"/>
      <c r="O1547" s="361"/>
    </row>
    <row r="1548" spans="14:15" ht="29.1" customHeight="1">
      <c r="N1548" s="361"/>
      <c r="O1548" s="361"/>
    </row>
    <row r="1549" spans="14:15" ht="29.1" customHeight="1">
      <c r="N1549" s="361"/>
      <c r="O1549" s="361"/>
    </row>
    <row r="1550" spans="14:15" ht="29.1" customHeight="1">
      <c r="N1550" s="361"/>
      <c r="O1550" s="361"/>
    </row>
    <row r="1551" spans="14:15" ht="29.1" customHeight="1">
      <c r="N1551" s="361"/>
      <c r="O1551" s="361"/>
    </row>
    <row r="1552" spans="14:15" ht="29.1" customHeight="1">
      <c r="N1552" s="361"/>
      <c r="O1552" s="361"/>
    </row>
    <row r="1553" spans="14:15" ht="29.1" customHeight="1">
      <c r="N1553" s="361"/>
      <c r="O1553" s="361"/>
    </row>
    <row r="1554" spans="14:15" ht="29.1" customHeight="1">
      <c r="N1554" s="361"/>
      <c r="O1554" s="361"/>
    </row>
    <row r="1555" spans="14:15" ht="29.1" customHeight="1">
      <c r="N1555" s="361"/>
      <c r="O1555" s="361"/>
    </row>
    <row r="1556" spans="14:15" ht="29.1" customHeight="1">
      <c r="N1556" s="361"/>
      <c r="O1556" s="361"/>
    </row>
    <row r="1557" spans="14:15" ht="29.1" customHeight="1">
      <c r="N1557" s="361"/>
      <c r="O1557" s="361"/>
    </row>
    <row r="1558" spans="14:15" ht="29.1" customHeight="1">
      <c r="N1558" s="361"/>
      <c r="O1558" s="361"/>
    </row>
    <row r="1559" spans="14:15" ht="29.1" customHeight="1">
      <c r="N1559" s="361"/>
      <c r="O1559" s="361"/>
    </row>
    <row r="1560" spans="14:15" ht="29.1" customHeight="1">
      <c r="N1560" s="361"/>
      <c r="O1560" s="361"/>
    </row>
    <row r="1561" spans="14:15" ht="29.1" customHeight="1">
      <c r="N1561" s="361"/>
      <c r="O1561" s="361"/>
    </row>
    <row r="1562" spans="14:15" ht="29.1" customHeight="1">
      <c r="N1562" s="361"/>
      <c r="O1562" s="361"/>
    </row>
    <row r="1563" spans="14:15" ht="29.1" customHeight="1">
      <c r="N1563" s="361"/>
      <c r="O1563" s="361"/>
    </row>
    <row r="1564" spans="14:15" ht="29.1" customHeight="1">
      <c r="N1564" s="361"/>
      <c r="O1564" s="361"/>
    </row>
    <row r="1565" spans="14:15" ht="29.1" customHeight="1">
      <c r="N1565" s="361"/>
      <c r="O1565" s="361"/>
    </row>
    <row r="1566" spans="14:15" ht="29.1" customHeight="1">
      <c r="N1566" s="361"/>
      <c r="O1566" s="361"/>
    </row>
    <row r="1567" spans="14:15" ht="29.1" customHeight="1">
      <c r="N1567" s="361"/>
      <c r="O1567" s="361"/>
    </row>
    <row r="1568" spans="14:15" ht="29.1" customHeight="1">
      <c r="N1568" s="361"/>
      <c r="O1568" s="361"/>
    </row>
    <row r="1569" spans="14:15" ht="29.1" customHeight="1">
      <c r="N1569" s="361"/>
      <c r="O1569" s="361"/>
    </row>
    <row r="1570" spans="14:15" ht="29.1" customHeight="1">
      <c r="N1570" s="361"/>
      <c r="O1570" s="361"/>
    </row>
    <row r="1571" spans="14:15" ht="29.1" customHeight="1">
      <c r="N1571" s="361"/>
      <c r="O1571" s="361"/>
    </row>
    <row r="1572" spans="14:15" ht="29.1" customHeight="1">
      <c r="N1572" s="361"/>
      <c r="O1572" s="361"/>
    </row>
    <row r="1573" spans="14:15" ht="29.1" customHeight="1">
      <c r="N1573" s="361"/>
      <c r="O1573" s="361"/>
    </row>
    <row r="1574" spans="14:15" ht="29.1" customHeight="1">
      <c r="N1574" s="361"/>
      <c r="O1574" s="361"/>
    </row>
    <row r="1575" spans="14:15" ht="29.1" customHeight="1">
      <c r="N1575" s="361"/>
      <c r="O1575" s="361"/>
    </row>
    <row r="1576" spans="14:15" ht="29.1" customHeight="1">
      <c r="N1576" s="361"/>
      <c r="O1576" s="361"/>
    </row>
    <row r="1577" spans="14:15" ht="29.1" customHeight="1">
      <c r="N1577" s="361"/>
      <c r="O1577" s="361"/>
    </row>
    <row r="1578" spans="14:15" ht="29.1" customHeight="1">
      <c r="N1578" s="361"/>
      <c r="O1578" s="361"/>
    </row>
    <row r="1579" spans="14:15" ht="29.1" customHeight="1">
      <c r="N1579" s="361"/>
      <c r="O1579" s="361"/>
    </row>
    <row r="1580" spans="14:15" ht="29.1" customHeight="1">
      <c r="N1580" s="361"/>
      <c r="O1580" s="361"/>
    </row>
    <row r="1581" spans="14:15" ht="29.1" customHeight="1">
      <c r="N1581" s="361"/>
      <c r="O1581" s="361"/>
    </row>
    <row r="1582" spans="14:15" ht="29.1" customHeight="1">
      <c r="N1582" s="361"/>
      <c r="O1582" s="361"/>
    </row>
    <row r="1583" spans="14:15" ht="29.1" customHeight="1">
      <c r="N1583" s="361"/>
      <c r="O1583" s="361"/>
    </row>
    <row r="1584" spans="14:15" ht="29.1" customHeight="1">
      <c r="N1584" s="361"/>
      <c r="O1584" s="361"/>
    </row>
    <row r="1585" spans="14:15" ht="29.1" customHeight="1">
      <c r="N1585" s="361"/>
      <c r="O1585" s="361"/>
    </row>
    <row r="1586" spans="14:15" ht="29.1" customHeight="1">
      <c r="N1586" s="361"/>
      <c r="O1586" s="361"/>
    </row>
    <row r="1587" spans="14:15" ht="29.1" customHeight="1">
      <c r="N1587" s="361"/>
      <c r="O1587" s="361"/>
    </row>
    <row r="1588" spans="14:15" ht="29.1" customHeight="1">
      <c r="N1588" s="361"/>
      <c r="O1588" s="361"/>
    </row>
    <row r="1589" spans="14:15" ht="29.1" customHeight="1">
      <c r="N1589" s="361"/>
      <c r="O1589" s="361"/>
    </row>
    <row r="1590" spans="14:15" ht="29.1" customHeight="1">
      <c r="N1590" s="361"/>
      <c r="O1590" s="361"/>
    </row>
    <row r="1591" spans="14:15" ht="29.1" customHeight="1">
      <c r="N1591" s="361"/>
      <c r="O1591" s="361"/>
    </row>
    <row r="1592" spans="14:15" ht="29.1" customHeight="1">
      <c r="N1592" s="361"/>
      <c r="O1592" s="361"/>
    </row>
    <row r="1593" spans="14:15" ht="29.1" customHeight="1">
      <c r="N1593" s="361"/>
      <c r="O1593" s="361"/>
    </row>
    <row r="1594" spans="14:15" ht="29.1" customHeight="1">
      <c r="N1594" s="361"/>
      <c r="O1594" s="361"/>
    </row>
    <row r="1595" spans="14:15" ht="29.1" customHeight="1">
      <c r="N1595" s="361"/>
      <c r="O1595" s="361"/>
    </row>
    <row r="1596" spans="14:15" ht="29.1" customHeight="1">
      <c r="N1596" s="361"/>
      <c r="O1596" s="361"/>
    </row>
    <row r="1597" spans="14:15" ht="29.1" customHeight="1">
      <c r="N1597" s="361"/>
      <c r="O1597" s="361"/>
    </row>
    <row r="1598" spans="14:15" ht="29.1" customHeight="1">
      <c r="N1598" s="361"/>
      <c r="O1598" s="361"/>
    </row>
    <row r="1599" spans="14:15" ht="29.1" customHeight="1">
      <c r="N1599" s="361"/>
      <c r="O1599" s="361"/>
    </row>
    <row r="1600" spans="14:15" ht="29.1" customHeight="1">
      <c r="N1600" s="361"/>
      <c r="O1600" s="361"/>
    </row>
    <row r="1601" spans="14:15" ht="29.1" customHeight="1">
      <c r="N1601" s="361"/>
      <c r="O1601" s="361"/>
    </row>
    <row r="1602" spans="14:15" ht="29.1" customHeight="1">
      <c r="N1602" s="361"/>
      <c r="O1602" s="361"/>
    </row>
    <row r="1603" spans="14:15" ht="29.1" customHeight="1">
      <c r="N1603" s="361"/>
      <c r="O1603" s="361"/>
    </row>
    <row r="1604" spans="14:15" ht="29.1" customHeight="1">
      <c r="N1604" s="361"/>
      <c r="O1604" s="361"/>
    </row>
    <row r="1605" spans="14:15" ht="29.1" customHeight="1">
      <c r="N1605" s="361"/>
      <c r="O1605" s="361"/>
    </row>
    <row r="1606" spans="14:15" ht="29.1" customHeight="1">
      <c r="N1606" s="361"/>
      <c r="O1606" s="361"/>
    </row>
    <row r="1607" spans="14:15" ht="29.1" customHeight="1">
      <c r="N1607" s="361"/>
      <c r="O1607" s="361"/>
    </row>
    <row r="1608" spans="14:15" ht="29.1" customHeight="1">
      <c r="N1608" s="361"/>
      <c r="O1608" s="361"/>
    </row>
    <row r="1609" spans="14:15" ht="29.1" customHeight="1">
      <c r="N1609" s="361"/>
      <c r="O1609" s="361"/>
    </row>
    <row r="1610" spans="14:15" ht="29.1" customHeight="1">
      <c r="N1610" s="361"/>
      <c r="O1610" s="361"/>
    </row>
    <row r="1611" spans="14:15" ht="29.1" customHeight="1">
      <c r="N1611" s="361"/>
      <c r="O1611" s="361"/>
    </row>
    <row r="1612" spans="14:15" ht="29.1" customHeight="1">
      <c r="N1612" s="361"/>
      <c r="O1612" s="361"/>
    </row>
    <row r="1613" spans="14:15" ht="29.1" customHeight="1">
      <c r="N1613" s="361"/>
      <c r="O1613" s="361"/>
    </row>
    <row r="1614" spans="14:15" ht="29.1" customHeight="1">
      <c r="N1614" s="361"/>
      <c r="O1614" s="361"/>
    </row>
    <row r="1615" spans="14:15" ht="29.1" customHeight="1">
      <c r="N1615" s="361"/>
      <c r="O1615" s="361"/>
    </row>
    <row r="1616" spans="14:15" ht="29.1" customHeight="1">
      <c r="N1616" s="361"/>
      <c r="O1616" s="361"/>
    </row>
    <row r="1617" spans="14:15" ht="29.1" customHeight="1">
      <c r="N1617" s="361"/>
      <c r="O1617" s="361"/>
    </row>
    <row r="1618" spans="14:15" ht="29.1" customHeight="1">
      <c r="N1618" s="361"/>
      <c r="O1618" s="361"/>
    </row>
    <row r="1619" spans="14:15" ht="29.1" customHeight="1">
      <c r="N1619" s="361"/>
      <c r="O1619" s="361"/>
    </row>
    <row r="1620" spans="14:15" ht="29.1" customHeight="1">
      <c r="N1620" s="361"/>
      <c r="O1620" s="361"/>
    </row>
    <row r="1621" spans="14:15" ht="29.1" customHeight="1">
      <c r="N1621" s="361"/>
      <c r="O1621" s="361"/>
    </row>
    <row r="1622" spans="14:15" ht="29.1" customHeight="1">
      <c r="N1622" s="361"/>
      <c r="O1622" s="361"/>
    </row>
    <row r="1623" spans="14:15" ht="29.1" customHeight="1">
      <c r="N1623" s="361"/>
      <c r="O1623" s="361"/>
    </row>
    <row r="1624" spans="14:15" ht="29.1" customHeight="1">
      <c r="N1624" s="361"/>
      <c r="O1624" s="361"/>
    </row>
    <row r="1625" spans="14:15" ht="29.1" customHeight="1">
      <c r="N1625" s="361"/>
      <c r="O1625" s="361"/>
    </row>
    <row r="1626" spans="14:15" ht="29.1" customHeight="1">
      <c r="N1626" s="361"/>
      <c r="O1626" s="361"/>
    </row>
    <row r="1627" spans="14:15" ht="29.1" customHeight="1">
      <c r="N1627" s="361"/>
      <c r="O1627" s="361"/>
    </row>
    <row r="1628" spans="14:15" ht="29.1" customHeight="1">
      <c r="N1628" s="361"/>
      <c r="O1628" s="361"/>
    </row>
    <row r="1629" spans="14:15" ht="29.1" customHeight="1">
      <c r="N1629" s="361"/>
      <c r="O1629" s="361"/>
    </row>
    <row r="1630" spans="14:15" ht="29.1" customHeight="1">
      <c r="N1630" s="361"/>
      <c r="O1630" s="361"/>
    </row>
    <row r="1631" spans="14:15" ht="29.1" customHeight="1">
      <c r="N1631" s="361"/>
      <c r="O1631" s="361"/>
    </row>
    <row r="1632" spans="14:15" ht="29.1" customHeight="1">
      <c r="N1632" s="361"/>
      <c r="O1632" s="361"/>
    </row>
    <row r="1633" spans="14:15" ht="29.1" customHeight="1">
      <c r="N1633" s="361"/>
      <c r="O1633" s="361"/>
    </row>
    <row r="1634" spans="14:15" ht="29.1" customHeight="1">
      <c r="N1634" s="361"/>
      <c r="O1634" s="361"/>
    </row>
    <row r="1635" spans="14:15" ht="29.1" customHeight="1">
      <c r="N1635" s="361"/>
      <c r="O1635" s="361"/>
    </row>
    <row r="1636" spans="14:15" ht="29.1" customHeight="1">
      <c r="N1636" s="361"/>
      <c r="O1636" s="361"/>
    </row>
    <row r="1637" spans="14:15" ht="29.1" customHeight="1">
      <c r="N1637" s="361"/>
      <c r="O1637" s="361"/>
    </row>
    <row r="1638" spans="14:15" ht="29.1" customHeight="1">
      <c r="N1638" s="361"/>
      <c r="O1638" s="361"/>
    </row>
    <row r="1639" spans="14:15" ht="29.1" customHeight="1">
      <c r="N1639" s="361"/>
      <c r="O1639" s="361"/>
    </row>
    <row r="1640" spans="14:15" ht="29.1" customHeight="1">
      <c r="N1640" s="361"/>
      <c r="O1640" s="361"/>
    </row>
    <row r="1641" spans="14:15" ht="29.1" customHeight="1">
      <c r="N1641" s="361"/>
      <c r="O1641" s="361"/>
    </row>
    <row r="1642" spans="14:15" ht="29.1" customHeight="1">
      <c r="N1642" s="361"/>
      <c r="O1642" s="361"/>
    </row>
    <row r="1643" spans="14:15" ht="29.1" customHeight="1">
      <c r="N1643" s="361"/>
      <c r="O1643" s="361"/>
    </row>
    <row r="1644" spans="14:15" ht="29.1" customHeight="1">
      <c r="N1644" s="361"/>
      <c r="O1644" s="361"/>
    </row>
    <row r="1645" spans="14:15" ht="29.1" customHeight="1">
      <c r="N1645" s="361"/>
      <c r="O1645" s="361"/>
    </row>
    <row r="1646" spans="14:15" ht="29.1" customHeight="1">
      <c r="N1646" s="361"/>
      <c r="O1646" s="361"/>
    </row>
    <row r="1647" spans="14:15" ht="29.1" customHeight="1">
      <c r="N1647" s="361"/>
      <c r="O1647" s="361"/>
    </row>
    <row r="1648" spans="14:15" ht="29.1" customHeight="1">
      <c r="N1648" s="361"/>
      <c r="O1648" s="361"/>
    </row>
    <row r="1649" spans="14:15" ht="29.1" customHeight="1">
      <c r="N1649" s="361"/>
      <c r="O1649" s="361"/>
    </row>
    <row r="1650" spans="14:15" ht="29.1" customHeight="1">
      <c r="N1650" s="361"/>
      <c r="O1650" s="361"/>
    </row>
    <row r="1651" spans="14:15" ht="29.1" customHeight="1">
      <c r="N1651" s="361"/>
      <c r="O1651" s="361"/>
    </row>
    <row r="1652" spans="14:15" ht="29.1" customHeight="1">
      <c r="N1652" s="361"/>
      <c r="O1652" s="361"/>
    </row>
    <row r="1653" spans="14:15" ht="29.1" customHeight="1">
      <c r="N1653" s="361"/>
      <c r="O1653" s="361"/>
    </row>
    <row r="1654" spans="14:15" ht="29.1" customHeight="1">
      <c r="N1654" s="361"/>
      <c r="O1654" s="361"/>
    </row>
    <row r="1655" spans="14:15" ht="29.1" customHeight="1">
      <c r="N1655" s="361"/>
      <c r="O1655" s="361"/>
    </row>
    <row r="1656" spans="14:15" ht="29.1" customHeight="1">
      <c r="N1656" s="361"/>
      <c r="O1656" s="361"/>
    </row>
    <row r="1657" spans="14:15" ht="29.1" customHeight="1">
      <c r="N1657" s="361"/>
      <c r="O1657" s="361"/>
    </row>
    <row r="1658" spans="14:15" ht="29.1" customHeight="1">
      <c r="N1658" s="361"/>
      <c r="O1658" s="361"/>
    </row>
    <row r="1659" spans="14:15" ht="29.1" customHeight="1">
      <c r="N1659" s="361"/>
      <c r="O1659" s="361"/>
    </row>
    <row r="1660" spans="14:15" ht="29.1" customHeight="1">
      <c r="N1660" s="361"/>
      <c r="O1660" s="361"/>
    </row>
    <row r="1661" spans="14:15" ht="29.1" customHeight="1">
      <c r="N1661" s="361"/>
      <c r="O1661" s="361"/>
    </row>
    <row r="1662" spans="14:15" ht="29.1" customHeight="1">
      <c r="N1662" s="361"/>
      <c r="O1662" s="361"/>
    </row>
    <row r="1663" spans="14:15" ht="29.1" customHeight="1">
      <c r="N1663" s="361"/>
      <c r="O1663" s="361"/>
    </row>
    <row r="1664" spans="14:15" ht="29.1" customHeight="1">
      <c r="N1664" s="361"/>
      <c r="O1664" s="361"/>
    </row>
    <row r="1665" spans="14:15" ht="29.1" customHeight="1">
      <c r="N1665" s="361"/>
      <c r="O1665" s="361"/>
    </row>
    <row r="1666" spans="14:15" ht="29.1" customHeight="1">
      <c r="N1666" s="361"/>
      <c r="O1666" s="361"/>
    </row>
    <row r="1667" spans="14:15" ht="29.1" customHeight="1">
      <c r="N1667" s="361"/>
      <c r="O1667" s="361"/>
    </row>
    <row r="1668" spans="14:15" ht="29.1" customHeight="1">
      <c r="N1668" s="361"/>
      <c r="O1668" s="361"/>
    </row>
    <row r="1669" spans="14:15" ht="29.1" customHeight="1">
      <c r="N1669" s="361"/>
      <c r="O1669" s="361"/>
    </row>
    <row r="1670" spans="14:15" ht="29.1" customHeight="1">
      <c r="N1670" s="361"/>
      <c r="O1670" s="361"/>
    </row>
    <row r="1671" spans="14:15" ht="29.1" customHeight="1">
      <c r="N1671" s="361"/>
      <c r="O1671" s="361"/>
    </row>
    <row r="1672" spans="14:15" ht="29.1" customHeight="1">
      <c r="N1672" s="361"/>
      <c r="O1672" s="361"/>
    </row>
    <row r="1673" spans="14:15" ht="29.1" customHeight="1">
      <c r="N1673" s="361"/>
      <c r="O1673" s="361"/>
    </row>
    <row r="1674" spans="14:15" ht="29.1" customHeight="1">
      <c r="N1674" s="361"/>
      <c r="O1674" s="361"/>
    </row>
    <row r="1675" spans="14:15" ht="29.1" customHeight="1">
      <c r="N1675" s="361"/>
      <c r="O1675" s="361"/>
    </row>
    <row r="1676" spans="14:15" ht="29.1" customHeight="1">
      <c r="N1676" s="361"/>
      <c r="O1676" s="361"/>
    </row>
    <row r="1677" spans="14:15" ht="29.1" customHeight="1">
      <c r="N1677" s="361"/>
      <c r="O1677" s="361"/>
    </row>
    <row r="1678" spans="14:15" ht="29.1" customHeight="1">
      <c r="N1678" s="361"/>
      <c r="O1678" s="361"/>
    </row>
    <row r="1679" spans="14:15" ht="29.1" customHeight="1">
      <c r="N1679" s="361"/>
      <c r="O1679" s="361"/>
    </row>
    <row r="1680" spans="14:15" ht="29.1" customHeight="1">
      <c r="N1680" s="361"/>
      <c r="O1680" s="361"/>
    </row>
    <row r="1681" spans="14:15" ht="29.1" customHeight="1">
      <c r="N1681" s="361"/>
      <c r="O1681" s="361"/>
    </row>
    <row r="1682" spans="14:15" ht="29.1" customHeight="1">
      <c r="N1682" s="361"/>
      <c r="O1682" s="361"/>
    </row>
    <row r="1683" spans="14:15" ht="29.1" customHeight="1">
      <c r="N1683" s="361"/>
      <c r="O1683" s="361"/>
    </row>
    <row r="1684" spans="14:15" ht="29.1" customHeight="1">
      <c r="N1684" s="361"/>
      <c r="O1684" s="361"/>
    </row>
    <row r="1685" spans="14:15" ht="29.1" customHeight="1">
      <c r="N1685" s="361"/>
      <c r="O1685" s="361"/>
    </row>
    <row r="1686" spans="14:15" ht="29.1" customHeight="1">
      <c r="N1686" s="361"/>
      <c r="O1686" s="361"/>
    </row>
    <row r="1687" spans="14:15" ht="29.1" customHeight="1">
      <c r="N1687" s="361"/>
      <c r="O1687" s="361"/>
    </row>
    <row r="1688" spans="14:15" ht="29.1" customHeight="1">
      <c r="N1688" s="361"/>
      <c r="O1688" s="361"/>
    </row>
    <row r="1689" spans="14:15" ht="29.1" customHeight="1">
      <c r="N1689" s="361"/>
      <c r="O1689" s="361"/>
    </row>
    <row r="1690" spans="14:15" ht="29.1" customHeight="1">
      <c r="N1690" s="361"/>
      <c r="O1690" s="361"/>
    </row>
    <row r="1691" spans="14:15" ht="29.1" customHeight="1">
      <c r="N1691" s="361"/>
      <c r="O1691" s="361"/>
    </row>
    <row r="1692" spans="14:15" ht="29.1" customHeight="1">
      <c r="N1692" s="361"/>
      <c r="O1692" s="361"/>
    </row>
    <row r="1693" spans="14:15" ht="29.1" customHeight="1">
      <c r="N1693" s="361"/>
      <c r="O1693" s="361"/>
    </row>
    <row r="1694" spans="14:15" ht="29.1" customHeight="1">
      <c r="N1694" s="361"/>
      <c r="O1694" s="361"/>
    </row>
    <row r="1695" spans="14:15" ht="29.1" customHeight="1">
      <c r="N1695" s="361"/>
      <c r="O1695" s="361"/>
    </row>
    <row r="1696" spans="14:15" ht="29.1" customHeight="1">
      <c r="N1696" s="361"/>
      <c r="O1696" s="361"/>
    </row>
    <row r="1697" spans="14:15" ht="29.1" customHeight="1">
      <c r="N1697" s="361"/>
      <c r="O1697" s="361"/>
    </row>
    <row r="1698" spans="14:15" ht="29.1" customHeight="1">
      <c r="N1698" s="361"/>
      <c r="O1698" s="361"/>
    </row>
    <row r="1699" spans="14:15" ht="29.1" customHeight="1">
      <c r="N1699" s="361"/>
      <c r="O1699" s="361"/>
    </row>
    <row r="1700" spans="14:15" ht="29.1" customHeight="1">
      <c r="N1700" s="361"/>
      <c r="O1700" s="361"/>
    </row>
    <row r="1701" spans="14:15" ht="29.1" customHeight="1">
      <c r="N1701" s="361"/>
      <c r="O1701" s="361"/>
    </row>
    <row r="1702" spans="14:15" ht="29.1" customHeight="1">
      <c r="N1702" s="361"/>
      <c r="O1702" s="361"/>
    </row>
    <row r="1703" spans="14:15" ht="29.1" customHeight="1">
      <c r="N1703" s="361"/>
      <c r="O1703" s="361"/>
    </row>
    <row r="1704" spans="14:15" ht="29.1" customHeight="1">
      <c r="N1704" s="361"/>
      <c r="O1704" s="361"/>
    </row>
    <row r="1705" spans="14:15" ht="29.1" customHeight="1">
      <c r="N1705" s="361"/>
      <c r="O1705" s="361"/>
    </row>
    <row r="1706" spans="14:15" ht="29.1" customHeight="1">
      <c r="N1706" s="361"/>
      <c r="O1706" s="361"/>
    </row>
    <row r="1707" spans="14:15" ht="29.1" customHeight="1">
      <c r="N1707" s="361"/>
      <c r="O1707" s="361"/>
    </row>
    <row r="1708" spans="14:15" ht="29.1" customHeight="1">
      <c r="N1708" s="361"/>
      <c r="O1708" s="361"/>
    </row>
    <row r="1709" spans="14:15" ht="29.1" customHeight="1">
      <c r="N1709" s="361"/>
      <c r="O1709" s="361"/>
    </row>
    <row r="1710" spans="14:15" ht="29.1" customHeight="1">
      <c r="N1710" s="361"/>
      <c r="O1710" s="361"/>
    </row>
    <row r="1711" spans="14:15" ht="29.1" customHeight="1">
      <c r="N1711" s="361"/>
      <c r="O1711" s="361"/>
    </row>
    <row r="1712" spans="14:15" ht="29.1" customHeight="1">
      <c r="N1712" s="361"/>
      <c r="O1712" s="361"/>
    </row>
    <row r="1713" spans="14:15" ht="29.1" customHeight="1">
      <c r="N1713" s="361"/>
      <c r="O1713" s="361"/>
    </row>
    <row r="1714" spans="14:15" ht="29.1" customHeight="1">
      <c r="N1714" s="361"/>
      <c r="O1714" s="361"/>
    </row>
    <row r="1715" spans="14:15" ht="29.1" customHeight="1">
      <c r="N1715" s="361"/>
      <c r="O1715" s="361"/>
    </row>
    <row r="1716" spans="14:15" ht="29.1" customHeight="1">
      <c r="N1716" s="361"/>
      <c r="O1716" s="361"/>
    </row>
    <row r="1717" spans="14:15" ht="29.1" customHeight="1">
      <c r="N1717" s="361"/>
      <c r="O1717" s="361"/>
    </row>
    <row r="1718" spans="14:15" ht="29.1" customHeight="1">
      <c r="N1718" s="361"/>
      <c r="O1718" s="361"/>
    </row>
    <row r="1719" spans="14:15" ht="29.1" customHeight="1">
      <c r="N1719" s="361"/>
      <c r="O1719" s="361"/>
    </row>
    <row r="1720" spans="14:15" ht="29.1" customHeight="1">
      <c r="N1720" s="361"/>
      <c r="O1720" s="361"/>
    </row>
    <row r="1721" spans="14:15" ht="29.1" customHeight="1">
      <c r="N1721" s="361"/>
      <c r="O1721" s="361"/>
    </row>
    <row r="1722" spans="14:15" ht="29.1" customHeight="1">
      <c r="N1722" s="361"/>
      <c r="O1722" s="361"/>
    </row>
    <row r="1723" spans="14:15" ht="29.1" customHeight="1">
      <c r="N1723" s="361"/>
      <c r="O1723" s="361"/>
    </row>
    <row r="1724" spans="14:15" ht="29.1" customHeight="1">
      <c r="N1724" s="361"/>
      <c r="O1724" s="361"/>
    </row>
    <row r="1725" spans="14:15" ht="29.1" customHeight="1">
      <c r="N1725" s="361"/>
      <c r="O1725" s="361"/>
    </row>
    <row r="1726" spans="14:15" ht="29.1" customHeight="1">
      <c r="N1726" s="361"/>
      <c r="O1726" s="361"/>
    </row>
    <row r="1727" spans="14:15" ht="29.1" customHeight="1">
      <c r="N1727" s="361"/>
      <c r="O1727" s="361"/>
    </row>
    <row r="1728" spans="14:15" ht="29.1" customHeight="1">
      <c r="N1728" s="361"/>
      <c r="O1728" s="361"/>
    </row>
    <row r="1729" spans="14:15" ht="29.1" customHeight="1">
      <c r="N1729" s="361"/>
      <c r="O1729" s="361"/>
    </row>
    <row r="1730" spans="14:15" ht="29.1" customHeight="1">
      <c r="N1730" s="361"/>
      <c r="O1730" s="361"/>
    </row>
    <row r="1731" spans="14:15" ht="29.1" customHeight="1">
      <c r="N1731" s="361"/>
      <c r="O1731" s="361"/>
    </row>
    <row r="1732" spans="14:15" ht="29.1" customHeight="1">
      <c r="N1732" s="361"/>
      <c r="O1732" s="361"/>
    </row>
    <row r="1733" spans="14:15" ht="29.1" customHeight="1">
      <c r="N1733" s="361"/>
      <c r="O1733" s="361"/>
    </row>
    <row r="1734" spans="14:15" ht="29.1" customHeight="1">
      <c r="N1734" s="361"/>
      <c r="O1734" s="361"/>
    </row>
    <row r="1735" spans="14:15" ht="29.1" customHeight="1">
      <c r="N1735" s="361"/>
      <c r="O1735" s="361"/>
    </row>
    <row r="1736" spans="14:15" ht="29.1" customHeight="1">
      <c r="N1736" s="361"/>
      <c r="O1736" s="361"/>
    </row>
    <row r="1737" spans="14:15" ht="29.1" customHeight="1">
      <c r="N1737" s="361"/>
      <c r="O1737" s="361"/>
    </row>
    <row r="1738" spans="14:15" ht="29.1" customHeight="1">
      <c r="N1738" s="361"/>
      <c r="O1738" s="361"/>
    </row>
    <row r="1739" spans="14:15" ht="29.1" customHeight="1">
      <c r="N1739" s="361"/>
      <c r="O1739" s="361"/>
    </row>
    <row r="1740" spans="14:15" ht="29.1" customHeight="1">
      <c r="N1740" s="361"/>
      <c r="O1740" s="361"/>
    </row>
    <row r="1741" spans="14:15" ht="29.1" customHeight="1">
      <c r="N1741" s="361"/>
      <c r="O1741" s="361"/>
    </row>
    <row r="1742" spans="14:15" ht="29.1" customHeight="1">
      <c r="N1742" s="361"/>
      <c r="O1742" s="361"/>
    </row>
    <row r="1743" spans="14:15" ht="29.1" customHeight="1">
      <c r="N1743" s="361"/>
      <c r="O1743" s="361"/>
    </row>
    <row r="1744" spans="14:15" ht="29.1" customHeight="1">
      <c r="N1744" s="361"/>
      <c r="O1744" s="361"/>
    </row>
    <row r="1745" spans="14:15" ht="29.1" customHeight="1">
      <c r="N1745" s="361"/>
      <c r="O1745" s="361"/>
    </row>
    <row r="1746" spans="14:15" ht="29.1" customHeight="1">
      <c r="N1746" s="361"/>
      <c r="O1746" s="361"/>
    </row>
    <row r="1747" spans="14:15" ht="29.1" customHeight="1">
      <c r="N1747" s="361"/>
      <c r="O1747" s="361"/>
    </row>
    <row r="1748" spans="14:15" ht="29.1" customHeight="1">
      <c r="N1748" s="361"/>
      <c r="O1748" s="361"/>
    </row>
    <row r="1749" spans="14:15" ht="29.1" customHeight="1">
      <c r="N1749" s="361"/>
      <c r="O1749" s="361"/>
    </row>
    <row r="1750" spans="14:15" ht="29.1" customHeight="1">
      <c r="N1750" s="361"/>
      <c r="O1750" s="361"/>
    </row>
    <row r="1751" spans="14:15" ht="29.1" customHeight="1">
      <c r="N1751" s="361"/>
      <c r="O1751" s="361"/>
    </row>
    <row r="1752" spans="14:15" ht="29.1" customHeight="1">
      <c r="N1752" s="361"/>
      <c r="O1752" s="361"/>
    </row>
    <row r="1753" spans="14:15" ht="29.1" customHeight="1">
      <c r="N1753" s="361"/>
      <c r="O1753" s="361"/>
    </row>
    <row r="1754" spans="14:15" ht="29.1" customHeight="1">
      <c r="N1754" s="361"/>
      <c r="O1754" s="361"/>
    </row>
    <row r="1755" spans="14:15" ht="29.1" customHeight="1">
      <c r="N1755" s="361"/>
      <c r="O1755" s="361"/>
    </row>
    <row r="1756" spans="14:15" ht="29.1" customHeight="1">
      <c r="N1756" s="361"/>
      <c r="O1756" s="361"/>
    </row>
    <row r="1757" spans="14:15" ht="29.1" customHeight="1">
      <c r="N1757" s="361"/>
      <c r="O1757" s="361"/>
    </row>
    <row r="1758" spans="14:15" ht="29.1" customHeight="1">
      <c r="N1758" s="361"/>
      <c r="O1758" s="361"/>
    </row>
    <row r="1759" spans="14:15" ht="29.1" customHeight="1">
      <c r="N1759" s="361"/>
      <c r="O1759" s="361"/>
    </row>
    <row r="1760" spans="14:15" ht="29.1" customHeight="1">
      <c r="N1760" s="361"/>
      <c r="O1760" s="361"/>
    </row>
    <row r="1761" spans="14:15" ht="29.1" customHeight="1">
      <c r="N1761" s="361"/>
      <c r="O1761" s="361"/>
    </row>
    <row r="1762" spans="14:15" ht="29.1" customHeight="1">
      <c r="N1762" s="361"/>
      <c r="O1762" s="361"/>
    </row>
    <row r="1763" spans="14:15" ht="29.1" customHeight="1">
      <c r="N1763" s="361"/>
      <c r="O1763" s="361"/>
    </row>
    <row r="1764" spans="14:15" ht="29.1" customHeight="1">
      <c r="N1764" s="361"/>
      <c r="O1764" s="361"/>
    </row>
    <row r="1765" spans="14:15" ht="29.1" customHeight="1">
      <c r="N1765" s="361"/>
      <c r="O1765" s="361"/>
    </row>
    <row r="1766" spans="14:15" ht="29.1" customHeight="1">
      <c r="N1766" s="361"/>
      <c r="O1766" s="361"/>
    </row>
    <row r="1767" spans="14:15" ht="29.1" customHeight="1">
      <c r="N1767" s="361"/>
      <c r="O1767" s="361"/>
    </row>
    <row r="1768" spans="14:15" ht="29.1" customHeight="1">
      <c r="N1768" s="361"/>
      <c r="O1768" s="361"/>
    </row>
    <row r="1769" spans="14:15" ht="29.1" customHeight="1">
      <c r="N1769" s="361"/>
      <c r="O1769" s="361"/>
    </row>
    <row r="1770" spans="14:15" ht="29.1" customHeight="1">
      <c r="N1770" s="361"/>
      <c r="O1770" s="361"/>
    </row>
    <row r="1771" spans="14:15" ht="29.1" customHeight="1">
      <c r="N1771" s="361"/>
      <c r="O1771" s="361"/>
    </row>
    <row r="1772" spans="14:15" ht="29.1" customHeight="1">
      <c r="N1772" s="361"/>
      <c r="O1772" s="361"/>
    </row>
    <row r="1773" spans="14:15" ht="29.1" customHeight="1">
      <c r="N1773" s="361"/>
      <c r="O1773" s="361"/>
    </row>
    <row r="1774" spans="14:15" ht="29.1" customHeight="1">
      <c r="N1774" s="361"/>
      <c r="O1774" s="361"/>
    </row>
    <row r="1775" spans="14:15" ht="29.1" customHeight="1">
      <c r="N1775" s="361"/>
      <c r="O1775" s="361"/>
    </row>
    <row r="1776" spans="14:15" ht="29.1" customHeight="1">
      <c r="N1776" s="361"/>
      <c r="O1776" s="361"/>
    </row>
    <row r="1777" spans="14:15" ht="29.1" customHeight="1">
      <c r="N1777" s="361"/>
      <c r="O1777" s="361"/>
    </row>
    <row r="1778" spans="14:15" ht="29.1" customHeight="1">
      <c r="N1778" s="361"/>
      <c r="O1778" s="361"/>
    </row>
    <row r="1779" spans="14:15" ht="29.1" customHeight="1">
      <c r="N1779" s="361"/>
      <c r="O1779" s="361"/>
    </row>
    <row r="1780" spans="14:15" ht="29.1" customHeight="1">
      <c r="N1780" s="361"/>
      <c r="O1780" s="361"/>
    </row>
    <row r="1781" spans="14:15" ht="29.1" customHeight="1">
      <c r="N1781" s="361"/>
      <c r="O1781" s="361"/>
    </row>
    <row r="1782" spans="14:15" ht="29.1" customHeight="1">
      <c r="N1782" s="361"/>
      <c r="O1782" s="361"/>
    </row>
    <row r="1783" spans="14:15" ht="29.1" customHeight="1">
      <c r="N1783" s="361"/>
      <c r="O1783" s="361"/>
    </row>
    <row r="1784" spans="14:15" ht="29.1" customHeight="1">
      <c r="N1784" s="361"/>
      <c r="O1784" s="361"/>
    </row>
    <row r="1785" spans="14:15" ht="29.1" customHeight="1">
      <c r="N1785" s="361"/>
      <c r="O1785" s="361"/>
    </row>
    <row r="1786" spans="14:15" ht="29.1" customHeight="1">
      <c r="N1786" s="361"/>
      <c r="O1786" s="361"/>
    </row>
    <row r="1787" spans="14:15" ht="29.1" customHeight="1">
      <c r="N1787" s="361"/>
      <c r="O1787" s="361"/>
    </row>
    <row r="1788" spans="14:15" ht="29.1" customHeight="1">
      <c r="N1788" s="361"/>
      <c r="O1788" s="361"/>
    </row>
    <row r="1789" spans="14:15" ht="29.1" customHeight="1">
      <c r="N1789" s="361"/>
      <c r="O1789" s="361"/>
    </row>
    <row r="1790" spans="14:15" ht="29.1" customHeight="1">
      <c r="N1790" s="361"/>
      <c r="O1790" s="361"/>
    </row>
    <row r="1791" spans="14:15" ht="29.1" customHeight="1">
      <c r="N1791" s="361"/>
      <c r="O1791" s="361"/>
    </row>
    <row r="1792" spans="14:15" ht="29.1" customHeight="1">
      <c r="N1792" s="361"/>
      <c r="O1792" s="361"/>
    </row>
    <row r="1793" spans="14:15" ht="29.1" customHeight="1">
      <c r="N1793" s="361"/>
      <c r="O1793" s="361"/>
    </row>
    <row r="1794" spans="14:15" ht="29.1" customHeight="1">
      <c r="N1794" s="361"/>
      <c r="O1794" s="361"/>
    </row>
    <row r="1795" spans="14:15" ht="29.1" customHeight="1">
      <c r="N1795" s="361"/>
      <c r="O1795" s="361"/>
    </row>
    <row r="1796" spans="14:15" ht="29.1" customHeight="1">
      <c r="N1796" s="361"/>
      <c r="O1796" s="361"/>
    </row>
    <row r="1797" spans="14:15" ht="29.1" customHeight="1">
      <c r="N1797" s="361"/>
      <c r="O1797" s="361"/>
    </row>
    <row r="1798" spans="14:15" ht="29.1" customHeight="1">
      <c r="N1798" s="361"/>
      <c r="O1798" s="361"/>
    </row>
    <row r="1799" spans="14:15" ht="29.1" customHeight="1">
      <c r="N1799" s="361"/>
      <c r="O1799" s="361"/>
    </row>
    <row r="1800" spans="14:15" ht="29.1" customHeight="1">
      <c r="N1800" s="361"/>
      <c r="O1800" s="361"/>
    </row>
    <row r="1801" spans="14:15" ht="29.1" customHeight="1">
      <c r="N1801" s="361"/>
      <c r="O1801" s="361"/>
    </row>
    <row r="1802" spans="14:15" ht="29.1" customHeight="1">
      <c r="N1802" s="361"/>
      <c r="O1802" s="361"/>
    </row>
    <row r="1803" spans="14:15" ht="29.1" customHeight="1">
      <c r="N1803" s="361"/>
      <c r="O1803" s="361"/>
    </row>
    <row r="1804" spans="14:15" ht="29.1" customHeight="1">
      <c r="N1804" s="361"/>
      <c r="O1804" s="361"/>
    </row>
    <row r="1805" spans="14:15" ht="29.1" customHeight="1">
      <c r="N1805" s="361"/>
      <c r="O1805" s="361"/>
    </row>
    <row r="1806" spans="14:15" ht="29.1" customHeight="1">
      <c r="N1806" s="361"/>
      <c r="O1806" s="361"/>
    </row>
    <row r="1807" spans="14:15" ht="29.1" customHeight="1">
      <c r="N1807" s="361"/>
      <c r="O1807" s="361"/>
    </row>
    <row r="1808" spans="14:15" ht="29.1" customHeight="1">
      <c r="N1808" s="361"/>
      <c r="O1808" s="361"/>
    </row>
    <row r="1809" spans="14:15" ht="29.1" customHeight="1">
      <c r="N1809" s="361"/>
      <c r="O1809" s="361"/>
    </row>
    <row r="1810" spans="14:15" ht="29.1" customHeight="1">
      <c r="N1810" s="361"/>
      <c r="O1810" s="361"/>
    </row>
    <row r="1811" spans="14:15" ht="29.1" customHeight="1">
      <c r="N1811" s="361"/>
      <c r="O1811" s="361"/>
    </row>
    <row r="1812" spans="14:15" ht="29.1" customHeight="1">
      <c r="N1812" s="361"/>
      <c r="O1812" s="361"/>
    </row>
    <row r="1813" spans="14:15" ht="29.1" customHeight="1">
      <c r="N1813" s="361"/>
      <c r="O1813" s="361"/>
    </row>
    <row r="1814" spans="14:15" ht="29.1" customHeight="1">
      <c r="N1814" s="361"/>
      <c r="O1814" s="361"/>
    </row>
    <row r="1815" spans="14:15" ht="29.1" customHeight="1">
      <c r="N1815" s="361"/>
      <c r="O1815" s="361"/>
    </row>
    <row r="1816" spans="14:15" ht="29.1" customHeight="1">
      <c r="N1816" s="361"/>
      <c r="O1816" s="361"/>
    </row>
    <row r="1817" spans="14:15" ht="29.1" customHeight="1">
      <c r="N1817" s="361"/>
      <c r="O1817" s="361"/>
    </row>
    <row r="1818" spans="14:15" ht="29.1" customHeight="1">
      <c r="N1818" s="361"/>
      <c r="O1818" s="361"/>
    </row>
    <row r="1819" spans="14:15" ht="29.1" customHeight="1">
      <c r="N1819" s="361"/>
      <c r="O1819" s="361"/>
    </row>
    <row r="1820" spans="14:15" ht="29.1" customHeight="1">
      <c r="N1820" s="361"/>
      <c r="O1820" s="361"/>
    </row>
    <row r="1821" spans="14:15" ht="29.1" customHeight="1">
      <c r="N1821" s="361"/>
      <c r="O1821" s="361"/>
    </row>
    <row r="1822" spans="14:15" ht="29.1" customHeight="1">
      <c r="N1822" s="361"/>
      <c r="O1822" s="361"/>
    </row>
    <row r="1823" spans="14:15" ht="29.1" customHeight="1">
      <c r="N1823" s="361"/>
      <c r="O1823" s="361"/>
    </row>
    <row r="1824" spans="14:15" ht="29.1" customHeight="1">
      <c r="N1824" s="361"/>
      <c r="O1824" s="361"/>
    </row>
    <row r="1825" spans="14:15" ht="29.1" customHeight="1">
      <c r="N1825" s="361"/>
      <c r="O1825" s="361"/>
    </row>
    <row r="1826" spans="14:15" ht="29.1" customHeight="1">
      <c r="N1826" s="361"/>
      <c r="O1826" s="361"/>
    </row>
    <row r="1827" spans="14:15" ht="29.1" customHeight="1">
      <c r="N1827" s="361"/>
      <c r="O1827" s="361"/>
    </row>
    <row r="1828" spans="14:15" ht="29.1" customHeight="1">
      <c r="N1828" s="361"/>
      <c r="O1828" s="361"/>
    </row>
    <row r="1829" spans="14:15" ht="29.1" customHeight="1">
      <c r="N1829" s="361"/>
      <c r="O1829" s="361"/>
    </row>
    <row r="1830" spans="14:15" ht="29.1" customHeight="1">
      <c r="N1830" s="361"/>
      <c r="O1830" s="361"/>
    </row>
    <row r="1831" spans="14:15" ht="29.1" customHeight="1">
      <c r="N1831" s="361"/>
      <c r="O1831" s="361"/>
    </row>
    <row r="1832" spans="14:15" ht="29.1" customHeight="1">
      <c r="N1832" s="361"/>
      <c r="O1832" s="361"/>
    </row>
    <row r="1833" spans="14:15" ht="29.1" customHeight="1">
      <c r="N1833" s="361"/>
      <c r="O1833" s="361"/>
    </row>
    <row r="1834" spans="14:15" ht="29.1" customHeight="1">
      <c r="N1834" s="361"/>
      <c r="O1834" s="361"/>
    </row>
    <row r="1835" spans="14:15" ht="29.1" customHeight="1">
      <c r="N1835" s="361"/>
      <c r="O1835" s="361"/>
    </row>
    <row r="1836" spans="14:15" ht="29.1" customHeight="1">
      <c r="N1836" s="361"/>
      <c r="O1836" s="361"/>
    </row>
    <row r="1837" spans="14:15" ht="29.1" customHeight="1">
      <c r="N1837" s="361"/>
      <c r="O1837" s="361"/>
    </row>
    <row r="1838" spans="14:15" ht="29.1" customHeight="1">
      <c r="N1838" s="361"/>
      <c r="O1838" s="361"/>
    </row>
    <row r="1839" spans="14:15" ht="29.1" customHeight="1">
      <c r="N1839" s="361"/>
      <c r="O1839" s="361"/>
    </row>
    <row r="1840" spans="14:15" ht="29.1" customHeight="1">
      <c r="N1840" s="361"/>
      <c r="O1840" s="361"/>
    </row>
    <row r="1841" spans="14:15" ht="29.1" customHeight="1">
      <c r="N1841" s="361"/>
      <c r="O1841" s="361"/>
    </row>
    <row r="1842" spans="14:15" ht="29.1" customHeight="1">
      <c r="N1842" s="361"/>
      <c r="O1842" s="361"/>
    </row>
    <row r="1843" spans="14:15" ht="29.1" customHeight="1">
      <c r="N1843" s="361"/>
      <c r="O1843" s="361"/>
    </row>
    <row r="1844" spans="14:15" ht="29.1" customHeight="1">
      <c r="N1844" s="361"/>
      <c r="O1844" s="361"/>
    </row>
    <row r="1845" spans="14:15" ht="29.1" customHeight="1">
      <c r="N1845" s="361"/>
      <c r="O1845" s="361"/>
    </row>
    <row r="1846" spans="14:15" ht="29.1" customHeight="1">
      <c r="N1846" s="361"/>
      <c r="O1846" s="361"/>
    </row>
    <row r="1847" spans="14:15" ht="29.1" customHeight="1">
      <c r="N1847" s="361"/>
      <c r="O1847" s="361"/>
    </row>
    <row r="1848" spans="14:15" ht="29.1" customHeight="1">
      <c r="N1848" s="361"/>
      <c r="O1848" s="361"/>
    </row>
    <row r="1849" spans="14:15" ht="29.1" customHeight="1">
      <c r="N1849" s="361"/>
      <c r="O1849" s="361"/>
    </row>
    <row r="1850" spans="14:15" ht="29.1" customHeight="1">
      <c r="N1850" s="361"/>
      <c r="O1850" s="361"/>
    </row>
    <row r="1851" spans="14:15" ht="29.1" customHeight="1">
      <c r="N1851" s="361"/>
      <c r="O1851" s="361"/>
    </row>
    <row r="1852" spans="14:15" ht="29.1" customHeight="1">
      <c r="N1852" s="361"/>
      <c r="O1852" s="361"/>
    </row>
    <row r="1853" spans="14:15" ht="29.1" customHeight="1">
      <c r="N1853" s="361"/>
      <c r="O1853" s="361"/>
    </row>
    <row r="1854" spans="14:15" ht="29.1" customHeight="1">
      <c r="N1854" s="361"/>
      <c r="O1854" s="361"/>
    </row>
    <row r="1855" spans="14:15" ht="29.1" customHeight="1">
      <c r="N1855" s="361"/>
      <c r="O1855" s="361"/>
    </row>
    <row r="1856" spans="14:15" ht="29.1" customHeight="1">
      <c r="N1856" s="361"/>
      <c r="O1856" s="361"/>
    </row>
    <row r="1857" spans="14:15" ht="29.1" customHeight="1">
      <c r="N1857" s="361"/>
      <c r="O1857" s="361"/>
    </row>
    <row r="1858" spans="14:15" ht="29.1" customHeight="1">
      <c r="N1858" s="361"/>
      <c r="O1858" s="361"/>
    </row>
    <row r="1859" spans="14:15" ht="29.1" customHeight="1">
      <c r="N1859" s="361"/>
      <c r="O1859" s="361"/>
    </row>
    <row r="1860" spans="14:15" ht="29.1" customHeight="1">
      <c r="N1860" s="361"/>
      <c r="O1860" s="361"/>
    </row>
    <row r="1861" spans="14:15" ht="29.1" customHeight="1">
      <c r="N1861" s="361"/>
      <c r="O1861" s="361"/>
    </row>
    <row r="1862" spans="14:15" ht="29.1" customHeight="1">
      <c r="N1862" s="361"/>
      <c r="O1862" s="361"/>
    </row>
    <row r="1863" spans="14:15" ht="29.1" customHeight="1">
      <c r="N1863" s="361"/>
      <c r="O1863" s="361"/>
    </row>
    <row r="1864" spans="14:15" ht="29.1" customHeight="1">
      <c r="N1864" s="361"/>
      <c r="O1864" s="361"/>
    </row>
    <row r="1865" spans="14:15" ht="29.1" customHeight="1">
      <c r="N1865" s="361"/>
      <c r="O1865" s="361"/>
    </row>
    <row r="1866" spans="14:15" ht="29.1" customHeight="1">
      <c r="N1866" s="361"/>
      <c r="O1866" s="361"/>
    </row>
    <row r="1867" spans="14:15" ht="29.1" customHeight="1">
      <c r="N1867" s="361"/>
      <c r="O1867" s="361"/>
    </row>
    <row r="1868" spans="14:15" ht="29.1" customHeight="1">
      <c r="N1868" s="361"/>
      <c r="O1868" s="361"/>
    </row>
    <row r="1869" spans="14:15" ht="29.1" customHeight="1">
      <c r="N1869" s="361"/>
      <c r="O1869" s="361"/>
    </row>
    <row r="1870" spans="14:15" ht="29.1" customHeight="1">
      <c r="N1870" s="361"/>
      <c r="O1870" s="361"/>
    </row>
    <row r="1871" spans="14:15" ht="29.1" customHeight="1">
      <c r="N1871" s="361"/>
      <c r="O1871" s="361"/>
    </row>
    <row r="1872" spans="14:15" ht="29.1" customHeight="1">
      <c r="N1872" s="361"/>
      <c r="O1872" s="361"/>
    </row>
    <row r="1873" spans="14:15" ht="29.1" customHeight="1">
      <c r="N1873" s="361"/>
      <c r="O1873" s="361"/>
    </row>
    <row r="1874" spans="14:15" ht="29.1" customHeight="1">
      <c r="N1874" s="361"/>
      <c r="O1874" s="361"/>
    </row>
    <row r="1875" spans="14:15" ht="29.1" customHeight="1">
      <c r="N1875" s="361"/>
      <c r="O1875" s="361"/>
    </row>
    <row r="1876" spans="14:15" ht="29.1" customHeight="1">
      <c r="N1876" s="361"/>
      <c r="O1876" s="361"/>
    </row>
    <row r="1877" spans="14:15" ht="29.1" customHeight="1">
      <c r="N1877" s="361"/>
      <c r="O1877" s="361"/>
    </row>
    <row r="1878" spans="14:15" ht="29.1" customHeight="1">
      <c r="N1878" s="361"/>
      <c r="O1878" s="361"/>
    </row>
    <row r="1879" spans="14:15" ht="29.1" customHeight="1">
      <c r="N1879" s="361"/>
      <c r="O1879" s="361"/>
    </row>
    <row r="1880" spans="14:15" ht="29.1" customHeight="1">
      <c r="N1880" s="361"/>
      <c r="O1880" s="361"/>
    </row>
    <row r="1881" spans="14:15" ht="29.1" customHeight="1">
      <c r="N1881" s="361"/>
      <c r="O1881" s="361"/>
    </row>
    <row r="1882" spans="14:15" ht="29.1" customHeight="1">
      <c r="N1882" s="361"/>
      <c r="O1882" s="361"/>
    </row>
    <row r="1883" spans="14:15" ht="29.1" customHeight="1">
      <c r="N1883" s="361"/>
      <c r="O1883" s="361"/>
    </row>
    <row r="1884" spans="14:15" ht="29.1" customHeight="1">
      <c r="N1884" s="361"/>
      <c r="O1884" s="361"/>
    </row>
    <row r="1885" spans="14:15" ht="29.1" customHeight="1">
      <c r="N1885" s="361"/>
      <c r="O1885" s="361"/>
    </row>
    <row r="1886" spans="14:15" ht="29.1" customHeight="1">
      <c r="N1886" s="361"/>
      <c r="O1886" s="361"/>
    </row>
    <row r="1887" spans="14:15" ht="29.1" customHeight="1">
      <c r="N1887" s="361"/>
      <c r="O1887" s="361"/>
    </row>
    <row r="1888" spans="14:15" ht="29.1" customHeight="1">
      <c r="N1888" s="361"/>
      <c r="O1888" s="361"/>
    </row>
    <row r="1889" spans="14:15" ht="29.1" customHeight="1">
      <c r="N1889" s="361"/>
      <c r="O1889" s="361"/>
    </row>
    <row r="1890" spans="14:15" ht="29.1" customHeight="1">
      <c r="N1890" s="361"/>
      <c r="O1890" s="361"/>
    </row>
    <row r="1891" spans="14:15" ht="29.1" customHeight="1">
      <c r="N1891" s="361"/>
      <c r="O1891" s="361"/>
    </row>
    <row r="1892" spans="14:15" ht="29.1" customHeight="1">
      <c r="N1892" s="361"/>
      <c r="O1892" s="361"/>
    </row>
    <row r="1893" spans="14:15" ht="29.1" customHeight="1">
      <c r="N1893" s="361"/>
      <c r="O1893" s="361"/>
    </row>
    <row r="1894" spans="14:15" ht="29.1" customHeight="1">
      <c r="N1894" s="361"/>
      <c r="O1894" s="361"/>
    </row>
    <row r="1895" spans="14:15" ht="29.1" customHeight="1">
      <c r="N1895" s="361"/>
      <c r="O1895" s="361"/>
    </row>
    <row r="1896" spans="14:15" ht="29.1" customHeight="1">
      <c r="N1896" s="361"/>
      <c r="O1896" s="361"/>
    </row>
    <row r="1897" spans="14:15" ht="29.1" customHeight="1">
      <c r="N1897" s="361"/>
      <c r="O1897" s="361"/>
    </row>
    <row r="1898" spans="14:15" ht="29.1" customHeight="1">
      <c r="N1898" s="361"/>
      <c r="O1898" s="361"/>
    </row>
    <row r="1899" spans="14:15" ht="29.1" customHeight="1">
      <c r="N1899" s="361"/>
      <c r="O1899" s="361"/>
    </row>
    <row r="1900" spans="14:15" ht="29.1" customHeight="1">
      <c r="N1900" s="361"/>
      <c r="O1900" s="361"/>
    </row>
    <row r="1901" spans="14:15" ht="29.1" customHeight="1">
      <c r="N1901" s="361"/>
      <c r="O1901" s="361"/>
    </row>
    <row r="1902" spans="14:15" ht="29.1" customHeight="1">
      <c r="N1902" s="361"/>
      <c r="O1902" s="361"/>
    </row>
    <row r="1903" spans="14:15" ht="29.1" customHeight="1">
      <c r="N1903" s="361"/>
      <c r="O1903" s="361"/>
    </row>
    <row r="1904" spans="14:15" ht="29.1" customHeight="1">
      <c r="N1904" s="361"/>
      <c r="O1904" s="361"/>
    </row>
    <row r="1905" spans="14:15" ht="29.1" customHeight="1">
      <c r="N1905" s="361"/>
      <c r="O1905" s="361"/>
    </row>
    <row r="1906" spans="14:15" ht="29.1" customHeight="1">
      <c r="N1906" s="361"/>
      <c r="O1906" s="361"/>
    </row>
    <row r="1907" spans="14:15" ht="29.1" customHeight="1">
      <c r="N1907" s="361"/>
      <c r="O1907" s="361"/>
    </row>
    <row r="1908" spans="14:15" ht="29.1" customHeight="1">
      <c r="N1908" s="361"/>
      <c r="O1908" s="361"/>
    </row>
    <row r="1909" spans="14:15" ht="29.1" customHeight="1">
      <c r="N1909" s="361"/>
      <c r="O1909" s="361"/>
    </row>
    <row r="1910" spans="14:15" ht="29.1" customHeight="1">
      <c r="N1910" s="361"/>
      <c r="O1910" s="361"/>
    </row>
    <row r="1911" spans="14:15" ht="29.1" customHeight="1">
      <c r="N1911" s="361"/>
      <c r="O1911" s="361"/>
    </row>
    <row r="1912" spans="14:15" ht="29.1" customHeight="1">
      <c r="N1912" s="361"/>
      <c r="O1912" s="361"/>
    </row>
    <row r="1913" spans="14:15" ht="29.1" customHeight="1">
      <c r="N1913" s="361"/>
      <c r="O1913" s="361"/>
    </row>
    <row r="1914" spans="14:15" ht="29.1" customHeight="1">
      <c r="N1914" s="361"/>
      <c r="O1914" s="361"/>
    </row>
    <row r="1915" spans="14:15" ht="29.1" customHeight="1">
      <c r="N1915" s="361"/>
      <c r="O1915" s="361"/>
    </row>
    <row r="1916" spans="14:15" ht="29.1" customHeight="1">
      <c r="N1916" s="361"/>
      <c r="O1916" s="361"/>
    </row>
    <row r="1917" spans="14:15" ht="29.1" customHeight="1">
      <c r="N1917" s="361"/>
      <c r="O1917" s="361"/>
    </row>
    <row r="1918" spans="14:15" ht="29.1" customHeight="1">
      <c r="N1918" s="361"/>
      <c r="O1918" s="361"/>
    </row>
    <row r="1919" spans="14:15" ht="29.1" customHeight="1">
      <c r="N1919" s="361"/>
      <c r="O1919" s="361"/>
    </row>
    <row r="1920" spans="14:15" ht="29.1" customHeight="1">
      <c r="N1920" s="361"/>
      <c r="O1920" s="361"/>
    </row>
    <row r="1921" spans="14:15" ht="29.1" customHeight="1">
      <c r="N1921" s="361"/>
      <c r="O1921" s="361"/>
    </row>
    <row r="1922" spans="14:15" ht="29.1" customHeight="1">
      <c r="N1922" s="361"/>
      <c r="O1922" s="361"/>
    </row>
    <row r="1923" spans="14:15" ht="29.1" customHeight="1">
      <c r="N1923" s="361"/>
      <c r="O1923" s="361"/>
    </row>
    <row r="1924" spans="14:15" ht="29.1" customHeight="1">
      <c r="N1924" s="361"/>
      <c r="O1924" s="361"/>
    </row>
    <row r="1925" spans="14:15" ht="29.1" customHeight="1">
      <c r="N1925" s="361"/>
      <c r="O1925" s="361"/>
    </row>
    <row r="1926" spans="14:15" ht="29.1" customHeight="1">
      <c r="N1926" s="361"/>
      <c r="O1926" s="361"/>
    </row>
    <row r="1927" spans="14:15" ht="29.1" customHeight="1">
      <c r="N1927" s="361"/>
      <c r="O1927" s="361"/>
    </row>
    <row r="1928" spans="14:15" ht="29.1" customHeight="1">
      <c r="N1928" s="361"/>
      <c r="O1928" s="361"/>
    </row>
    <row r="1929" spans="14:15" ht="29.1" customHeight="1">
      <c r="N1929" s="361"/>
      <c r="O1929" s="361"/>
    </row>
    <row r="1930" spans="14:15" ht="29.1" customHeight="1">
      <c r="N1930" s="361"/>
      <c r="O1930" s="361"/>
    </row>
    <row r="1931" spans="14:15" ht="29.1" customHeight="1">
      <c r="N1931" s="361"/>
      <c r="O1931" s="361"/>
    </row>
    <row r="1932" spans="14:15" ht="29.1" customHeight="1">
      <c r="N1932" s="361"/>
      <c r="O1932" s="361"/>
    </row>
    <row r="1933" spans="14:15" ht="29.1" customHeight="1">
      <c r="N1933" s="361"/>
      <c r="O1933" s="361"/>
    </row>
    <row r="1934" spans="14:15" ht="29.1" customHeight="1">
      <c r="N1934" s="361"/>
      <c r="O1934" s="361"/>
    </row>
    <row r="1935" spans="14:15" ht="29.1" customHeight="1">
      <c r="N1935" s="361"/>
      <c r="O1935" s="361"/>
    </row>
    <row r="1936" spans="14:15" ht="29.1" customHeight="1">
      <c r="N1936" s="361"/>
      <c r="O1936" s="361"/>
    </row>
    <row r="1937" spans="14:15" ht="29.1" customHeight="1">
      <c r="N1937" s="361"/>
      <c r="O1937" s="361"/>
    </row>
    <row r="1938" spans="14:15" ht="29.1" customHeight="1">
      <c r="N1938" s="361"/>
      <c r="O1938" s="361"/>
    </row>
    <row r="1939" spans="14:15" ht="29.1" customHeight="1">
      <c r="N1939" s="361"/>
      <c r="O1939" s="361"/>
    </row>
    <row r="1940" spans="14:15" ht="29.1" customHeight="1">
      <c r="N1940" s="361"/>
      <c r="O1940" s="361"/>
    </row>
    <row r="1941" spans="14:15" ht="29.1" customHeight="1">
      <c r="N1941" s="361"/>
      <c r="O1941" s="361"/>
    </row>
    <row r="1942" spans="14:15" ht="29.1" customHeight="1">
      <c r="N1942" s="361"/>
      <c r="O1942" s="361"/>
    </row>
    <row r="1943" spans="14:15" ht="29.1" customHeight="1">
      <c r="N1943" s="361"/>
      <c r="O1943" s="361"/>
    </row>
    <row r="1944" spans="14:15" ht="29.1" customHeight="1">
      <c r="N1944" s="361"/>
      <c r="O1944" s="361"/>
    </row>
    <row r="1945" spans="14:15" ht="29.1" customHeight="1">
      <c r="N1945" s="361"/>
      <c r="O1945" s="361"/>
    </row>
    <row r="1946" spans="14:15" ht="29.1" customHeight="1">
      <c r="N1946" s="361"/>
      <c r="O1946" s="361"/>
    </row>
    <row r="1947" spans="14:15" ht="29.1" customHeight="1">
      <c r="N1947" s="361"/>
      <c r="O1947" s="361"/>
    </row>
    <row r="1948" spans="14:15" ht="29.1" customHeight="1">
      <c r="N1948" s="361"/>
      <c r="O1948" s="361"/>
    </row>
    <row r="1949" spans="14:15" ht="29.1" customHeight="1">
      <c r="N1949" s="361"/>
      <c r="O1949" s="361"/>
    </row>
    <row r="1950" spans="14:15" ht="29.1" customHeight="1">
      <c r="N1950" s="361"/>
      <c r="O1950" s="361"/>
    </row>
    <row r="1951" spans="14:15" ht="29.1" customHeight="1">
      <c r="N1951" s="361"/>
      <c r="O1951" s="361"/>
    </row>
    <row r="1952" spans="14:15" ht="29.1" customHeight="1">
      <c r="N1952" s="361"/>
      <c r="O1952" s="361"/>
    </row>
    <row r="1953" spans="14:15" ht="29.1" customHeight="1">
      <c r="N1953" s="361"/>
      <c r="O1953" s="361"/>
    </row>
    <row r="1954" spans="14:15" ht="29.1" customHeight="1">
      <c r="N1954" s="361"/>
      <c r="O1954" s="361"/>
    </row>
    <row r="1955" spans="14:15" ht="29.1" customHeight="1">
      <c r="N1955" s="361"/>
      <c r="O1955" s="361"/>
    </row>
    <row r="1956" spans="14:15" ht="29.1" customHeight="1">
      <c r="N1956" s="361"/>
      <c r="O1956" s="361"/>
    </row>
    <row r="1957" spans="14:15" ht="29.1" customHeight="1">
      <c r="N1957" s="361"/>
      <c r="O1957" s="361"/>
    </row>
    <row r="1958" spans="14:15" ht="29.1" customHeight="1">
      <c r="N1958" s="361"/>
      <c r="O1958" s="361"/>
    </row>
    <row r="1959" spans="14:15" ht="29.1" customHeight="1">
      <c r="N1959" s="361"/>
      <c r="O1959" s="361"/>
    </row>
    <row r="1960" spans="14:15" ht="29.1" customHeight="1">
      <c r="N1960" s="361"/>
      <c r="O1960" s="361"/>
    </row>
    <row r="1961" spans="14:15" ht="29.1" customHeight="1">
      <c r="N1961" s="361"/>
      <c r="O1961" s="361"/>
    </row>
    <row r="1962" spans="14:15" ht="29.1" customHeight="1">
      <c r="N1962" s="361"/>
      <c r="O1962" s="361"/>
    </row>
    <row r="1963" spans="14:15" ht="29.1" customHeight="1">
      <c r="N1963" s="361"/>
      <c r="O1963" s="361"/>
    </row>
    <row r="1964" spans="14:15" ht="29.1" customHeight="1">
      <c r="N1964" s="361"/>
      <c r="O1964" s="361"/>
    </row>
    <row r="1965" spans="14:15" ht="29.1" customHeight="1">
      <c r="N1965" s="361"/>
      <c r="O1965" s="361"/>
    </row>
    <row r="1966" spans="14:15" ht="29.1" customHeight="1">
      <c r="N1966" s="361"/>
      <c r="O1966" s="361"/>
    </row>
    <row r="1967" spans="14:15" ht="29.1" customHeight="1">
      <c r="N1967" s="361"/>
      <c r="O1967" s="361"/>
    </row>
    <row r="1968" spans="14:15" ht="29.1" customHeight="1">
      <c r="N1968" s="361"/>
      <c r="O1968" s="361"/>
    </row>
    <row r="1969" spans="14:15" ht="29.1" customHeight="1">
      <c r="N1969" s="361"/>
      <c r="O1969" s="361"/>
    </row>
    <row r="1970" spans="14:15" ht="29.1" customHeight="1">
      <c r="N1970" s="361"/>
      <c r="O1970" s="361"/>
    </row>
    <row r="1971" spans="14:15" ht="29.1" customHeight="1">
      <c r="N1971" s="361"/>
      <c r="O1971" s="361"/>
    </row>
    <row r="1972" spans="14:15" ht="29.1" customHeight="1">
      <c r="N1972" s="361"/>
      <c r="O1972" s="361"/>
    </row>
    <row r="1973" spans="14:15" ht="29.1" customHeight="1">
      <c r="N1973" s="361"/>
      <c r="O1973" s="361"/>
    </row>
    <row r="1974" spans="14:15" ht="29.1" customHeight="1">
      <c r="N1974" s="361"/>
      <c r="O1974" s="361"/>
    </row>
    <row r="1975" spans="14:15" ht="29.1" customHeight="1">
      <c r="N1975" s="361"/>
      <c r="O1975" s="361"/>
    </row>
    <row r="1976" spans="14:15" ht="29.1" customHeight="1">
      <c r="N1976" s="361"/>
      <c r="O1976" s="361"/>
    </row>
    <row r="1977" spans="14:15" ht="29.1" customHeight="1">
      <c r="N1977" s="361"/>
      <c r="O1977" s="361"/>
    </row>
    <row r="1978" spans="14:15" ht="29.1" customHeight="1">
      <c r="N1978" s="361"/>
      <c r="O1978" s="361"/>
    </row>
    <row r="1979" spans="14:15" ht="29.1" customHeight="1">
      <c r="N1979" s="361"/>
      <c r="O1979" s="361"/>
    </row>
    <row r="1980" spans="14:15" ht="29.1" customHeight="1">
      <c r="N1980" s="361"/>
      <c r="O1980" s="361"/>
    </row>
    <row r="1981" spans="14:15" ht="29.1" customHeight="1">
      <c r="N1981" s="361"/>
      <c r="O1981" s="361"/>
    </row>
    <row r="1982" spans="14:15" ht="29.1" customHeight="1">
      <c r="N1982" s="361"/>
      <c r="O1982" s="361"/>
    </row>
    <row r="1983" spans="14:15" ht="29.1" customHeight="1">
      <c r="N1983" s="361"/>
      <c r="O1983" s="361"/>
    </row>
    <row r="1984" spans="14:15" ht="29.1" customHeight="1">
      <c r="N1984" s="361"/>
      <c r="O1984" s="361"/>
    </row>
    <row r="1985" spans="14:15" ht="29.1" customHeight="1">
      <c r="N1985" s="361"/>
      <c r="O1985" s="361"/>
    </row>
    <row r="1986" spans="14:15" ht="29.1" customHeight="1">
      <c r="N1986" s="361"/>
      <c r="O1986" s="361"/>
    </row>
    <row r="1987" spans="14:15" ht="29.1" customHeight="1">
      <c r="N1987" s="361"/>
      <c r="O1987" s="361"/>
    </row>
    <row r="1988" spans="14:15" ht="29.1" customHeight="1">
      <c r="N1988" s="361"/>
      <c r="O1988" s="361"/>
    </row>
    <row r="1989" spans="14:15" ht="29.1" customHeight="1">
      <c r="N1989" s="361"/>
      <c r="O1989" s="361"/>
    </row>
    <row r="1990" spans="14:15" ht="29.1" customHeight="1">
      <c r="N1990" s="361"/>
      <c r="O1990" s="361"/>
    </row>
    <row r="1991" spans="14:15" ht="29.1" customHeight="1">
      <c r="N1991" s="361"/>
      <c r="O1991" s="361"/>
    </row>
    <row r="1992" spans="14:15" ht="29.1" customHeight="1">
      <c r="N1992" s="361"/>
      <c r="O1992" s="361"/>
    </row>
    <row r="1993" spans="14:15" ht="29.1" customHeight="1">
      <c r="N1993" s="361"/>
      <c r="O1993" s="361"/>
    </row>
    <row r="1994" spans="14:15" ht="29.1" customHeight="1">
      <c r="N1994" s="361"/>
      <c r="O1994" s="361"/>
    </row>
    <row r="1995" spans="14:15" ht="29.1" customHeight="1">
      <c r="N1995" s="361"/>
      <c r="O1995" s="361"/>
    </row>
    <row r="1996" spans="14:15" ht="29.1" customHeight="1">
      <c r="N1996" s="361"/>
      <c r="O1996" s="361"/>
    </row>
    <row r="1997" spans="14:15" ht="29.1" customHeight="1">
      <c r="N1997" s="361"/>
      <c r="O1997" s="361"/>
    </row>
    <row r="1998" spans="14:15" ht="29.1" customHeight="1">
      <c r="N1998" s="361"/>
      <c r="O1998" s="361"/>
    </row>
    <row r="1999" spans="14:15" ht="29.1" customHeight="1">
      <c r="N1999" s="361"/>
      <c r="O1999" s="361"/>
    </row>
    <row r="2000" spans="14:15" ht="29.1" customHeight="1">
      <c r="N2000" s="361"/>
      <c r="O2000" s="361"/>
    </row>
    <row r="2001" spans="14:15" ht="29.1" customHeight="1">
      <c r="N2001" s="361"/>
      <c r="O2001" s="361"/>
    </row>
    <row r="2002" spans="14:15" ht="29.1" customHeight="1">
      <c r="N2002" s="361"/>
      <c r="O2002" s="361"/>
    </row>
    <row r="2003" spans="14:15" ht="29.1" customHeight="1">
      <c r="N2003" s="361"/>
      <c r="O2003" s="361"/>
    </row>
    <row r="2004" spans="14:15" ht="29.1" customHeight="1">
      <c r="N2004" s="361"/>
      <c r="O2004" s="361"/>
    </row>
    <row r="2005" spans="14:15" ht="29.1" customHeight="1">
      <c r="N2005" s="361"/>
      <c r="O2005" s="361"/>
    </row>
    <row r="2006" spans="14:15" ht="29.1" customHeight="1">
      <c r="N2006" s="361"/>
      <c r="O2006" s="361"/>
    </row>
    <row r="2007" spans="14:15" ht="29.1" customHeight="1">
      <c r="N2007" s="361"/>
      <c r="O2007" s="361"/>
    </row>
    <row r="2008" spans="14:15" ht="29.1" customHeight="1">
      <c r="N2008" s="361"/>
      <c r="O2008" s="361"/>
    </row>
    <row r="2009" spans="14:15" ht="29.1" customHeight="1">
      <c r="N2009" s="361"/>
      <c r="O2009" s="361"/>
    </row>
    <row r="2010" spans="14:15" ht="29.1" customHeight="1">
      <c r="N2010" s="361"/>
      <c r="O2010" s="361"/>
    </row>
    <row r="2011" spans="14:15" ht="29.1" customHeight="1">
      <c r="N2011" s="361"/>
      <c r="O2011" s="361"/>
    </row>
    <row r="2012" spans="14:15" ht="29.1" customHeight="1">
      <c r="N2012" s="361"/>
      <c r="O2012" s="361"/>
    </row>
    <row r="2013" spans="14:15" ht="29.1" customHeight="1">
      <c r="N2013" s="361"/>
      <c r="O2013" s="361"/>
    </row>
    <row r="2014" spans="14:15" ht="29.1" customHeight="1">
      <c r="N2014" s="361"/>
      <c r="O2014" s="361"/>
    </row>
    <row r="2015" spans="14:15" ht="29.1" customHeight="1">
      <c r="N2015" s="361"/>
      <c r="O2015" s="361"/>
    </row>
    <row r="2016" spans="14:15" ht="29.1" customHeight="1">
      <c r="N2016" s="361"/>
      <c r="O2016" s="361"/>
    </row>
    <row r="2017" spans="14:15" ht="29.1" customHeight="1">
      <c r="N2017" s="361"/>
      <c r="O2017" s="361"/>
    </row>
    <row r="2018" spans="14:15" ht="29.1" customHeight="1">
      <c r="N2018" s="361"/>
      <c r="O2018" s="361"/>
    </row>
    <row r="2019" spans="14:15" ht="29.1" customHeight="1">
      <c r="N2019" s="361"/>
      <c r="O2019" s="361"/>
    </row>
    <row r="2020" spans="14:15" ht="29.1" customHeight="1">
      <c r="N2020" s="361"/>
      <c r="O2020" s="361"/>
    </row>
    <row r="2021" spans="14:15" ht="29.1" customHeight="1">
      <c r="N2021" s="361"/>
      <c r="O2021" s="361"/>
    </row>
    <row r="2022" spans="14:15" ht="29.1" customHeight="1">
      <c r="N2022" s="361"/>
      <c r="O2022" s="361"/>
    </row>
    <row r="2023" spans="14:15" ht="29.1" customHeight="1">
      <c r="N2023" s="361"/>
      <c r="O2023" s="361"/>
    </row>
    <row r="2024" spans="14:15" ht="29.1" customHeight="1">
      <c r="N2024" s="361"/>
      <c r="O2024" s="361"/>
    </row>
    <row r="2025" spans="14:15" ht="29.1" customHeight="1">
      <c r="N2025" s="361"/>
      <c r="O2025" s="361"/>
    </row>
    <row r="2026" spans="14:15" ht="29.1" customHeight="1">
      <c r="N2026" s="361"/>
      <c r="O2026" s="361"/>
    </row>
    <row r="2027" spans="14:15" ht="29.1" customHeight="1">
      <c r="N2027" s="361"/>
      <c r="O2027" s="361"/>
    </row>
    <row r="2028" spans="14:15" ht="29.1" customHeight="1">
      <c r="N2028" s="361"/>
      <c r="O2028" s="361"/>
    </row>
    <row r="2029" spans="14:15" ht="29.1" customHeight="1">
      <c r="N2029" s="361"/>
      <c r="O2029" s="361"/>
    </row>
    <row r="2030" spans="14:15" ht="29.1" customHeight="1">
      <c r="N2030" s="361"/>
      <c r="O2030" s="361"/>
    </row>
    <row r="2031" spans="14:15" ht="29.1" customHeight="1">
      <c r="N2031" s="361"/>
      <c r="O2031" s="361"/>
    </row>
    <row r="2032" spans="14:15" ht="29.1" customHeight="1">
      <c r="N2032" s="361"/>
      <c r="O2032" s="361"/>
    </row>
    <row r="2033" spans="14:15" ht="29.1" customHeight="1">
      <c r="N2033" s="361"/>
      <c r="O2033" s="361"/>
    </row>
    <row r="2034" spans="14:15" ht="29.1" customHeight="1">
      <c r="N2034" s="361"/>
      <c r="O2034" s="361"/>
    </row>
    <row r="2035" spans="14:15" ht="29.1" customHeight="1">
      <c r="N2035" s="361"/>
      <c r="O2035" s="361"/>
    </row>
    <row r="2036" spans="14:15" ht="29.1" customHeight="1">
      <c r="N2036" s="361"/>
      <c r="O2036" s="361"/>
    </row>
    <row r="2037" spans="14:15" ht="29.1" customHeight="1">
      <c r="N2037" s="361"/>
      <c r="O2037" s="361"/>
    </row>
    <row r="2038" spans="14:15" ht="29.1" customHeight="1">
      <c r="N2038" s="361"/>
      <c r="O2038" s="361"/>
    </row>
    <row r="2039" spans="14:15" ht="29.1" customHeight="1">
      <c r="N2039" s="361"/>
      <c r="O2039" s="361"/>
    </row>
    <row r="2040" spans="14:15" ht="29.1" customHeight="1">
      <c r="N2040" s="361"/>
      <c r="O2040" s="361"/>
    </row>
    <row r="2041" spans="14:15" ht="29.1" customHeight="1">
      <c r="N2041" s="361"/>
      <c r="O2041" s="361"/>
    </row>
    <row r="2042" spans="14:15" ht="29.1" customHeight="1">
      <c r="N2042" s="361"/>
      <c r="O2042" s="361"/>
    </row>
    <row r="2043" spans="14:15" ht="29.1" customHeight="1">
      <c r="N2043" s="361"/>
      <c r="O2043" s="361"/>
    </row>
    <row r="2044" spans="14:15" ht="29.1" customHeight="1">
      <c r="N2044" s="361"/>
      <c r="O2044" s="361"/>
    </row>
    <row r="2045" spans="14:15" ht="29.1" customHeight="1">
      <c r="N2045" s="361"/>
      <c r="O2045" s="361"/>
    </row>
    <row r="2046" spans="14:15" ht="29.1" customHeight="1">
      <c r="N2046" s="361"/>
      <c r="O2046" s="361"/>
    </row>
    <row r="2047" spans="14:15" ht="29.1" customHeight="1">
      <c r="N2047" s="361"/>
      <c r="O2047" s="361"/>
    </row>
    <row r="2048" spans="14:15" ht="29.1" customHeight="1">
      <c r="N2048" s="361"/>
      <c r="O2048" s="361"/>
    </row>
    <row r="2049" spans="14:15" ht="29.1" customHeight="1">
      <c r="N2049" s="361"/>
      <c r="O2049" s="361"/>
    </row>
    <row r="2050" spans="14:15" ht="29.1" customHeight="1">
      <c r="N2050" s="361"/>
      <c r="O2050" s="361"/>
    </row>
    <row r="2051" spans="14:15" ht="29.1" customHeight="1">
      <c r="N2051" s="361"/>
      <c r="O2051" s="361"/>
    </row>
    <row r="2052" spans="14:15" ht="29.1" customHeight="1">
      <c r="N2052" s="361"/>
      <c r="O2052" s="361"/>
    </row>
    <row r="2053" spans="14:15" ht="29.1" customHeight="1">
      <c r="N2053" s="361"/>
      <c r="O2053" s="361"/>
    </row>
    <row r="2054" spans="14:15" ht="29.1" customHeight="1">
      <c r="N2054" s="361"/>
      <c r="O2054" s="361"/>
    </row>
    <row r="2055" spans="14:15" ht="29.1" customHeight="1">
      <c r="N2055" s="361"/>
      <c r="O2055" s="361"/>
    </row>
    <row r="2056" spans="14:15" ht="29.1" customHeight="1">
      <c r="N2056" s="361"/>
      <c r="O2056" s="361"/>
    </row>
    <row r="2057" spans="14:15" ht="29.1" customHeight="1">
      <c r="N2057" s="361"/>
      <c r="O2057" s="361"/>
    </row>
    <row r="2058" spans="14:15" ht="29.1" customHeight="1">
      <c r="N2058" s="361"/>
      <c r="O2058" s="361"/>
    </row>
    <row r="2059" spans="14:15" ht="29.1" customHeight="1">
      <c r="N2059" s="361"/>
      <c r="O2059" s="361"/>
    </row>
    <row r="2060" spans="14:15" ht="29.1" customHeight="1">
      <c r="N2060" s="361"/>
      <c r="O2060" s="361"/>
    </row>
    <row r="2061" spans="14:15" ht="29.1" customHeight="1">
      <c r="N2061" s="361"/>
      <c r="O2061" s="361"/>
    </row>
    <row r="2062" spans="14:15" ht="29.1" customHeight="1">
      <c r="N2062" s="361"/>
      <c r="O2062" s="361"/>
    </row>
    <row r="2063" spans="14:15" ht="29.1" customHeight="1">
      <c r="N2063" s="361"/>
      <c r="O2063" s="361"/>
    </row>
    <row r="2064" spans="14:15" ht="29.1" customHeight="1">
      <c r="N2064" s="361"/>
      <c r="O2064" s="361"/>
    </row>
    <row r="2065" spans="14:15" ht="29.1" customHeight="1">
      <c r="N2065" s="361"/>
      <c r="O2065" s="361"/>
    </row>
    <row r="2066" spans="14:15" ht="29.1" customHeight="1">
      <c r="N2066" s="361"/>
      <c r="O2066" s="361"/>
    </row>
    <row r="2067" spans="14:15" ht="29.1" customHeight="1">
      <c r="N2067" s="361"/>
      <c r="O2067" s="361"/>
    </row>
    <row r="2068" spans="14:15" ht="29.1" customHeight="1">
      <c r="N2068" s="361"/>
      <c r="O2068" s="361"/>
    </row>
    <row r="2069" spans="14:15" ht="29.1" customHeight="1">
      <c r="N2069" s="361"/>
      <c r="O2069" s="361"/>
    </row>
    <row r="2070" spans="14:15" ht="29.1" customHeight="1">
      <c r="N2070" s="361"/>
      <c r="O2070" s="361"/>
    </row>
    <row r="2071" spans="14:15" ht="29.1" customHeight="1">
      <c r="N2071" s="361"/>
      <c r="O2071" s="361"/>
    </row>
    <row r="2072" spans="14:15" ht="29.1" customHeight="1">
      <c r="N2072" s="361"/>
      <c r="O2072" s="361"/>
    </row>
    <row r="2073" spans="14:15" ht="29.1" customHeight="1">
      <c r="N2073" s="361"/>
      <c r="O2073" s="361"/>
    </row>
    <row r="2074" spans="14:15" ht="29.1" customHeight="1">
      <c r="N2074" s="361"/>
      <c r="O2074" s="361"/>
    </row>
    <row r="2075" spans="14:15" ht="29.1" customHeight="1">
      <c r="N2075" s="361"/>
      <c r="O2075" s="361"/>
    </row>
    <row r="2076" spans="14:15" ht="29.1" customHeight="1">
      <c r="N2076" s="361"/>
      <c r="O2076" s="361"/>
    </row>
    <row r="2077" spans="14:15" ht="29.1" customHeight="1">
      <c r="N2077" s="361"/>
      <c r="O2077" s="361"/>
    </row>
    <row r="2078" spans="14:15" ht="29.1" customHeight="1">
      <c r="N2078" s="361"/>
      <c r="O2078" s="361"/>
    </row>
    <row r="2079" spans="14:15" ht="29.1" customHeight="1">
      <c r="N2079" s="361"/>
      <c r="O2079" s="361"/>
    </row>
    <row r="2080" spans="14:15" ht="29.1" customHeight="1">
      <c r="N2080" s="361"/>
      <c r="O2080" s="361"/>
    </row>
    <row r="2081" spans="14:15" ht="29.1" customHeight="1">
      <c r="N2081" s="361"/>
      <c r="O2081" s="361"/>
    </row>
    <row r="2082" spans="14:15" ht="29.1" customHeight="1">
      <c r="N2082" s="361"/>
      <c r="O2082" s="361"/>
    </row>
    <row r="2083" spans="14:15" ht="29.1" customHeight="1">
      <c r="N2083" s="361"/>
      <c r="O2083" s="361"/>
    </row>
    <row r="2084" spans="14:15" ht="29.1" customHeight="1">
      <c r="N2084" s="361"/>
      <c r="O2084" s="361"/>
    </row>
    <row r="2085" spans="14:15" ht="29.1" customHeight="1">
      <c r="N2085" s="361"/>
      <c r="O2085" s="361"/>
    </row>
    <row r="2086" spans="14:15" ht="29.1" customHeight="1">
      <c r="N2086" s="361"/>
      <c r="O2086" s="361"/>
    </row>
    <row r="2087" spans="14:15" ht="29.1" customHeight="1">
      <c r="N2087" s="361"/>
      <c r="O2087" s="361"/>
    </row>
    <row r="2088" spans="14:15" ht="29.1" customHeight="1">
      <c r="N2088" s="361"/>
      <c r="O2088" s="361"/>
    </row>
    <row r="2089" spans="14:15" ht="29.1" customHeight="1">
      <c r="N2089" s="361"/>
      <c r="O2089" s="361"/>
    </row>
    <row r="2090" spans="14:15" ht="29.1" customHeight="1">
      <c r="N2090" s="361"/>
      <c r="O2090" s="361"/>
    </row>
    <row r="2091" spans="14:15" ht="29.1" customHeight="1">
      <c r="N2091" s="361"/>
      <c r="O2091" s="361"/>
    </row>
    <row r="2092" spans="14:15" ht="29.1" customHeight="1">
      <c r="N2092" s="361"/>
      <c r="O2092" s="361"/>
    </row>
    <row r="2093" spans="14:15" ht="29.1" customHeight="1">
      <c r="N2093" s="361"/>
      <c r="O2093" s="361"/>
    </row>
    <row r="2094" spans="14:15" ht="29.1" customHeight="1">
      <c r="N2094" s="361"/>
      <c r="O2094" s="361"/>
    </row>
    <row r="2095" spans="14:15" ht="29.1" customHeight="1">
      <c r="N2095" s="361"/>
      <c r="O2095" s="361"/>
    </row>
    <row r="2096" spans="14:15" ht="29.1" customHeight="1">
      <c r="N2096" s="361"/>
      <c r="O2096" s="361"/>
    </row>
    <row r="2097" spans="14:15" ht="29.1" customHeight="1">
      <c r="N2097" s="361"/>
      <c r="O2097" s="361"/>
    </row>
    <row r="2098" spans="14:15" ht="29.1" customHeight="1">
      <c r="N2098" s="361"/>
      <c r="O2098" s="361"/>
    </row>
    <row r="2099" spans="14:15" ht="29.1" customHeight="1">
      <c r="N2099" s="361"/>
      <c r="O2099" s="361"/>
    </row>
    <row r="2100" spans="14:15" ht="29.1" customHeight="1">
      <c r="N2100" s="361"/>
      <c r="O2100" s="361"/>
    </row>
    <row r="2101" spans="14:15" ht="29.1" customHeight="1">
      <c r="N2101" s="361"/>
      <c r="O2101" s="361"/>
    </row>
    <row r="2102" spans="14:15" ht="29.1" customHeight="1">
      <c r="N2102" s="361"/>
      <c r="O2102" s="361"/>
    </row>
    <row r="2103" spans="14:15" ht="29.1" customHeight="1">
      <c r="N2103" s="361"/>
      <c r="O2103" s="361"/>
    </row>
    <row r="2104" spans="14:15" ht="29.1" customHeight="1">
      <c r="N2104" s="361"/>
      <c r="O2104" s="361"/>
    </row>
    <row r="2105" spans="14:15" ht="29.1" customHeight="1">
      <c r="N2105" s="361"/>
      <c r="O2105" s="361"/>
    </row>
    <row r="2106" spans="14:15" ht="29.1" customHeight="1">
      <c r="N2106" s="361"/>
      <c r="O2106" s="361"/>
    </row>
    <row r="2107" spans="14:15" ht="29.1" customHeight="1">
      <c r="N2107" s="361"/>
      <c r="O2107" s="361"/>
    </row>
    <row r="2108" spans="14:15" ht="29.1" customHeight="1">
      <c r="N2108" s="361"/>
      <c r="O2108" s="361"/>
    </row>
    <row r="2109" spans="14:15" ht="29.1" customHeight="1">
      <c r="N2109" s="361"/>
      <c r="O2109" s="361"/>
    </row>
    <row r="2110" spans="14:15" ht="29.1" customHeight="1">
      <c r="N2110" s="361"/>
      <c r="O2110" s="361"/>
    </row>
    <row r="2111" spans="14:15" ht="29.1" customHeight="1">
      <c r="N2111" s="361"/>
      <c r="O2111" s="361"/>
    </row>
    <row r="2112" spans="14:15" ht="29.1" customHeight="1">
      <c r="N2112" s="361"/>
      <c r="O2112" s="361"/>
    </row>
    <row r="2113" spans="14:15" ht="29.1" customHeight="1">
      <c r="N2113" s="361"/>
      <c r="O2113" s="361"/>
    </row>
    <row r="2114" spans="14:15" ht="29.1" customHeight="1">
      <c r="N2114" s="361"/>
      <c r="O2114" s="361"/>
    </row>
    <row r="2115" spans="14:15" ht="29.1" customHeight="1">
      <c r="N2115" s="361"/>
      <c r="O2115" s="361"/>
    </row>
    <row r="2116" spans="14:15" ht="29.1" customHeight="1">
      <c r="N2116" s="361"/>
      <c r="O2116" s="361"/>
    </row>
    <row r="2117" spans="14:15" ht="29.1" customHeight="1">
      <c r="N2117" s="361"/>
      <c r="O2117" s="361"/>
    </row>
    <row r="2118" spans="14:15" ht="29.1" customHeight="1">
      <c r="N2118" s="361"/>
      <c r="O2118" s="361"/>
    </row>
    <row r="2119" spans="14:15" ht="29.1" customHeight="1">
      <c r="N2119" s="361"/>
      <c r="O2119" s="361"/>
    </row>
    <row r="2120" spans="14:15" ht="29.1" customHeight="1">
      <c r="N2120" s="361"/>
      <c r="O2120" s="361"/>
    </row>
    <row r="2121" spans="14:15" ht="29.1" customHeight="1">
      <c r="N2121" s="361"/>
      <c r="O2121" s="361"/>
    </row>
    <row r="2122" spans="14:15" ht="29.1" customHeight="1">
      <c r="N2122" s="361"/>
      <c r="O2122" s="361"/>
    </row>
    <row r="2123" spans="14:15" ht="29.1" customHeight="1">
      <c r="N2123" s="361"/>
      <c r="O2123" s="361"/>
    </row>
    <row r="2124" spans="14:15" ht="29.1" customHeight="1">
      <c r="N2124" s="361"/>
      <c r="O2124" s="361"/>
    </row>
    <row r="2125" spans="14:15" ht="29.1" customHeight="1">
      <c r="N2125" s="361"/>
      <c r="O2125" s="361"/>
    </row>
    <row r="2126" spans="14:15" ht="29.1" customHeight="1">
      <c r="N2126" s="361"/>
      <c r="O2126" s="361"/>
    </row>
    <row r="2127" spans="14:15" ht="29.1" customHeight="1">
      <c r="N2127" s="361"/>
      <c r="O2127" s="361"/>
    </row>
    <row r="2128" spans="14:15" ht="29.1" customHeight="1">
      <c r="N2128" s="361"/>
      <c r="O2128" s="361"/>
    </row>
    <row r="2129" spans="14:15" ht="29.1" customHeight="1">
      <c r="N2129" s="361"/>
      <c r="O2129" s="361"/>
    </row>
    <row r="2130" spans="14:15" ht="29.1" customHeight="1">
      <c r="N2130" s="361"/>
      <c r="O2130" s="361"/>
    </row>
    <row r="2131" spans="14:15" ht="29.1" customHeight="1">
      <c r="N2131" s="361"/>
      <c r="O2131" s="361"/>
    </row>
    <row r="2132" spans="14:15" ht="29.1" customHeight="1">
      <c r="N2132" s="361"/>
      <c r="O2132" s="361"/>
    </row>
    <row r="2133" spans="14:15" ht="29.1" customHeight="1">
      <c r="N2133" s="361"/>
      <c r="O2133" s="361"/>
    </row>
    <row r="2134" spans="14:15" ht="29.1" customHeight="1">
      <c r="N2134" s="361"/>
      <c r="O2134" s="361"/>
    </row>
    <row r="2135" spans="14:15" ht="29.1" customHeight="1">
      <c r="N2135" s="361"/>
      <c r="O2135" s="361"/>
    </row>
    <row r="2136" spans="14:15" ht="29.1" customHeight="1">
      <c r="N2136" s="361"/>
      <c r="O2136" s="361"/>
    </row>
    <row r="2137" spans="14:15" ht="29.1" customHeight="1">
      <c r="N2137" s="361"/>
      <c r="O2137" s="361"/>
    </row>
    <row r="2138" spans="14:15" ht="29.1" customHeight="1">
      <c r="N2138" s="361"/>
      <c r="O2138" s="361"/>
    </row>
    <row r="2139" spans="14:15" ht="29.1" customHeight="1">
      <c r="N2139" s="361"/>
      <c r="O2139" s="361"/>
    </row>
    <row r="2140" spans="14:15" ht="29.1" customHeight="1">
      <c r="N2140" s="361"/>
      <c r="O2140" s="361"/>
    </row>
    <row r="2141" spans="14:15" ht="29.1" customHeight="1">
      <c r="N2141" s="361"/>
      <c r="O2141" s="361"/>
    </row>
    <row r="2142" spans="14:15" ht="29.1" customHeight="1">
      <c r="N2142" s="361"/>
      <c r="O2142" s="361"/>
    </row>
    <row r="2143" spans="14:15" ht="29.1" customHeight="1">
      <c r="N2143" s="361"/>
      <c r="O2143" s="361"/>
    </row>
    <row r="2144" spans="14:15" ht="29.1" customHeight="1">
      <c r="N2144" s="361"/>
      <c r="O2144" s="361"/>
    </row>
    <row r="2145" spans="14:15" ht="29.1" customHeight="1">
      <c r="N2145" s="361"/>
      <c r="O2145" s="361"/>
    </row>
    <row r="2146" spans="14:15" ht="29.1" customHeight="1">
      <c r="N2146" s="361"/>
      <c r="O2146" s="361"/>
    </row>
    <row r="2147" spans="14:15" ht="29.1" customHeight="1">
      <c r="N2147" s="361"/>
      <c r="O2147" s="361"/>
    </row>
    <row r="2148" spans="14:15" ht="29.1" customHeight="1">
      <c r="N2148" s="361"/>
      <c r="O2148" s="361"/>
    </row>
    <row r="2149" spans="14:15" ht="29.1" customHeight="1">
      <c r="N2149" s="361"/>
      <c r="O2149" s="361"/>
    </row>
    <row r="2150" spans="14:15" ht="29.1" customHeight="1">
      <c r="N2150" s="361"/>
      <c r="O2150" s="361"/>
    </row>
    <row r="2151" spans="14:15" ht="29.1" customHeight="1">
      <c r="N2151" s="361"/>
      <c r="O2151" s="361"/>
    </row>
    <row r="2152" spans="14:15" ht="29.1" customHeight="1">
      <c r="N2152" s="361"/>
      <c r="O2152" s="361"/>
    </row>
    <row r="2153" spans="14:15" ht="29.1" customHeight="1">
      <c r="N2153" s="361"/>
      <c r="O2153" s="361"/>
    </row>
    <row r="2154" spans="14:15" ht="29.1" customHeight="1">
      <c r="N2154" s="361"/>
      <c r="O2154" s="361"/>
    </row>
    <row r="2155" spans="14:15" ht="29.1" customHeight="1">
      <c r="N2155" s="361"/>
      <c r="O2155" s="361"/>
    </row>
    <row r="2156" spans="14:15" ht="29.1" customHeight="1">
      <c r="N2156" s="361"/>
      <c r="O2156" s="361"/>
    </row>
    <row r="2157" spans="14:15" ht="29.1" customHeight="1">
      <c r="N2157" s="361"/>
      <c r="O2157" s="361"/>
    </row>
    <row r="2158" spans="14:15" ht="29.1" customHeight="1">
      <c r="N2158" s="361"/>
      <c r="O2158" s="361"/>
    </row>
    <row r="2159" spans="14:15" ht="29.1" customHeight="1">
      <c r="N2159" s="361"/>
      <c r="O2159" s="361"/>
    </row>
    <row r="2160" spans="14:15" ht="29.1" customHeight="1">
      <c r="N2160" s="361"/>
      <c r="O2160" s="361"/>
    </row>
    <row r="2161" spans="14:15" ht="29.1" customHeight="1">
      <c r="N2161" s="361"/>
      <c r="O2161" s="361"/>
    </row>
    <row r="2162" spans="14:15" ht="29.1" customHeight="1">
      <c r="N2162" s="361"/>
      <c r="O2162" s="361"/>
    </row>
    <row r="2163" spans="14:15" ht="29.1" customHeight="1">
      <c r="N2163" s="361"/>
      <c r="O2163" s="361"/>
    </row>
    <row r="2164" spans="14:15" ht="29.1" customHeight="1">
      <c r="N2164" s="361"/>
      <c r="O2164" s="361"/>
    </row>
    <row r="2165" spans="14:15" ht="29.1" customHeight="1">
      <c r="N2165" s="361"/>
      <c r="O2165" s="361"/>
    </row>
    <row r="2166" spans="14:15" ht="29.1" customHeight="1">
      <c r="N2166" s="361"/>
      <c r="O2166" s="361"/>
    </row>
    <row r="2167" spans="14:15" ht="29.1" customHeight="1">
      <c r="N2167" s="361"/>
      <c r="O2167" s="361"/>
    </row>
    <row r="2168" spans="14:15" ht="29.1" customHeight="1">
      <c r="N2168" s="361"/>
      <c r="O2168" s="361"/>
    </row>
    <row r="2169" spans="14:15" ht="29.1" customHeight="1">
      <c r="N2169" s="361"/>
      <c r="O2169" s="361"/>
    </row>
    <row r="2170" spans="14:15" ht="29.1" customHeight="1">
      <c r="N2170" s="361"/>
      <c r="O2170" s="361"/>
    </row>
    <row r="2171" spans="14:15" ht="29.1" customHeight="1">
      <c r="N2171" s="361"/>
      <c r="O2171" s="361"/>
    </row>
    <row r="2172" spans="14:15" ht="29.1" customHeight="1">
      <c r="N2172" s="361"/>
      <c r="O2172" s="361"/>
    </row>
    <row r="2173" spans="14:15" ht="29.1" customHeight="1">
      <c r="N2173" s="361"/>
      <c r="O2173" s="361"/>
    </row>
    <row r="2174" spans="14:15" ht="29.1" customHeight="1">
      <c r="N2174" s="361"/>
      <c r="O2174" s="361"/>
    </row>
    <row r="2175" spans="14:15" ht="29.1" customHeight="1">
      <c r="N2175" s="361"/>
      <c r="O2175" s="361"/>
    </row>
    <row r="2176" spans="14:15" ht="29.1" customHeight="1">
      <c r="N2176" s="361"/>
      <c r="O2176" s="361"/>
    </row>
    <row r="2177" spans="14:15" ht="29.1" customHeight="1">
      <c r="N2177" s="361"/>
      <c r="O2177" s="361"/>
    </row>
    <row r="2178" spans="14:15" ht="29.1" customHeight="1">
      <c r="N2178" s="361"/>
      <c r="O2178" s="361"/>
    </row>
    <row r="2179" spans="14:15" ht="29.1" customHeight="1">
      <c r="N2179" s="361"/>
      <c r="O2179" s="361"/>
    </row>
    <row r="2180" spans="14:15" ht="29.1" customHeight="1">
      <c r="N2180" s="361"/>
      <c r="O2180" s="361"/>
    </row>
    <row r="2181" spans="14:15" ht="29.1" customHeight="1">
      <c r="N2181" s="361"/>
      <c r="O2181" s="361"/>
    </row>
    <row r="2182" spans="14:15" ht="29.1" customHeight="1">
      <c r="N2182" s="361"/>
      <c r="O2182" s="361"/>
    </row>
    <row r="2183" spans="14:15" ht="29.1" customHeight="1">
      <c r="N2183" s="361"/>
      <c r="O2183" s="361"/>
    </row>
    <row r="2184" spans="14:15" ht="29.1" customHeight="1">
      <c r="N2184" s="361"/>
      <c r="O2184" s="361"/>
    </row>
    <row r="2185" spans="14:15" ht="29.1" customHeight="1">
      <c r="N2185" s="361"/>
      <c r="O2185" s="361"/>
    </row>
    <row r="2186" spans="14:15" ht="29.1" customHeight="1">
      <c r="N2186" s="361"/>
      <c r="O2186" s="361"/>
    </row>
    <row r="2187" spans="14:15" ht="29.1" customHeight="1">
      <c r="N2187" s="361"/>
      <c r="O2187" s="361"/>
    </row>
    <row r="2188" spans="14:15" ht="29.1" customHeight="1">
      <c r="N2188" s="361"/>
      <c r="O2188" s="361"/>
    </row>
    <row r="2189" spans="14:15" ht="29.1" customHeight="1">
      <c r="N2189" s="361"/>
      <c r="O2189" s="361"/>
    </row>
    <row r="2190" spans="14:15" ht="29.1" customHeight="1">
      <c r="N2190" s="361"/>
      <c r="O2190" s="361"/>
    </row>
    <row r="2191" spans="14:15" ht="29.1" customHeight="1">
      <c r="N2191" s="361"/>
      <c r="O2191" s="361"/>
    </row>
    <row r="2192" spans="14:15" ht="29.1" customHeight="1">
      <c r="N2192" s="361"/>
      <c r="O2192" s="361"/>
    </row>
    <row r="2193" spans="14:15" ht="29.1" customHeight="1">
      <c r="N2193" s="361"/>
      <c r="O2193" s="361"/>
    </row>
    <row r="2194" spans="14:15" ht="29.1" customHeight="1">
      <c r="N2194" s="361"/>
      <c r="O2194" s="361"/>
    </row>
    <row r="2195" spans="14:15" ht="29.1" customHeight="1">
      <c r="N2195" s="361"/>
      <c r="O2195" s="361"/>
    </row>
    <row r="2196" spans="14:15" ht="29.1" customHeight="1">
      <c r="N2196" s="361"/>
      <c r="O2196" s="361"/>
    </row>
    <row r="2197" spans="14:15" ht="29.1" customHeight="1">
      <c r="N2197" s="361"/>
      <c r="O2197" s="361"/>
    </row>
    <row r="2198" spans="14:15" ht="29.1" customHeight="1">
      <c r="N2198" s="361"/>
      <c r="O2198" s="361"/>
    </row>
    <row r="2199" spans="14:15" ht="29.1" customHeight="1">
      <c r="N2199" s="361"/>
      <c r="O2199" s="361"/>
    </row>
    <row r="2200" spans="14:15" ht="29.1" customHeight="1">
      <c r="N2200" s="361"/>
      <c r="O2200" s="361"/>
    </row>
    <row r="2201" spans="14:15" ht="29.1" customHeight="1">
      <c r="N2201" s="361"/>
      <c r="O2201" s="361"/>
    </row>
    <row r="2202" spans="14:15" ht="29.1" customHeight="1">
      <c r="N2202" s="361"/>
      <c r="O2202" s="361"/>
    </row>
    <row r="2203" spans="14:15" ht="29.1" customHeight="1">
      <c r="N2203" s="361"/>
      <c r="O2203" s="361"/>
    </row>
    <row r="2204" spans="14:15" ht="29.1" customHeight="1">
      <c r="N2204" s="361"/>
      <c r="O2204" s="361"/>
    </row>
    <row r="2205" spans="14:15" ht="29.1" customHeight="1">
      <c r="N2205" s="361"/>
      <c r="O2205" s="361"/>
    </row>
    <row r="2206" spans="14:15" ht="29.1" customHeight="1">
      <c r="N2206" s="361"/>
      <c r="O2206" s="361"/>
    </row>
    <row r="2207" spans="14:15" ht="29.1" customHeight="1">
      <c r="N2207" s="361"/>
      <c r="O2207" s="361"/>
    </row>
    <row r="2208" spans="14:15" ht="29.1" customHeight="1">
      <c r="N2208" s="361"/>
      <c r="O2208" s="361"/>
    </row>
    <row r="2209" spans="14:15" ht="29.1" customHeight="1">
      <c r="N2209" s="361"/>
      <c r="O2209" s="361"/>
    </row>
    <row r="2210" spans="14:15" ht="29.1" customHeight="1">
      <c r="N2210" s="361"/>
      <c r="O2210" s="361"/>
    </row>
    <row r="2211" spans="14:15" ht="29.1" customHeight="1">
      <c r="N2211" s="361"/>
      <c r="O2211" s="361"/>
    </row>
    <row r="2212" spans="14:15" ht="29.1" customHeight="1">
      <c r="N2212" s="361"/>
      <c r="O2212" s="361"/>
    </row>
    <row r="2213" spans="14:15" ht="29.1" customHeight="1">
      <c r="N2213" s="361"/>
      <c r="O2213" s="361"/>
    </row>
    <row r="2214" spans="14:15" ht="29.1" customHeight="1">
      <c r="N2214" s="361"/>
      <c r="O2214" s="361"/>
    </row>
    <row r="2215" spans="14:15" ht="29.1" customHeight="1">
      <c r="N2215" s="361"/>
      <c r="O2215" s="361"/>
    </row>
    <row r="2216" spans="14:15" ht="29.1" customHeight="1">
      <c r="N2216" s="361"/>
      <c r="O2216" s="361"/>
    </row>
    <row r="2217" spans="14:15" ht="29.1" customHeight="1">
      <c r="N2217" s="361"/>
      <c r="O2217" s="361"/>
    </row>
    <row r="2218" spans="14:15" ht="29.1" customHeight="1">
      <c r="N2218" s="361"/>
      <c r="O2218" s="361"/>
    </row>
    <row r="2219" spans="14:15" ht="29.1" customHeight="1">
      <c r="N2219" s="361"/>
      <c r="O2219" s="361"/>
    </row>
    <row r="2220" spans="14:15" ht="29.1" customHeight="1">
      <c r="N2220" s="361"/>
      <c r="O2220" s="361"/>
    </row>
    <row r="2221" spans="14:15" ht="29.1" customHeight="1">
      <c r="N2221" s="361"/>
      <c r="O2221" s="361"/>
    </row>
    <row r="2222" spans="14:15" ht="29.1" customHeight="1">
      <c r="N2222" s="361"/>
      <c r="O2222" s="361"/>
    </row>
    <row r="2223" spans="14:15" ht="29.1" customHeight="1">
      <c r="N2223" s="361"/>
      <c r="O2223" s="361"/>
    </row>
    <row r="2224" spans="14:15" ht="29.1" customHeight="1">
      <c r="N2224" s="361"/>
      <c r="O2224" s="361"/>
    </row>
    <row r="2225" spans="14:15" ht="29.1" customHeight="1">
      <c r="N2225" s="361"/>
      <c r="O2225" s="361"/>
    </row>
    <row r="2226" spans="14:15" ht="29.1" customHeight="1">
      <c r="N2226" s="361"/>
      <c r="O2226" s="361"/>
    </row>
    <row r="2227" spans="14:15" ht="29.1" customHeight="1">
      <c r="N2227" s="361"/>
      <c r="O2227" s="361"/>
    </row>
    <row r="2228" spans="14:15" ht="29.1" customHeight="1">
      <c r="N2228" s="361"/>
      <c r="O2228" s="361"/>
    </row>
    <row r="2229" spans="14:15" ht="29.1" customHeight="1">
      <c r="N2229" s="361"/>
      <c r="O2229" s="361"/>
    </row>
    <row r="2230" spans="14:15" ht="29.1" customHeight="1">
      <c r="N2230" s="361"/>
      <c r="O2230" s="361"/>
    </row>
    <row r="2231" spans="14:15" ht="29.1" customHeight="1">
      <c r="N2231" s="361"/>
      <c r="O2231" s="361"/>
    </row>
    <row r="2232" spans="14:15" ht="29.1" customHeight="1">
      <c r="N2232" s="361"/>
      <c r="O2232" s="361"/>
    </row>
    <row r="2233" spans="14:15" ht="29.1" customHeight="1">
      <c r="N2233" s="361"/>
      <c r="O2233" s="361"/>
    </row>
    <row r="2234" spans="14:15" ht="29.1" customHeight="1">
      <c r="N2234" s="361"/>
      <c r="O2234" s="361"/>
    </row>
    <row r="2235" spans="14:15" ht="29.1" customHeight="1">
      <c r="N2235" s="361"/>
      <c r="O2235" s="361"/>
    </row>
    <row r="2236" spans="14:15" ht="29.1" customHeight="1">
      <c r="N2236" s="361"/>
      <c r="O2236" s="361"/>
    </row>
    <row r="2237" spans="14:15" ht="29.1" customHeight="1">
      <c r="N2237" s="361"/>
      <c r="O2237" s="361"/>
    </row>
    <row r="2238" spans="14:15" ht="29.1" customHeight="1">
      <c r="N2238" s="361"/>
      <c r="O2238" s="361"/>
    </row>
    <row r="2239" spans="14:15" ht="29.1" customHeight="1">
      <c r="N2239" s="361"/>
      <c r="O2239" s="361"/>
    </row>
    <row r="2240" spans="14:15" ht="29.1" customHeight="1">
      <c r="N2240" s="361"/>
      <c r="O2240" s="361"/>
    </row>
    <row r="2241" spans="14:15" ht="29.1" customHeight="1">
      <c r="N2241" s="361"/>
      <c r="O2241" s="361"/>
    </row>
    <row r="2242" spans="14:15" ht="29.1" customHeight="1">
      <c r="N2242" s="361"/>
      <c r="O2242" s="361"/>
    </row>
    <row r="2243" spans="14:15" ht="29.1" customHeight="1">
      <c r="N2243" s="361"/>
      <c r="O2243" s="361"/>
    </row>
    <row r="2244" spans="14:15" ht="29.1" customHeight="1">
      <c r="N2244" s="361"/>
      <c r="O2244" s="361"/>
    </row>
    <row r="2245" spans="14:15" ht="29.1" customHeight="1">
      <c r="N2245" s="361"/>
      <c r="O2245" s="361"/>
    </row>
    <row r="2246" spans="14:15" ht="29.1" customHeight="1">
      <c r="N2246" s="361"/>
      <c r="O2246" s="361"/>
    </row>
    <row r="2247" spans="14:15" ht="29.1" customHeight="1">
      <c r="N2247" s="361"/>
      <c r="O2247" s="361"/>
    </row>
    <row r="2248" spans="14:15" ht="29.1" customHeight="1">
      <c r="N2248" s="361"/>
      <c r="O2248" s="361"/>
    </row>
    <row r="2249" spans="14:15" ht="29.1" customHeight="1">
      <c r="N2249" s="361"/>
      <c r="O2249" s="361"/>
    </row>
    <row r="2250" spans="14:15" ht="29.1" customHeight="1">
      <c r="N2250" s="361"/>
      <c r="O2250" s="361"/>
    </row>
    <row r="2251" spans="14:15" ht="29.1" customHeight="1">
      <c r="N2251" s="361"/>
      <c r="O2251" s="361"/>
    </row>
    <row r="2252" spans="14:15" ht="29.1" customHeight="1">
      <c r="N2252" s="361"/>
      <c r="O2252" s="361"/>
    </row>
    <row r="2253" spans="14:15" ht="29.1" customHeight="1">
      <c r="N2253" s="361"/>
      <c r="O2253" s="361"/>
    </row>
    <row r="2254" spans="14:15" ht="29.1" customHeight="1">
      <c r="N2254" s="361"/>
      <c r="O2254" s="361"/>
    </row>
    <row r="2255" spans="14:15" ht="29.1" customHeight="1">
      <c r="N2255" s="361"/>
      <c r="O2255" s="361"/>
    </row>
    <row r="2256" spans="14:15" ht="29.1" customHeight="1">
      <c r="N2256" s="361"/>
      <c r="O2256" s="361"/>
    </row>
    <row r="2257" spans="14:15" ht="29.1" customHeight="1">
      <c r="N2257" s="361"/>
      <c r="O2257" s="361"/>
    </row>
    <row r="2258" spans="14:15" ht="29.1" customHeight="1">
      <c r="N2258" s="361"/>
      <c r="O2258" s="361"/>
    </row>
    <row r="2259" spans="14:15" ht="29.1" customHeight="1">
      <c r="N2259" s="361"/>
      <c r="O2259" s="361"/>
    </row>
    <row r="2260" spans="14:15" ht="29.1" customHeight="1">
      <c r="N2260" s="361"/>
      <c r="O2260" s="361"/>
    </row>
    <row r="2261" spans="14:15" ht="29.1" customHeight="1">
      <c r="N2261" s="361"/>
      <c r="O2261" s="361"/>
    </row>
    <row r="2262" spans="14:15" ht="29.1" customHeight="1">
      <c r="N2262" s="361"/>
      <c r="O2262" s="361"/>
    </row>
    <row r="2263" spans="14:15" ht="29.1" customHeight="1">
      <c r="N2263" s="361"/>
      <c r="O2263" s="361"/>
    </row>
    <row r="2264" spans="14:15" ht="29.1" customHeight="1">
      <c r="N2264" s="361"/>
      <c r="O2264" s="361"/>
    </row>
    <row r="2265" spans="14:15" ht="29.1" customHeight="1">
      <c r="N2265" s="361"/>
      <c r="O2265" s="361"/>
    </row>
    <row r="2266" spans="14:15" ht="29.1" customHeight="1">
      <c r="N2266" s="361"/>
      <c r="O2266" s="361"/>
    </row>
    <row r="2267" spans="14:15" ht="29.1" customHeight="1">
      <c r="N2267" s="361"/>
      <c r="O2267" s="361"/>
    </row>
    <row r="2268" spans="14:15" ht="29.1" customHeight="1">
      <c r="N2268" s="361"/>
      <c r="O2268" s="361"/>
    </row>
    <row r="2269" spans="14:15" ht="29.1" customHeight="1">
      <c r="N2269" s="361"/>
      <c r="O2269" s="361"/>
    </row>
    <row r="2270" spans="14:15" ht="29.1" customHeight="1">
      <c r="N2270" s="361"/>
      <c r="O2270" s="361"/>
    </row>
    <row r="2271" spans="14:15" ht="29.1" customHeight="1">
      <c r="N2271" s="361"/>
      <c r="O2271" s="361"/>
    </row>
    <row r="2272" spans="14:15" ht="29.1" customHeight="1">
      <c r="N2272" s="361"/>
      <c r="O2272" s="361"/>
    </row>
    <row r="2273" spans="14:15" ht="29.1" customHeight="1">
      <c r="N2273" s="361"/>
      <c r="O2273" s="361"/>
    </row>
    <row r="2274" spans="14:15" ht="29.1" customHeight="1">
      <c r="N2274" s="361"/>
      <c r="O2274" s="361"/>
    </row>
    <row r="2275" spans="14:15" ht="29.1" customHeight="1">
      <c r="N2275" s="361"/>
      <c r="O2275" s="361"/>
    </row>
    <row r="2276" spans="14:15" ht="29.1" customHeight="1">
      <c r="N2276" s="361"/>
      <c r="O2276" s="361"/>
    </row>
    <row r="2277" spans="14:15" ht="29.1" customHeight="1">
      <c r="N2277" s="361"/>
      <c r="O2277" s="361"/>
    </row>
    <row r="2278" spans="14:15" ht="29.1" customHeight="1">
      <c r="N2278" s="361"/>
      <c r="O2278" s="361"/>
    </row>
    <row r="2279" spans="14:15" ht="29.1" customHeight="1">
      <c r="N2279" s="361"/>
      <c r="O2279" s="361"/>
    </row>
    <row r="2280" spans="14:15" ht="29.1" customHeight="1">
      <c r="N2280" s="361"/>
      <c r="O2280" s="361"/>
    </row>
    <row r="2281" spans="14:15" ht="29.1" customHeight="1">
      <c r="N2281" s="361"/>
      <c r="O2281" s="361"/>
    </row>
    <row r="2282" spans="14:15" ht="29.1" customHeight="1">
      <c r="N2282" s="361"/>
      <c r="O2282" s="361"/>
    </row>
    <row r="2283" spans="14:15" ht="29.1" customHeight="1">
      <c r="N2283" s="361"/>
      <c r="O2283" s="361"/>
    </row>
    <row r="2284" spans="14:15" ht="29.1" customHeight="1">
      <c r="N2284" s="361"/>
      <c r="O2284" s="361"/>
    </row>
    <row r="2285" spans="14:15" ht="29.1" customHeight="1">
      <c r="N2285" s="361"/>
      <c r="O2285" s="361"/>
    </row>
    <row r="2286" spans="14:15" ht="29.1" customHeight="1">
      <c r="N2286" s="361"/>
      <c r="O2286" s="361"/>
    </row>
    <row r="2287" spans="14:15" ht="29.1" customHeight="1">
      <c r="N2287" s="361"/>
      <c r="O2287" s="361"/>
    </row>
    <row r="2288" spans="14:15" ht="29.1" customHeight="1">
      <c r="N2288" s="361"/>
      <c r="O2288" s="361"/>
    </row>
    <row r="2289" spans="14:15" ht="29.1" customHeight="1">
      <c r="N2289" s="361"/>
      <c r="O2289" s="361"/>
    </row>
    <row r="2290" spans="14:15" ht="29.1" customHeight="1">
      <c r="N2290" s="361"/>
      <c r="O2290" s="361"/>
    </row>
    <row r="2291" spans="14:15" ht="29.1" customHeight="1">
      <c r="N2291" s="361"/>
      <c r="O2291" s="361"/>
    </row>
    <row r="2292" spans="14:15" ht="29.1" customHeight="1">
      <c r="N2292" s="361"/>
      <c r="O2292" s="361"/>
    </row>
    <row r="2293" spans="14:15" ht="29.1" customHeight="1">
      <c r="N2293" s="361"/>
      <c r="O2293" s="361"/>
    </row>
    <row r="2294" spans="14:15" ht="29.1" customHeight="1">
      <c r="N2294" s="361"/>
      <c r="O2294" s="361"/>
    </row>
    <row r="2295" spans="14:15" ht="29.1" customHeight="1">
      <c r="N2295" s="361"/>
      <c r="O2295" s="361"/>
    </row>
    <row r="2296" spans="14:15" ht="29.1" customHeight="1">
      <c r="N2296" s="361"/>
      <c r="O2296" s="361"/>
    </row>
    <row r="2297" spans="14:15" ht="29.1" customHeight="1">
      <c r="N2297" s="361"/>
      <c r="O2297" s="361"/>
    </row>
    <row r="2298" spans="14:15" ht="29.1" customHeight="1">
      <c r="N2298" s="361"/>
      <c r="O2298" s="361"/>
    </row>
    <row r="2299" spans="14:15" ht="29.1" customHeight="1">
      <c r="N2299" s="361"/>
      <c r="O2299" s="361"/>
    </row>
    <row r="2300" spans="14:15" ht="29.1" customHeight="1">
      <c r="N2300" s="361"/>
      <c r="O2300" s="361"/>
    </row>
    <row r="2301" spans="14:15" ht="29.1" customHeight="1">
      <c r="N2301" s="361"/>
      <c r="O2301" s="361"/>
    </row>
    <row r="2302" spans="14:15" ht="29.1" customHeight="1">
      <c r="N2302" s="361"/>
      <c r="O2302" s="361"/>
    </row>
    <row r="2303" spans="14:15" ht="29.1" customHeight="1">
      <c r="N2303" s="361"/>
      <c r="O2303" s="361"/>
    </row>
    <row r="2304" spans="14:15" ht="29.1" customHeight="1">
      <c r="N2304" s="361"/>
      <c r="O2304" s="361"/>
    </row>
    <row r="2305" spans="14:15" ht="29.1" customHeight="1">
      <c r="N2305" s="361"/>
      <c r="O2305" s="361"/>
    </row>
    <row r="2306" spans="14:15" ht="29.1" customHeight="1">
      <c r="N2306" s="361"/>
      <c r="O2306" s="361"/>
    </row>
    <row r="2307" spans="14:15" ht="29.1" customHeight="1">
      <c r="N2307" s="361"/>
      <c r="O2307" s="361"/>
    </row>
    <row r="2308" spans="14:15" ht="29.1" customHeight="1">
      <c r="N2308" s="361"/>
      <c r="O2308" s="361"/>
    </row>
    <row r="2309" spans="14:15" ht="29.1" customHeight="1">
      <c r="N2309" s="361"/>
      <c r="O2309" s="361"/>
    </row>
    <row r="2310" spans="14:15" ht="29.1" customHeight="1">
      <c r="N2310" s="361"/>
      <c r="O2310" s="361"/>
    </row>
    <row r="2311" spans="14:15" ht="29.1" customHeight="1">
      <c r="N2311" s="361"/>
      <c r="O2311" s="361"/>
    </row>
    <row r="2312" spans="14:15" ht="29.1" customHeight="1">
      <c r="N2312" s="361"/>
      <c r="O2312" s="361"/>
    </row>
    <row r="2313" spans="14:15" ht="29.1" customHeight="1">
      <c r="N2313" s="361"/>
      <c r="O2313" s="361"/>
    </row>
    <row r="2314" spans="14:15" ht="29.1" customHeight="1">
      <c r="N2314" s="361"/>
      <c r="O2314" s="361"/>
    </row>
    <row r="2315" spans="14:15" ht="29.1" customHeight="1">
      <c r="N2315" s="361"/>
      <c r="O2315" s="361"/>
    </row>
    <row r="2316" spans="14:15" ht="29.1" customHeight="1">
      <c r="N2316" s="361"/>
      <c r="O2316" s="361"/>
    </row>
    <row r="2317" spans="14:15" ht="29.1" customHeight="1">
      <c r="N2317" s="361"/>
      <c r="O2317" s="361"/>
    </row>
    <row r="2318" spans="14:15" ht="29.1" customHeight="1">
      <c r="N2318" s="361"/>
      <c r="O2318" s="361"/>
    </row>
    <row r="2319" spans="14:15" ht="29.1" customHeight="1">
      <c r="N2319" s="361"/>
      <c r="O2319" s="361"/>
    </row>
    <row r="2320" spans="14:15" ht="29.1" customHeight="1">
      <c r="N2320" s="361"/>
      <c r="O2320" s="361"/>
    </row>
    <row r="2321" spans="14:15" ht="29.1" customHeight="1">
      <c r="N2321" s="361"/>
      <c r="O2321" s="361"/>
    </row>
    <row r="2322" spans="14:15" ht="29.1" customHeight="1">
      <c r="N2322" s="361"/>
      <c r="O2322" s="361"/>
    </row>
    <row r="2323" spans="14:15" ht="29.1" customHeight="1">
      <c r="N2323" s="361"/>
      <c r="O2323" s="361"/>
    </row>
    <row r="2324" spans="14:15" ht="29.1" customHeight="1">
      <c r="N2324" s="361"/>
      <c r="O2324" s="361"/>
    </row>
    <row r="2325" spans="14:15" ht="29.1" customHeight="1">
      <c r="N2325" s="361"/>
      <c r="O2325" s="361"/>
    </row>
    <row r="2326" spans="14:15" ht="29.1" customHeight="1">
      <c r="N2326" s="361"/>
      <c r="O2326" s="361"/>
    </row>
    <row r="2327" spans="14:15" ht="29.1" customHeight="1">
      <c r="N2327" s="361"/>
      <c r="O2327" s="361"/>
    </row>
    <row r="2328" spans="14:15" ht="29.1" customHeight="1">
      <c r="N2328" s="361"/>
      <c r="O2328" s="361"/>
    </row>
    <row r="2329" spans="14:15" ht="29.1" customHeight="1">
      <c r="N2329" s="361"/>
      <c r="O2329" s="361"/>
    </row>
    <row r="2330" spans="14:15" ht="29.1" customHeight="1">
      <c r="N2330" s="361"/>
      <c r="O2330" s="361"/>
    </row>
    <row r="2331" spans="14:15" ht="29.1" customHeight="1">
      <c r="N2331" s="361"/>
      <c r="O2331" s="361"/>
    </row>
    <row r="2332" spans="14:15" ht="29.1" customHeight="1">
      <c r="N2332" s="361"/>
      <c r="O2332" s="361"/>
    </row>
    <row r="2333" spans="14:15" ht="29.1" customHeight="1">
      <c r="N2333" s="361"/>
      <c r="O2333" s="361"/>
    </row>
    <row r="2334" spans="14:15" ht="29.1" customHeight="1">
      <c r="N2334" s="361"/>
      <c r="O2334" s="361"/>
    </row>
    <row r="2335" spans="14:15" ht="29.1" customHeight="1">
      <c r="N2335" s="361"/>
      <c r="O2335" s="361"/>
    </row>
    <row r="2336" spans="14:15" ht="29.1" customHeight="1">
      <c r="N2336" s="361"/>
      <c r="O2336" s="361"/>
    </row>
    <row r="2337" spans="14:15" ht="29.1" customHeight="1">
      <c r="N2337" s="361"/>
      <c r="O2337" s="361"/>
    </row>
    <row r="2338" spans="14:15" ht="29.1" customHeight="1">
      <c r="N2338" s="361"/>
      <c r="O2338" s="361"/>
    </row>
    <row r="2339" spans="14:15" ht="29.1" customHeight="1">
      <c r="N2339" s="361"/>
      <c r="O2339" s="361"/>
    </row>
    <row r="2340" spans="14:15" ht="29.1" customHeight="1">
      <c r="N2340" s="361"/>
      <c r="O2340" s="361"/>
    </row>
    <row r="2341" spans="14:15" ht="29.1" customHeight="1">
      <c r="N2341" s="361"/>
      <c r="O2341" s="361"/>
    </row>
    <row r="2342" spans="14:15" ht="29.1" customHeight="1">
      <c r="N2342" s="361"/>
      <c r="O2342" s="361"/>
    </row>
    <row r="2343" spans="14:15" ht="29.1" customHeight="1">
      <c r="N2343" s="361"/>
      <c r="O2343" s="361"/>
    </row>
    <row r="2344" spans="14:15" ht="29.1" customHeight="1">
      <c r="N2344" s="361"/>
      <c r="O2344" s="361"/>
    </row>
    <row r="2345" spans="14:15" ht="29.1" customHeight="1">
      <c r="N2345" s="361"/>
      <c r="O2345" s="361"/>
    </row>
    <row r="2346" spans="14:15" ht="29.1" customHeight="1">
      <c r="N2346" s="361"/>
      <c r="O2346" s="361"/>
    </row>
    <row r="2347" spans="14:15" ht="29.1" customHeight="1">
      <c r="N2347" s="361"/>
      <c r="O2347" s="361"/>
    </row>
    <row r="2348" spans="14:15" ht="29.1" customHeight="1">
      <c r="N2348" s="361"/>
      <c r="O2348" s="361"/>
    </row>
    <row r="2349" spans="14:15" ht="29.1" customHeight="1">
      <c r="N2349" s="361"/>
      <c r="O2349" s="361"/>
    </row>
    <row r="2350" spans="14:15" ht="29.1" customHeight="1">
      <c r="N2350" s="361"/>
      <c r="O2350" s="361"/>
    </row>
    <row r="2351" spans="14:15" ht="29.1" customHeight="1">
      <c r="N2351" s="361"/>
      <c r="O2351" s="361"/>
    </row>
    <row r="2352" spans="14:15" ht="29.1" customHeight="1">
      <c r="N2352" s="361"/>
      <c r="O2352" s="361"/>
    </row>
    <row r="2353" spans="14:15" ht="29.1" customHeight="1">
      <c r="N2353" s="361"/>
      <c r="O2353" s="361"/>
    </row>
    <row r="2354" spans="14:15" ht="29.1" customHeight="1">
      <c r="N2354" s="361"/>
      <c r="O2354" s="361"/>
    </row>
    <row r="2355" spans="14:15" ht="29.1" customHeight="1">
      <c r="N2355" s="361"/>
      <c r="O2355" s="361"/>
    </row>
    <row r="2356" spans="14:15" ht="29.1" customHeight="1">
      <c r="N2356" s="361"/>
      <c r="O2356" s="361"/>
    </row>
    <row r="2357" spans="14:15" ht="29.1" customHeight="1">
      <c r="N2357" s="361"/>
      <c r="O2357" s="361"/>
    </row>
    <row r="2358" spans="14:15" ht="29.1" customHeight="1">
      <c r="N2358" s="361"/>
      <c r="O2358" s="361"/>
    </row>
    <row r="2359" spans="14:15" ht="29.1" customHeight="1">
      <c r="N2359" s="361"/>
      <c r="O2359" s="361"/>
    </row>
    <row r="2360" spans="14:15" ht="29.1" customHeight="1">
      <c r="N2360" s="361"/>
      <c r="O2360" s="361"/>
    </row>
    <row r="2361" spans="14:15" ht="29.1" customHeight="1">
      <c r="N2361" s="361"/>
      <c r="O2361" s="361"/>
    </row>
    <row r="2362" spans="14:15" ht="29.1" customHeight="1">
      <c r="N2362" s="361"/>
      <c r="O2362" s="361"/>
    </row>
    <row r="2363" spans="14:15" ht="29.1" customHeight="1">
      <c r="N2363" s="361"/>
      <c r="O2363" s="361"/>
    </row>
    <row r="2364" spans="14:15" ht="29.1" customHeight="1">
      <c r="N2364" s="361"/>
      <c r="O2364" s="361"/>
    </row>
    <row r="2365" spans="14:15" ht="29.1" customHeight="1">
      <c r="N2365" s="361"/>
      <c r="O2365" s="361"/>
    </row>
    <row r="2366" spans="14:15" ht="29.1" customHeight="1">
      <c r="N2366" s="361"/>
      <c r="O2366" s="361"/>
    </row>
    <row r="2367" spans="14:15" ht="29.1" customHeight="1">
      <c r="N2367" s="361"/>
      <c r="O2367" s="361"/>
    </row>
    <row r="2368" spans="14:15" ht="29.1" customHeight="1">
      <c r="N2368" s="361"/>
      <c r="O2368" s="361"/>
    </row>
    <row r="2369" spans="14:15" ht="29.1" customHeight="1">
      <c r="N2369" s="361"/>
      <c r="O2369" s="361"/>
    </row>
    <row r="2370" spans="14:15" ht="29.1" customHeight="1">
      <c r="N2370" s="361"/>
      <c r="O2370" s="361"/>
    </row>
    <row r="2371" spans="14:15" ht="29.1" customHeight="1">
      <c r="N2371" s="361"/>
      <c r="O2371" s="361"/>
    </row>
    <row r="2372" spans="14:15" ht="29.1" customHeight="1">
      <c r="N2372" s="361"/>
      <c r="O2372" s="361"/>
    </row>
    <row r="2373" spans="14:15" ht="29.1" customHeight="1">
      <c r="N2373" s="361"/>
      <c r="O2373" s="361"/>
    </row>
    <row r="2374" spans="14:15" ht="29.1" customHeight="1">
      <c r="N2374" s="361"/>
      <c r="O2374" s="361"/>
    </row>
    <row r="2375" spans="14:15" ht="29.1" customHeight="1">
      <c r="N2375" s="361"/>
      <c r="O2375" s="361"/>
    </row>
    <row r="2376" spans="14:15" ht="29.1" customHeight="1">
      <c r="N2376" s="361"/>
      <c r="O2376" s="361"/>
    </row>
    <row r="2377" spans="14:15" ht="29.1" customHeight="1">
      <c r="N2377" s="361"/>
      <c r="O2377" s="361"/>
    </row>
    <row r="2378" spans="14:15" ht="29.1" customHeight="1">
      <c r="N2378" s="361"/>
      <c r="O2378" s="361"/>
    </row>
    <row r="2379" spans="14:15" ht="29.1" customHeight="1">
      <c r="N2379" s="361"/>
      <c r="O2379" s="361"/>
    </row>
    <row r="2380" spans="14:15" ht="29.1" customHeight="1">
      <c r="N2380" s="361"/>
      <c r="O2380" s="361"/>
    </row>
    <row r="2381" spans="14:15" ht="29.1" customHeight="1">
      <c r="N2381" s="361"/>
      <c r="O2381" s="361"/>
    </row>
    <row r="2382" spans="14:15" ht="29.1" customHeight="1">
      <c r="N2382" s="361"/>
      <c r="O2382" s="361"/>
    </row>
    <row r="2383" spans="14:15" ht="29.1" customHeight="1">
      <c r="N2383" s="361"/>
      <c r="O2383" s="361"/>
    </row>
    <row r="2384" spans="14:15" ht="29.1" customHeight="1">
      <c r="N2384" s="361"/>
      <c r="O2384" s="361"/>
    </row>
    <row r="2385" spans="14:15" ht="29.1" customHeight="1">
      <c r="N2385" s="361"/>
      <c r="O2385" s="361"/>
    </row>
    <row r="2386" spans="14:15" ht="29.1" customHeight="1">
      <c r="N2386" s="361"/>
      <c r="O2386" s="361"/>
    </row>
    <row r="2387" spans="14:15" ht="29.1" customHeight="1">
      <c r="N2387" s="361"/>
      <c r="O2387" s="361"/>
    </row>
    <row r="2388" spans="14:15" ht="29.1" customHeight="1">
      <c r="N2388" s="361"/>
      <c r="O2388" s="361"/>
    </row>
    <row r="2389" spans="14:15" ht="29.1" customHeight="1">
      <c r="N2389" s="361"/>
      <c r="O2389" s="361"/>
    </row>
    <row r="2390" spans="14:15" ht="29.1" customHeight="1">
      <c r="N2390" s="361"/>
      <c r="O2390" s="361"/>
    </row>
    <row r="2391" spans="14:15" ht="29.1" customHeight="1">
      <c r="N2391" s="361"/>
      <c r="O2391" s="361"/>
    </row>
    <row r="2392" spans="14:15" ht="29.1" customHeight="1">
      <c r="N2392" s="361"/>
      <c r="O2392" s="361"/>
    </row>
    <row r="2393" spans="14:15" ht="29.1" customHeight="1">
      <c r="N2393" s="361"/>
      <c r="O2393" s="361"/>
    </row>
    <row r="2394" spans="14:15" ht="29.1" customHeight="1">
      <c r="N2394" s="361"/>
      <c r="O2394" s="361"/>
    </row>
    <row r="2395" spans="14:15" ht="29.1" customHeight="1">
      <c r="N2395" s="361"/>
      <c r="O2395" s="361"/>
    </row>
    <row r="2396" spans="14:15" ht="29.1" customHeight="1">
      <c r="N2396" s="361"/>
      <c r="O2396" s="361"/>
    </row>
    <row r="2397" spans="14:15" ht="29.1" customHeight="1">
      <c r="N2397" s="361"/>
      <c r="O2397" s="361"/>
    </row>
    <row r="2398" spans="14:15" ht="29.1" customHeight="1">
      <c r="N2398" s="361"/>
      <c r="O2398" s="361"/>
    </row>
    <row r="2399" spans="14:15" ht="29.1" customHeight="1">
      <c r="N2399" s="361"/>
      <c r="O2399" s="361"/>
    </row>
    <row r="2400" spans="14:15" ht="29.1" customHeight="1">
      <c r="N2400" s="361"/>
      <c r="O2400" s="361"/>
    </row>
    <row r="2401" spans="14:15" ht="29.1" customHeight="1">
      <c r="N2401" s="361"/>
      <c r="O2401" s="361"/>
    </row>
    <row r="2402" spans="14:15" ht="29.1" customHeight="1">
      <c r="N2402" s="361"/>
      <c r="O2402" s="361"/>
    </row>
    <row r="2403" spans="14:15" ht="29.1" customHeight="1">
      <c r="N2403" s="361"/>
      <c r="O2403" s="361"/>
    </row>
    <row r="2404" spans="14:15" ht="29.1" customHeight="1">
      <c r="N2404" s="361"/>
      <c r="O2404" s="361"/>
    </row>
    <row r="2405" spans="14:15" ht="29.1" customHeight="1">
      <c r="N2405" s="361"/>
      <c r="O2405" s="361"/>
    </row>
    <row r="2406" spans="14:15" ht="29.1" customHeight="1">
      <c r="N2406" s="361"/>
      <c r="O2406" s="361"/>
    </row>
    <row r="2407" spans="14:15" ht="29.1" customHeight="1">
      <c r="N2407" s="361"/>
      <c r="O2407" s="361"/>
    </row>
    <row r="2408" spans="14:15" ht="29.1" customHeight="1">
      <c r="N2408" s="361"/>
      <c r="O2408" s="361"/>
    </row>
    <row r="2409" spans="14:15" ht="29.1" customHeight="1">
      <c r="N2409" s="361"/>
      <c r="O2409" s="361"/>
    </row>
    <row r="2410" spans="14:15" ht="29.1" customHeight="1">
      <c r="N2410" s="361"/>
      <c r="O2410" s="361"/>
    </row>
    <row r="2411" spans="14:15" ht="29.1" customHeight="1">
      <c r="N2411" s="361"/>
      <c r="O2411" s="361"/>
    </row>
    <row r="2412" spans="14:15" ht="29.1" customHeight="1">
      <c r="N2412" s="361"/>
      <c r="O2412" s="361"/>
    </row>
    <row r="2413" spans="14:15" ht="29.1" customHeight="1">
      <c r="N2413" s="361"/>
      <c r="O2413" s="361"/>
    </row>
    <row r="2414" spans="14:15" ht="29.1" customHeight="1">
      <c r="N2414" s="361"/>
      <c r="O2414" s="361"/>
    </row>
    <row r="2415" spans="14:15" ht="29.1" customHeight="1">
      <c r="N2415" s="361"/>
      <c r="O2415" s="361"/>
    </row>
    <row r="2416" spans="14:15" ht="29.1" customHeight="1">
      <c r="N2416" s="361"/>
      <c r="O2416" s="361"/>
    </row>
    <row r="2417" spans="14:15" ht="29.1" customHeight="1">
      <c r="N2417" s="361"/>
      <c r="O2417" s="361"/>
    </row>
    <row r="2418" spans="14:15" ht="29.1" customHeight="1">
      <c r="N2418" s="361"/>
      <c r="O2418" s="361"/>
    </row>
    <row r="2419" spans="14:15" ht="29.1" customHeight="1">
      <c r="N2419" s="361"/>
      <c r="O2419" s="361"/>
    </row>
    <row r="2420" spans="14:15" ht="29.1" customHeight="1">
      <c r="N2420" s="361"/>
      <c r="O2420" s="361"/>
    </row>
    <row r="2421" spans="14:15" ht="29.1" customHeight="1">
      <c r="N2421" s="361"/>
      <c r="O2421" s="361"/>
    </row>
    <row r="2422" spans="14:15" ht="29.1" customHeight="1">
      <c r="N2422" s="361"/>
      <c r="O2422" s="361"/>
    </row>
    <row r="2423" spans="14:15" ht="29.1" customHeight="1">
      <c r="N2423" s="361"/>
      <c r="O2423" s="361"/>
    </row>
    <row r="2424" spans="14:15" ht="29.1" customHeight="1">
      <c r="N2424" s="361"/>
      <c r="O2424" s="361"/>
    </row>
    <row r="2425" spans="14:15" ht="29.1" customHeight="1">
      <c r="N2425" s="361"/>
      <c r="O2425" s="361"/>
    </row>
    <row r="2426" spans="14:15" ht="29.1" customHeight="1">
      <c r="N2426" s="361"/>
      <c r="O2426" s="361"/>
    </row>
    <row r="2427" spans="14:15" ht="29.1" customHeight="1">
      <c r="N2427" s="361"/>
      <c r="O2427" s="361"/>
    </row>
    <row r="2428" spans="14:15" ht="29.1" customHeight="1">
      <c r="N2428" s="361"/>
      <c r="O2428" s="361"/>
    </row>
    <row r="2429" spans="14:15" ht="29.1" customHeight="1">
      <c r="N2429" s="361"/>
      <c r="O2429" s="361"/>
    </row>
    <row r="2430" spans="14:15" ht="29.1" customHeight="1">
      <c r="N2430" s="361"/>
      <c r="O2430" s="361"/>
    </row>
    <row r="2431" spans="14:15" ht="29.1" customHeight="1">
      <c r="N2431" s="361"/>
      <c r="O2431" s="361"/>
    </row>
    <row r="2432" spans="14:15" ht="29.1" customHeight="1">
      <c r="N2432" s="361"/>
      <c r="O2432" s="361"/>
    </row>
    <row r="2433" spans="14:15" ht="29.1" customHeight="1">
      <c r="N2433" s="361"/>
      <c r="O2433" s="361"/>
    </row>
    <row r="2434" spans="14:15" ht="29.1" customHeight="1">
      <c r="N2434" s="361"/>
      <c r="O2434" s="361"/>
    </row>
    <row r="2435" spans="14:15" ht="29.1" customHeight="1">
      <c r="N2435" s="361"/>
      <c r="O2435" s="361"/>
    </row>
    <row r="2436" spans="14:15" ht="29.1" customHeight="1">
      <c r="N2436" s="361"/>
      <c r="O2436" s="361"/>
    </row>
    <row r="2437" spans="14:15" ht="29.1" customHeight="1">
      <c r="N2437" s="361"/>
      <c r="O2437" s="361"/>
    </row>
    <row r="2438" spans="14:15" ht="29.1" customHeight="1">
      <c r="N2438" s="361"/>
      <c r="O2438" s="361"/>
    </row>
  </sheetData>
  <phoneticPr fontId="0" type="noConversion"/>
  <printOptions gridLines="1"/>
  <pageMargins left="0.72" right="0.33" top="0.87" bottom="0.5" header="0.17" footer="0.16"/>
  <pageSetup scale="55" orientation="portrait" r:id="rId1"/>
  <headerFooter alignWithMargins="0">
    <oddHeader>&amp;C&amp;"Algerian,Regular"&amp;28WASAARADDA GANACSIGA IYO MAAL-GASHIGA CAALAMIGA AH</oddHeader>
    <oddFooter>&amp;R&amp;"Times New Roman,Bold"&amp;14 31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2"/>
  <dimension ref="A1:S47"/>
  <sheetViews>
    <sheetView view="pageBreakPreview" zoomScale="60" workbookViewId="0">
      <selection activeCell="S19" sqref="S19"/>
    </sheetView>
  </sheetViews>
  <sheetFormatPr defaultRowHeight="24.95" customHeight="1"/>
  <cols>
    <col min="1" max="1" width="16.6640625" style="154" bestFit="1" customWidth="1"/>
    <col min="2" max="2" width="85.83203125" style="52" customWidth="1"/>
    <col min="3" max="3" width="14.33203125" style="52" hidden="1" customWidth="1"/>
    <col min="4" max="4" width="16.5" style="52" hidden="1" customWidth="1"/>
    <col min="5" max="5" width="18" style="52" hidden="1" customWidth="1"/>
    <col min="6" max="6" width="15.5" style="52" hidden="1" customWidth="1"/>
    <col min="7" max="7" width="17.33203125" style="52" hidden="1" customWidth="1"/>
    <col min="8" max="8" width="15.1640625" style="52" hidden="1" customWidth="1"/>
    <col min="9" max="10" width="17" style="52" hidden="1" customWidth="1"/>
    <col min="11" max="11" width="2.83203125" style="52" hidden="1" customWidth="1"/>
    <col min="12" max="12" width="17.83203125" style="52" hidden="1" customWidth="1"/>
    <col min="13" max="13" width="0.1640625" style="52" hidden="1" customWidth="1"/>
    <col min="14" max="16" width="27.6640625" style="52" hidden="1" customWidth="1"/>
    <col min="17" max="17" width="27.6640625" style="52" bestFit="1" customWidth="1"/>
    <col min="18" max="18" width="27.6640625" style="52" customWidth="1"/>
    <col min="19" max="19" width="28.33203125" style="52" customWidth="1"/>
    <col min="20" max="16384" width="9.33203125" style="52"/>
  </cols>
  <sheetData>
    <row r="1" spans="1:19" ht="24.95" customHeight="1">
      <c r="A1" s="153" t="s">
        <v>21</v>
      </c>
      <c r="B1" s="94" t="s">
        <v>788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1"/>
      <c r="P1" s="71"/>
      <c r="Q1" s="71"/>
      <c r="R1" s="71"/>
      <c r="S1" s="97"/>
    </row>
    <row r="2" spans="1:19" ht="24.95" customHeight="1">
      <c r="A2" s="153" t="s">
        <v>6</v>
      </c>
      <c r="B2" s="84" t="s">
        <v>7</v>
      </c>
      <c r="C2" s="84" t="s">
        <v>19</v>
      </c>
      <c r="D2" s="85" t="s">
        <v>2</v>
      </c>
      <c r="E2" s="85" t="s">
        <v>24</v>
      </c>
      <c r="F2" s="85" t="s">
        <v>28</v>
      </c>
      <c r="G2" s="85" t="s">
        <v>33</v>
      </c>
      <c r="H2" s="85" t="s">
        <v>3</v>
      </c>
      <c r="I2" s="85" t="s">
        <v>40</v>
      </c>
      <c r="J2" s="85" t="s">
        <v>66</v>
      </c>
      <c r="K2" s="85" t="s">
        <v>71</v>
      </c>
      <c r="L2" s="85" t="s">
        <v>75</v>
      </c>
      <c r="M2" s="85" t="s">
        <v>110</v>
      </c>
      <c r="N2" s="85" t="s">
        <v>166</v>
      </c>
      <c r="O2" s="85" t="s">
        <v>318</v>
      </c>
      <c r="P2" s="85" t="s">
        <v>538</v>
      </c>
      <c r="Q2" s="85" t="s">
        <v>607</v>
      </c>
      <c r="R2" s="85" t="s">
        <v>722</v>
      </c>
      <c r="S2" s="85" t="s">
        <v>34</v>
      </c>
    </row>
    <row r="3" spans="1:19" ht="24.95" customHeight="1">
      <c r="A3" s="148">
        <v>210</v>
      </c>
      <c r="B3" s="68" t="s">
        <v>95</v>
      </c>
      <c r="C3" s="68" t="s">
        <v>95</v>
      </c>
      <c r="D3" s="68" t="s">
        <v>95</v>
      </c>
      <c r="E3" s="68" t="s">
        <v>95</v>
      </c>
      <c r="F3" s="68" t="s">
        <v>95</v>
      </c>
      <c r="G3" s="68" t="s">
        <v>95</v>
      </c>
      <c r="H3" s="68" t="s">
        <v>95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4.95" customHeight="1">
      <c r="A4" s="148">
        <v>2110</v>
      </c>
      <c r="B4" s="68" t="s">
        <v>155</v>
      </c>
      <c r="C4" s="68" t="s">
        <v>155</v>
      </c>
      <c r="D4" s="68" t="s">
        <v>155</v>
      </c>
      <c r="E4" s="68" t="s">
        <v>155</v>
      </c>
      <c r="F4" s="68" t="s">
        <v>155</v>
      </c>
      <c r="G4" s="68" t="s">
        <v>155</v>
      </c>
      <c r="H4" s="68" t="s">
        <v>155</v>
      </c>
      <c r="I4" s="67">
        <f>225024000+2460000+13176000</f>
        <v>240660000</v>
      </c>
      <c r="J4" s="67">
        <f>331297200+41589600</f>
        <v>372886800</v>
      </c>
      <c r="K4" s="67">
        <f>345586800+54000000+6000000</f>
        <v>405586800</v>
      </c>
      <c r="L4" s="67">
        <f>405586800+12000000</f>
        <v>417586800</v>
      </c>
      <c r="M4" s="71"/>
      <c r="N4" s="71"/>
      <c r="O4" s="71"/>
      <c r="P4" s="71"/>
      <c r="Q4" s="71"/>
      <c r="R4" s="71"/>
      <c r="S4" s="72"/>
    </row>
    <row r="5" spans="1:19" ht="24.95" customHeight="1">
      <c r="A5" s="150">
        <v>21101</v>
      </c>
      <c r="B5" s="67" t="s">
        <v>9</v>
      </c>
      <c r="C5" s="67" t="s">
        <v>9</v>
      </c>
      <c r="D5" s="67" t="s">
        <v>9</v>
      </c>
      <c r="E5" s="67" t="s">
        <v>9</v>
      </c>
      <c r="F5" s="67" t="s">
        <v>9</v>
      </c>
      <c r="G5" s="67" t="s">
        <v>9</v>
      </c>
      <c r="H5" s="67" t="s">
        <v>9</v>
      </c>
      <c r="I5" s="67">
        <v>0</v>
      </c>
      <c r="J5" s="67">
        <v>0</v>
      </c>
      <c r="K5" s="67">
        <v>0</v>
      </c>
      <c r="L5" s="67">
        <v>0</v>
      </c>
      <c r="M5" s="67">
        <f>417586800+10186800</f>
        <v>427773600</v>
      </c>
      <c r="N5" s="67" t="e">
        <f>#REF!+36000000+36909600+96096000</f>
        <v>#REF!</v>
      </c>
      <c r="O5" s="67">
        <v>622814400</v>
      </c>
      <c r="P5" s="67">
        <v>929292000</v>
      </c>
      <c r="Q5" s="67">
        <v>562011840</v>
      </c>
      <c r="R5" s="67">
        <v>850936320</v>
      </c>
      <c r="S5" s="72">
        <f>R5-Q5</f>
        <v>288924480</v>
      </c>
    </row>
    <row r="6" spans="1:19" ht="24.95" customHeight="1">
      <c r="A6" s="150">
        <v>21102</v>
      </c>
      <c r="B6" s="67" t="s">
        <v>418</v>
      </c>
      <c r="C6" s="67" t="s">
        <v>10</v>
      </c>
      <c r="D6" s="67" t="s">
        <v>10</v>
      </c>
      <c r="E6" s="67" t="s">
        <v>10</v>
      </c>
      <c r="F6" s="67" t="s">
        <v>10</v>
      </c>
      <c r="G6" s="67" t="s">
        <v>10</v>
      </c>
      <c r="H6" s="67" t="s">
        <v>10</v>
      </c>
      <c r="I6" s="67">
        <v>18000000</v>
      </c>
      <c r="J6" s="67">
        <v>18000000</v>
      </c>
      <c r="K6" s="67">
        <f>16800000+32400000+1440000</f>
        <v>50640000</v>
      </c>
      <c r="L6" s="67">
        <f>50640000+1440000+7920000</f>
        <v>60000000</v>
      </c>
      <c r="M6" s="67">
        <v>0</v>
      </c>
      <c r="N6" s="67">
        <v>0</v>
      </c>
      <c r="O6" s="67">
        <v>436368000</v>
      </c>
      <c r="P6" s="67">
        <v>194400000</v>
      </c>
      <c r="Q6" s="67">
        <v>194400000</v>
      </c>
      <c r="R6" s="67">
        <v>194400000</v>
      </c>
      <c r="S6" s="72">
        <f t="shared" ref="S6:S47" si="0">R6-Q6</f>
        <v>0</v>
      </c>
    </row>
    <row r="7" spans="1:19" ht="24.95" customHeight="1">
      <c r="A7" s="150">
        <v>21103</v>
      </c>
      <c r="B7" s="67" t="s">
        <v>11</v>
      </c>
      <c r="C7" s="67" t="s">
        <v>11</v>
      </c>
      <c r="D7" s="67" t="s">
        <v>11</v>
      </c>
      <c r="E7" s="67" t="s">
        <v>11</v>
      </c>
      <c r="F7" s="67" t="s">
        <v>11</v>
      </c>
      <c r="G7" s="67" t="s">
        <v>11</v>
      </c>
      <c r="H7" s="67" t="s">
        <v>11</v>
      </c>
      <c r="I7" s="67">
        <v>0</v>
      </c>
      <c r="J7" s="67">
        <v>0</v>
      </c>
      <c r="K7" s="67">
        <v>0</v>
      </c>
      <c r="L7" s="67">
        <v>0</v>
      </c>
      <c r="M7" s="67">
        <f>60000000+4800000</f>
        <v>64800000</v>
      </c>
      <c r="N7" s="67">
        <f>60000000+4800000</f>
        <v>64800000</v>
      </c>
      <c r="O7" s="67">
        <v>93600000</v>
      </c>
      <c r="P7" s="67">
        <v>234000000</v>
      </c>
      <c r="Q7" s="67">
        <v>306000000</v>
      </c>
      <c r="R7" s="67">
        <v>306000000</v>
      </c>
      <c r="S7" s="72">
        <f t="shared" si="0"/>
        <v>0</v>
      </c>
    </row>
    <row r="8" spans="1:19" ht="24.95" customHeight="1">
      <c r="A8" s="150">
        <v>21105</v>
      </c>
      <c r="B8" s="67" t="s">
        <v>880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>
        <v>30000000</v>
      </c>
      <c r="O8" s="67">
        <v>0</v>
      </c>
      <c r="P8" s="67">
        <v>0</v>
      </c>
      <c r="Q8" s="66">
        <v>0</v>
      </c>
      <c r="R8" s="66">
        <v>0</v>
      </c>
      <c r="S8" s="72">
        <f t="shared" si="0"/>
        <v>0</v>
      </c>
    </row>
    <row r="9" spans="1:19" ht="24.95" customHeight="1">
      <c r="A9" s="150"/>
      <c r="B9" s="68" t="s">
        <v>59</v>
      </c>
      <c r="C9" s="68" t="s">
        <v>59</v>
      </c>
      <c r="D9" s="68" t="s">
        <v>59</v>
      </c>
      <c r="E9" s="68" t="s">
        <v>59</v>
      </c>
      <c r="F9" s="68" t="s">
        <v>59</v>
      </c>
      <c r="G9" s="68" t="s">
        <v>59</v>
      </c>
      <c r="H9" s="68" t="s">
        <v>59</v>
      </c>
      <c r="I9" s="67">
        <v>15000000</v>
      </c>
      <c r="J9" s="67">
        <v>11172000</v>
      </c>
      <c r="K9" s="67">
        <v>13000000</v>
      </c>
      <c r="L9" s="67">
        <v>0</v>
      </c>
      <c r="M9" s="68" t="e">
        <f>#REF!+#REF!+N7+M5</f>
        <v>#REF!</v>
      </c>
      <c r="N9" s="68" t="e">
        <f>N8+N7+N5+N6</f>
        <v>#REF!</v>
      </c>
      <c r="O9" s="68">
        <f>O8+O7+O5+O6</f>
        <v>1152782400</v>
      </c>
      <c r="P9" s="68">
        <f>SUM(P5:P8)</f>
        <v>1357692000</v>
      </c>
      <c r="Q9" s="106">
        <f>SUM(Q5:Q8)</f>
        <v>1062411840</v>
      </c>
      <c r="R9" s="106">
        <f>SUM(R5:R8)</f>
        <v>1351336320</v>
      </c>
      <c r="S9" s="77">
        <f t="shared" si="0"/>
        <v>288924480</v>
      </c>
    </row>
    <row r="10" spans="1:19" ht="24.95" customHeight="1">
      <c r="A10" s="148">
        <v>220</v>
      </c>
      <c r="B10" s="68" t="s">
        <v>159</v>
      </c>
      <c r="C10" s="68" t="s">
        <v>159</v>
      </c>
      <c r="D10" s="68" t="s">
        <v>159</v>
      </c>
      <c r="E10" s="68" t="s">
        <v>159</v>
      </c>
      <c r="F10" s="68" t="s">
        <v>159</v>
      </c>
      <c r="G10" s="68" t="s">
        <v>159</v>
      </c>
      <c r="H10" s="68" t="s">
        <v>159</v>
      </c>
      <c r="I10" s="67">
        <v>10000000</v>
      </c>
      <c r="J10" s="67">
        <v>7448000</v>
      </c>
      <c r="K10" s="67">
        <v>10000000</v>
      </c>
      <c r="L10" s="67">
        <v>0</v>
      </c>
      <c r="M10" s="67"/>
      <c r="N10" s="67"/>
      <c r="O10" s="67"/>
      <c r="P10" s="67"/>
      <c r="Q10" s="66"/>
      <c r="R10" s="66"/>
      <c r="S10" s="72">
        <f t="shared" si="0"/>
        <v>0</v>
      </c>
    </row>
    <row r="11" spans="1:19" ht="24.95" customHeight="1">
      <c r="A11" s="148">
        <v>2210</v>
      </c>
      <c r="B11" s="68" t="s">
        <v>160</v>
      </c>
      <c r="C11" s="68" t="s">
        <v>160</v>
      </c>
      <c r="D11" s="68" t="s">
        <v>160</v>
      </c>
      <c r="E11" s="68" t="s">
        <v>160</v>
      </c>
      <c r="F11" s="68" t="s">
        <v>160</v>
      </c>
      <c r="G11" s="68" t="s">
        <v>160</v>
      </c>
      <c r="H11" s="68" t="s">
        <v>160</v>
      </c>
      <c r="I11" s="67">
        <v>0</v>
      </c>
      <c r="J11" s="67">
        <v>0</v>
      </c>
      <c r="K11" s="67">
        <v>0</v>
      </c>
      <c r="L11" s="67">
        <v>3724000</v>
      </c>
      <c r="M11" s="67"/>
      <c r="N11" s="67"/>
      <c r="O11" s="67"/>
      <c r="P11" s="67"/>
      <c r="Q11" s="66"/>
      <c r="R11" s="66"/>
      <c r="S11" s="72">
        <f t="shared" si="0"/>
        <v>0</v>
      </c>
    </row>
    <row r="12" spans="1:19" ht="24.95" customHeight="1">
      <c r="A12" s="150">
        <v>22101</v>
      </c>
      <c r="B12" s="67" t="s">
        <v>14</v>
      </c>
      <c r="C12" s="67" t="s">
        <v>14</v>
      </c>
      <c r="D12" s="67" t="s">
        <v>14</v>
      </c>
      <c r="E12" s="67" t="s">
        <v>14</v>
      </c>
      <c r="F12" s="67" t="s">
        <v>14</v>
      </c>
      <c r="G12" s="67" t="s">
        <v>14</v>
      </c>
      <c r="H12" s="67" t="s">
        <v>14</v>
      </c>
      <c r="I12" s="67">
        <v>0</v>
      </c>
      <c r="J12" s="67">
        <v>0</v>
      </c>
      <c r="K12" s="67">
        <v>0</v>
      </c>
      <c r="L12" s="67">
        <v>8937600</v>
      </c>
      <c r="M12" s="67">
        <v>26068000</v>
      </c>
      <c r="N12" s="67">
        <f>26068000*70%</f>
        <v>18247600</v>
      </c>
      <c r="O12" s="67">
        <v>48247600</v>
      </c>
      <c r="P12" s="67">
        <v>48247600</v>
      </c>
      <c r="Q12" s="66">
        <v>68247600</v>
      </c>
      <c r="R12" s="66">
        <v>68247600</v>
      </c>
      <c r="S12" s="72">
        <f t="shared" si="0"/>
        <v>0</v>
      </c>
    </row>
    <row r="13" spans="1:19" s="87" customFormat="1" ht="24.95" customHeight="1">
      <c r="A13" s="150">
        <v>22102</v>
      </c>
      <c r="B13" s="67" t="s">
        <v>82</v>
      </c>
      <c r="C13" s="67" t="s">
        <v>82</v>
      </c>
      <c r="D13" s="67" t="s">
        <v>82</v>
      </c>
      <c r="E13" s="67" t="s">
        <v>82</v>
      </c>
      <c r="F13" s="67" t="s">
        <v>82</v>
      </c>
      <c r="G13" s="67" t="s">
        <v>82</v>
      </c>
      <c r="H13" s="67" t="s">
        <v>82</v>
      </c>
      <c r="I13" s="68">
        <f>SUM(I9:I12)</f>
        <v>25000000</v>
      </c>
      <c r="J13" s="68">
        <f>SUM(J9:J12)</f>
        <v>18620000</v>
      </c>
      <c r="K13" s="68">
        <f>SUM(K9:K12)</f>
        <v>23000000</v>
      </c>
      <c r="L13" s="67">
        <v>8192800</v>
      </c>
      <c r="M13" s="67">
        <v>0</v>
      </c>
      <c r="N13" s="67">
        <v>0</v>
      </c>
      <c r="O13" s="67">
        <v>20000000</v>
      </c>
      <c r="P13" s="67">
        <v>20000000</v>
      </c>
      <c r="Q13" s="66">
        <v>0</v>
      </c>
      <c r="R13" s="66">
        <v>0</v>
      </c>
      <c r="S13" s="72">
        <f t="shared" si="0"/>
        <v>0</v>
      </c>
    </row>
    <row r="14" spans="1:19" ht="24.95" customHeight="1">
      <c r="A14" s="150">
        <v>22103</v>
      </c>
      <c r="B14" s="67" t="s">
        <v>83</v>
      </c>
      <c r="C14" s="67" t="s">
        <v>83</v>
      </c>
      <c r="D14" s="67" t="s">
        <v>83</v>
      </c>
      <c r="E14" s="67" t="s">
        <v>83</v>
      </c>
      <c r="F14" s="67" t="s">
        <v>83</v>
      </c>
      <c r="G14" s="67" t="s">
        <v>83</v>
      </c>
      <c r="H14" s="67" t="s">
        <v>83</v>
      </c>
      <c r="I14" s="67"/>
      <c r="J14" s="67"/>
      <c r="K14" s="67"/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6">
        <v>0</v>
      </c>
      <c r="R14" s="66">
        <v>0</v>
      </c>
      <c r="S14" s="72">
        <f t="shared" si="0"/>
        <v>0</v>
      </c>
    </row>
    <row r="15" spans="1:19" ht="24.95" customHeight="1">
      <c r="A15" s="150">
        <v>22104</v>
      </c>
      <c r="B15" s="67" t="s">
        <v>116</v>
      </c>
      <c r="C15" s="67" t="s">
        <v>116</v>
      </c>
      <c r="D15" s="67" t="s">
        <v>116</v>
      </c>
      <c r="E15" s="67" t="s">
        <v>116</v>
      </c>
      <c r="F15" s="67" t="s">
        <v>116</v>
      </c>
      <c r="G15" s="67" t="s">
        <v>116</v>
      </c>
      <c r="H15" s="67" t="s">
        <v>116</v>
      </c>
      <c r="I15" s="67">
        <v>0</v>
      </c>
      <c r="J15" s="67">
        <v>0</v>
      </c>
      <c r="K15" s="67">
        <v>5000000</v>
      </c>
      <c r="L15" s="67">
        <v>49156800</v>
      </c>
      <c r="M15" s="67">
        <v>8365593</v>
      </c>
      <c r="N15" s="67">
        <f>M15*70%</f>
        <v>5855915.0999999996</v>
      </c>
      <c r="O15" s="67">
        <f>N15</f>
        <v>5855915.0999999996</v>
      </c>
      <c r="P15" s="67">
        <f>O15</f>
        <v>5855915.0999999996</v>
      </c>
      <c r="Q15" s="66">
        <f>P15</f>
        <v>5855915.0999999996</v>
      </c>
      <c r="R15" s="66">
        <f>Q15</f>
        <v>5855915.0999999996</v>
      </c>
      <c r="S15" s="72">
        <f t="shared" si="0"/>
        <v>0</v>
      </c>
    </row>
    <row r="16" spans="1:19" ht="24.95" customHeight="1">
      <c r="A16" s="150">
        <v>22105</v>
      </c>
      <c r="B16" s="67" t="s">
        <v>93</v>
      </c>
      <c r="C16" s="67" t="s">
        <v>93</v>
      </c>
      <c r="D16" s="67" t="s">
        <v>93</v>
      </c>
      <c r="E16" s="67" t="s">
        <v>93</v>
      </c>
      <c r="F16" s="67" t="s">
        <v>93</v>
      </c>
      <c r="G16" s="67" t="s">
        <v>93</v>
      </c>
      <c r="H16" s="67" t="s">
        <v>93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6">
        <v>0</v>
      </c>
      <c r="R16" s="66">
        <v>0</v>
      </c>
      <c r="S16" s="72">
        <f t="shared" si="0"/>
        <v>0</v>
      </c>
    </row>
    <row r="17" spans="1:19" ht="24.95" customHeight="1">
      <c r="A17" s="150">
        <v>22106</v>
      </c>
      <c r="B17" s="67" t="s">
        <v>84</v>
      </c>
      <c r="C17" s="67" t="s">
        <v>84</v>
      </c>
      <c r="D17" s="67" t="s">
        <v>84</v>
      </c>
      <c r="E17" s="67" t="s">
        <v>84</v>
      </c>
      <c r="F17" s="67" t="s">
        <v>84</v>
      </c>
      <c r="G17" s="67" t="s">
        <v>84</v>
      </c>
      <c r="H17" s="67" t="s">
        <v>84</v>
      </c>
      <c r="I17" s="67">
        <v>2000000</v>
      </c>
      <c r="J17" s="67">
        <v>1489600</v>
      </c>
      <c r="K17" s="67">
        <v>3000000</v>
      </c>
      <c r="L17" s="68">
        <f>SUM(L9:L16)</f>
        <v>70011200</v>
      </c>
      <c r="M17" s="67">
        <v>0</v>
      </c>
      <c r="N17" s="67">
        <v>0</v>
      </c>
      <c r="O17" s="67">
        <v>0</v>
      </c>
      <c r="P17" s="67">
        <v>0</v>
      </c>
      <c r="Q17" s="66">
        <v>0</v>
      </c>
      <c r="R17" s="66">
        <v>0</v>
      </c>
      <c r="S17" s="72">
        <f t="shared" si="0"/>
        <v>0</v>
      </c>
    </row>
    <row r="18" spans="1:19" ht="24.95" customHeight="1">
      <c r="A18" s="150">
        <v>22107</v>
      </c>
      <c r="B18" s="67" t="s">
        <v>30</v>
      </c>
      <c r="C18" s="67" t="s">
        <v>30</v>
      </c>
      <c r="D18" s="67" t="s">
        <v>30</v>
      </c>
      <c r="E18" s="67" t="s">
        <v>30</v>
      </c>
      <c r="F18" s="67" t="s">
        <v>30</v>
      </c>
      <c r="G18" s="67" t="s">
        <v>30</v>
      </c>
      <c r="H18" s="67" t="s">
        <v>30</v>
      </c>
      <c r="I18" s="67">
        <v>0</v>
      </c>
      <c r="J18" s="67">
        <v>0</v>
      </c>
      <c r="K18" s="67">
        <v>0</v>
      </c>
      <c r="L18" s="67">
        <v>0</v>
      </c>
      <c r="M18" s="67">
        <v>3724000</v>
      </c>
      <c r="N18" s="67">
        <v>2606800</v>
      </c>
      <c r="O18" s="67">
        <f>N18*70%</f>
        <v>1824760</v>
      </c>
      <c r="P18" s="67">
        <f>O18</f>
        <v>1824760</v>
      </c>
      <c r="Q18" s="66">
        <f>P18</f>
        <v>1824760</v>
      </c>
      <c r="R18" s="66">
        <f>Q18</f>
        <v>1824760</v>
      </c>
      <c r="S18" s="72">
        <f t="shared" si="0"/>
        <v>0</v>
      </c>
    </row>
    <row r="19" spans="1:19" s="87" customFormat="1" ht="24.95" customHeight="1">
      <c r="A19" s="150">
        <v>22108</v>
      </c>
      <c r="B19" s="67" t="s">
        <v>60</v>
      </c>
      <c r="C19" s="67" t="s">
        <v>60</v>
      </c>
      <c r="D19" s="67" t="s">
        <v>60</v>
      </c>
      <c r="E19" s="67" t="s">
        <v>60</v>
      </c>
      <c r="F19" s="67" t="s">
        <v>60</v>
      </c>
      <c r="G19" s="67" t="s">
        <v>60</v>
      </c>
      <c r="H19" s="67" t="s">
        <v>60</v>
      </c>
      <c r="I19" s="68">
        <f>SUM(I15:I18)</f>
        <v>2000000</v>
      </c>
      <c r="J19" s="68">
        <f>SUM(J15:J18)</f>
        <v>1489600</v>
      </c>
      <c r="K19" s="68">
        <f>SUM(K15:K18)</f>
        <v>8000000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6">
        <v>0</v>
      </c>
      <c r="R19" s="66">
        <v>0</v>
      </c>
      <c r="S19" s="72">
        <f t="shared" si="0"/>
        <v>0</v>
      </c>
    </row>
    <row r="20" spans="1:19" ht="24.95" customHeight="1">
      <c r="A20" s="150">
        <v>22109</v>
      </c>
      <c r="B20" s="67" t="s">
        <v>94</v>
      </c>
      <c r="C20" s="67" t="s">
        <v>94</v>
      </c>
      <c r="D20" s="67" t="s">
        <v>94</v>
      </c>
      <c r="E20" s="67" t="s">
        <v>94</v>
      </c>
      <c r="F20" s="67" t="s">
        <v>94</v>
      </c>
      <c r="G20" s="67" t="s">
        <v>94</v>
      </c>
      <c r="H20" s="67" t="s">
        <v>94</v>
      </c>
      <c r="I20" s="67"/>
      <c r="J20" s="67"/>
      <c r="K20" s="67"/>
      <c r="L20" s="67">
        <v>148176000</v>
      </c>
      <c r="M20" s="67">
        <v>13937600</v>
      </c>
      <c r="N20" s="67">
        <f>13937600*70%</f>
        <v>9756320</v>
      </c>
      <c r="O20" s="67">
        <f>13937600*70%</f>
        <v>9756320</v>
      </c>
      <c r="P20" s="67">
        <f>13937600*70%</f>
        <v>9756320</v>
      </c>
      <c r="Q20" s="66">
        <f>13937600*70%</f>
        <v>9756320</v>
      </c>
      <c r="R20" s="66">
        <f>13937600*70%</f>
        <v>9756320</v>
      </c>
      <c r="S20" s="72">
        <f t="shared" si="0"/>
        <v>0</v>
      </c>
    </row>
    <row r="21" spans="1:19" ht="24.95" customHeight="1">
      <c r="A21" s="150">
        <v>22112</v>
      </c>
      <c r="B21" s="67" t="s">
        <v>16</v>
      </c>
      <c r="C21" s="67" t="s">
        <v>16</v>
      </c>
      <c r="D21" s="67" t="s">
        <v>16</v>
      </c>
      <c r="E21" s="67" t="s">
        <v>16</v>
      </c>
      <c r="F21" s="67" t="s">
        <v>16</v>
      </c>
      <c r="G21" s="67" t="s">
        <v>16</v>
      </c>
      <c r="H21" s="67" t="s">
        <v>16</v>
      </c>
      <c r="I21" s="67">
        <v>35000000</v>
      </c>
      <c r="J21" s="67">
        <v>29792000</v>
      </c>
      <c r="K21" s="67">
        <v>40000000</v>
      </c>
      <c r="L21" s="67">
        <v>11172000</v>
      </c>
      <c r="M21" s="67">
        <v>14192800</v>
      </c>
      <c r="N21" s="67">
        <v>9934960</v>
      </c>
      <c r="O21" s="67">
        <v>9934960</v>
      </c>
      <c r="P21" s="67">
        <v>9934960</v>
      </c>
      <c r="Q21" s="66">
        <v>9934960</v>
      </c>
      <c r="R21" s="66">
        <v>9934960</v>
      </c>
      <c r="S21" s="72">
        <f t="shared" si="0"/>
        <v>0</v>
      </c>
    </row>
    <row r="22" spans="1:19" ht="24.95" customHeight="1">
      <c r="A22" s="150">
        <v>22114</v>
      </c>
      <c r="B22" s="67" t="s">
        <v>195</v>
      </c>
      <c r="C22" s="67" t="s">
        <v>195</v>
      </c>
      <c r="D22" s="67" t="s">
        <v>195</v>
      </c>
      <c r="E22" s="67" t="s">
        <v>195</v>
      </c>
      <c r="F22" s="67" t="s">
        <v>195</v>
      </c>
      <c r="G22" s="67" t="s">
        <v>195</v>
      </c>
      <c r="H22" s="67" t="s">
        <v>195</v>
      </c>
      <c r="I22" s="67">
        <v>0</v>
      </c>
      <c r="J22" s="67">
        <v>0</v>
      </c>
      <c r="K22" s="67">
        <v>0</v>
      </c>
      <c r="L22" s="67">
        <v>7448000</v>
      </c>
      <c r="M22" s="67">
        <v>0</v>
      </c>
      <c r="N22" s="67">
        <v>0</v>
      </c>
      <c r="O22" s="67">
        <v>0</v>
      </c>
      <c r="P22" s="67">
        <v>0</v>
      </c>
      <c r="Q22" s="66">
        <v>0</v>
      </c>
      <c r="R22" s="66">
        <v>0</v>
      </c>
      <c r="S22" s="72">
        <f t="shared" si="0"/>
        <v>0</v>
      </c>
    </row>
    <row r="23" spans="1:19" ht="24.95" customHeight="1">
      <c r="A23" s="150">
        <v>22121</v>
      </c>
      <c r="B23" s="67" t="s">
        <v>216</v>
      </c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67">
        <v>37240000</v>
      </c>
      <c r="N23" s="67">
        <f>37240000*70%+100000000</f>
        <v>126068000</v>
      </c>
      <c r="O23" s="67">
        <v>156068000</v>
      </c>
      <c r="P23" s="67">
        <v>156068000</v>
      </c>
      <c r="Q23" s="66">
        <v>206068000</v>
      </c>
      <c r="R23" s="66">
        <v>206068000</v>
      </c>
      <c r="S23" s="72">
        <f t="shared" si="0"/>
        <v>0</v>
      </c>
    </row>
    <row r="24" spans="1:19" ht="24.95" customHeight="1">
      <c r="A24" s="150">
        <v>22132</v>
      </c>
      <c r="B24" s="67" t="s">
        <v>144</v>
      </c>
      <c r="C24" s="67" t="s">
        <v>144</v>
      </c>
      <c r="D24" s="67" t="s">
        <v>144</v>
      </c>
      <c r="E24" s="67" t="s">
        <v>144</v>
      </c>
      <c r="F24" s="67" t="s">
        <v>144</v>
      </c>
      <c r="G24" s="67" t="s">
        <v>144</v>
      </c>
      <c r="H24" s="67" t="s">
        <v>144</v>
      </c>
      <c r="I24" s="67">
        <v>0</v>
      </c>
      <c r="J24" s="67">
        <v>0</v>
      </c>
      <c r="K24" s="67">
        <v>0</v>
      </c>
      <c r="L24" s="67"/>
      <c r="M24" s="67">
        <v>89156800</v>
      </c>
      <c r="N24" s="67">
        <f>89156800*70%+100000000</f>
        <v>162409760</v>
      </c>
      <c r="O24" s="67">
        <v>0</v>
      </c>
      <c r="P24" s="67">
        <v>0</v>
      </c>
      <c r="Q24" s="66">
        <v>0</v>
      </c>
      <c r="R24" s="66">
        <v>0</v>
      </c>
      <c r="S24" s="72">
        <f t="shared" si="0"/>
        <v>0</v>
      </c>
    </row>
    <row r="25" spans="1:19" s="87" customFormat="1" ht="24.95" customHeight="1">
      <c r="A25" s="150">
        <v>22134</v>
      </c>
      <c r="B25" s="67" t="s">
        <v>189</v>
      </c>
      <c r="C25" s="67" t="s">
        <v>189</v>
      </c>
      <c r="D25" s="67" t="s">
        <v>189</v>
      </c>
      <c r="E25" s="67" t="s">
        <v>189</v>
      </c>
      <c r="F25" s="67" t="s">
        <v>189</v>
      </c>
      <c r="G25" s="67" t="s">
        <v>189</v>
      </c>
      <c r="H25" s="67" t="s">
        <v>189</v>
      </c>
      <c r="I25" s="68">
        <f>SUM(I21:I24)</f>
        <v>35000000</v>
      </c>
      <c r="J25" s="68">
        <f>SUM(J21:J24)</f>
        <v>29792000</v>
      </c>
      <c r="K25" s="68">
        <f>SUM(K21:K24)</f>
        <v>40000000</v>
      </c>
      <c r="L25" s="68"/>
      <c r="M25" s="67">
        <v>0</v>
      </c>
      <c r="N25" s="67">
        <v>0</v>
      </c>
      <c r="O25" s="67">
        <v>0</v>
      </c>
      <c r="P25" s="67">
        <v>0</v>
      </c>
      <c r="Q25" s="66">
        <v>0</v>
      </c>
      <c r="R25" s="66">
        <v>0</v>
      </c>
      <c r="S25" s="72">
        <f t="shared" si="0"/>
        <v>0</v>
      </c>
    </row>
    <row r="26" spans="1:19" s="87" customFormat="1" ht="24.95" customHeight="1">
      <c r="A26" s="150">
        <v>22141</v>
      </c>
      <c r="B26" s="67" t="s">
        <v>395</v>
      </c>
      <c r="C26" s="67"/>
      <c r="D26" s="67"/>
      <c r="E26" s="67"/>
      <c r="F26" s="67"/>
      <c r="G26" s="67"/>
      <c r="H26" s="67"/>
      <c r="I26" s="68"/>
      <c r="J26" s="68"/>
      <c r="K26" s="68"/>
      <c r="L26" s="68"/>
      <c r="M26" s="67"/>
      <c r="N26" s="67"/>
      <c r="O26" s="67"/>
      <c r="P26" s="67">
        <v>0</v>
      </c>
      <c r="Q26" s="66">
        <v>300000000</v>
      </c>
      <c r="R26" s="66">
        <v>0</v>
      </c>
      <c r="S26" s="72">
        <f t="shared" si="0"/>
        <v>-300000000</v>
      </c>
    </row>
    <row r="27" spans="1:19" s="87" customFormat="1" ht="24.95" customHeight="1">
      <c r="A27" s="169">
        <v>22169</v>
      </c>
      <c r="B27" s="67" t="s">
        <v>623</v>
      </c>
      <c r="C27" s="67"/>
      <c r="D27" s="67"/>
      <c r="E27" s="67"/>
      <c r="F27" s="67"/>
      <c r="G27" s="67"/>
      <c r="H27" s="67"/>
      <c r="I27" s="68"/>
      <c r="J27" s="68"/>
      <c r="K27" s="68"/>
      <c r="L27" s="68"/>
      <c r="M27" s="67"/>
      <c r="N27" s="67"/>
      <c r="O27" s="67"/>
      <c r="P27" s="67">
        <v>0</v>
      </c>
      <c r="Q27" s="66">
        <v>400000000</v>
      </c>
      <c r="R27" s="66">
        <v>400000000</v>
      </c>
      <c r="S27" s="72">
        <f t="shared" si="0"/>
        <v>0</v>
      </c>
    </row>
    <row r="28" spans="1:19" s="87" customFormat="1" ht="24.95" customHeight="1">
      <c r="A28" s="169">
        <v>22154</v>
      </c>
      <c r="B28" s="67" t="s">
        <v>681</v>
      </c>
      <c r="C28" s="67"/>
      <c r="D28" s="67"/>
      <c r="E28" s="67"/>
      <c r="F28" s="67"/>
      <c r="G28" s="67"/>
      <c r="H28" s="67"/>
      <c r="I28" s="68"/>
      <c r="J28" s="68"/>
      <c r="K28" s="68"/>
      <c r="L28" s="68"/>
      <c r="M28" s="67"/>
      <c r="N28" s="67"/>
      <c r="O28" s="67"/>
      <c r="P28" s="67"/>
      <c r="Q28" s="66">
        <v>100000000</v>
      </c>
      <c r="R28" s="66">
        <v>100000000</v>
      </c>
      <c r="S28" s="72">
        <f t="shared" si="0"/>
        <v>0</v>
      </c>
    </row>
    <row r="29" spans="1:19" ht="24.95" customHeight="1">
      <c r="A29" s="148"/>
      <c r="B29" s="68" t="s">
        <v>59</v>
      </c>
      <c r="C29" s="68" t="s">
        <v>59</v>
      </c>
      <c r="D29" s="68" t="s">
        <v>59</v>
      </c>
      <c r="E29" s="68" t="s">
        <v>59</v>
      </c>
      <c r="F29" s="68" t="s">
        <v>59</v>
      </c>
      <c r="G29" s="68" t="s">
        <v>59</v>
      </c>
      <c r="H29" s="68" t="s">
        <v>59</v>
      </c>
      <c r="I29" s="67">
        <v>30000000</v>
      </c>
      <c r="J29" s="67">
        <v>26068000</v>
      </c>
      <c r="K29" s="67">
        <v>30000000</v>
      </c>
      <c r="L29" s="67">
        <v>0</v>
      </c>
      <c r="M29" s="68">
        <f>SUM(M12:M25)</f>
        <v>192684793</v>
      </c>
      <c r="N29" s="68">
        <f>SUM(N12:N25)</f>
        <v>334879355.10000002</v>
      </c>
      <c r="O29" s="68">
        <f>SUM(O12:O25)</f>
        <v>251687555.09999999</v>
      </c>
      <c r="P29" s="68">
        <f>SUM(P12:P25)</f>
        <v>251687555.09999999</v>
      </c>
      <c r="Q29" s="106">
        <f>SUM(Q12:Q28)</f>
        <v>1101687555.0999999</v>
      </c>
      <c r="R29" s="106">
        <f>SUM(R12:R28)</f>
        <v>801687555.10000002</v>
      </c>
      <c r="S29" s="77">
        <f t="shared" si="0"/>
        <v>-299999999.99999988</v>
      </c>
    </row>
    <row r="30" spans="1:19" ht="24.95" customHeight="1">
      <c r="A30" s="148">
        <v>2220</v>
      </c>
      <c r="B30" s="68" t="s">
        <v>161</v>
      </c>
      <c r="C30" s="68" t="s">
        <v>161</v>
      </c>
      <c r="D30" s="68" t="s">
        <v>161</v>
      </c>
      <c r="E30" s="68" t="s">
        <v>161</v>
      </c>
      <c r="F30" s="68" t="s">
        <v>161</v>
      </c>
      <c r="G30" s="68" t="s">
        <v>161</v>
      </c>
      <c r="H30" s="68" t="s">
        <v>161</v>
      </c>
      <c r="I30" s="67">
        <v>0</v>
      </c>
      <c r="J30" s="67">
        <v>0</v>
      </c>
      <c r="K30" s="67">
        <v>0</v>
      </c>
      <c r="L30" s="67">
        <v>0</v>
      </c>
      <c r="M30" s="67"/>
      <c r="N30" s="67"/>
      <c r="O30" s="67"/>
      <c r="P30" s="67"/>
      <c r="Q30" s="66"/>
      <c r="R30" s="66"/>
      <c r="S30" s="72">
        <f t="shared" si="0"/>
        <v>0</v>
      </c>
    </row>
    <row r="31" spans="1:19" ht="24.95" customHeight="1">
      <c r="A31" s="150">
        <v>22201</v>
      </c>
      <c r="B31" s="67" t="s">
        <v>90</v>
      </c>
      <c r="C31" s="67" t="s">
        <v>90</v>
      </c>
      <c r="D31" s="67" t="s">
        <v>90</v>
      </c>
      <c r="E31" s="67" t="s">
        <v>90</v>
      </c>
      <c r="F31" s="67" t="s">
        <v>90</v>
      </c>
      <c r="G31" s="67" t="s">
        <v>90</v>
      </c>
      <c r="H31" s="67" t="s">
        <v>90</v>
      </c>
      <c r="I31" s="67">
        <v>11232000</v>
      </c>
      <c r="J31" s="67">
        <v>8365593</v>
      </c>
      <c r="K31" s="67">
        <v>17000000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6">
        <v>0</v>
      </c>
      <c r="R31" s="66">
        <v>0</v>
      </c>
      <c r="S31" s="72">
        <f t="shared" si="0"/>
        <v>0</v>
      </c>
    </row>
    <row r="32" spans="1:19" ht="24.95" customHeight="1">
      <c r="A32" s="150">
        <v>22202</v>
      </c>
      <c r="B32" s="67" t="s">
        <v>91</v>
      </c>
      <c r="C32" s="67" t="s">
        <v>91</v>
      </c>
      <c r="D32" s="67" t="s">
        <v>91</v>
      </c>
      <c r="E32" s="67" t="s">
        <v>91</v>
      </c>
      <c r="F32" s="67" t="s">
        <v>91</v>
      </c>
      <c r="G32" s="67" t="s">
        <v>91</v>
      </c>
      <c r="H32" s="67" t="s">
        <v>91</v>
      </c>
      <c r="I32" s="67">
        <v>5000000</v>
      </c>
      <c r="J32" s="67">
        <v>3724000</v>
      </c>
      <c r="K32" s="67">
        <v>8956000</v>
      </c>
      <c r="L32" s="68">
        <f>SUM(L29:L31)</f>
        <v>0</v>
      </c>
      <c r="M32" s="67">
        <v>305300000</v>
      </c>
      <c r="N32" s="67">
        <v>213710000</v>
      </c>
      <c r="O32" s="67">
        <f>N32*80%</f>
        <v>170968000</v>
      </c>
      <c r="P32" s="67">
        <f>O32</f>
        <v>170968000</v>
      </c>
      <c r="Q32" s="66">
        <f>P32</f>
        <v>170968000</v>
      </c>
      <c r="R32" s="66">
        <f>Q32</f>
        <v>170968000</v>
      </c>
      <c r="S32" s="72">
        <f t="shared" si="0"/>
        <v>0</v>
      </c>
    </row>
    <row r="33" spans="1:19" ht="24.95" customHeight="1">
      <c r="A33" s="150">
        <v>22203</v>
      </c>
      <c r="B33" s="67" t="s">
        <v>85</v>
      </c>
      <c r="C33" s="67" t="s">
        <v>85</v>
      </c>
      <c r="D33" s="67" t="s">
        <v>85</v>
      </c>
      <c r="E33" s="67" t="s">
        <v>85</v>
      </c>
      <c r="F33" s="67" t="s">
        <v>85</v>
      </c>
      <c r="G33" s="67" t="s">
        <v>85</v>
      </c>
      <c r="H33" s="67" t="s">
        <v>85</v>
      </c>
      <c r="I33" s="67">
        <v>12000000</v>
      </c>
      <c r="J33" s="67">
        <v>8937600</v>
      </c>
      <c r="K33" s="67">
        <v>10000000</v>
      </c>
      <c r="L33" s="67"/>
      <c r="M33" s="67">
        <v>21172000</v>
      </c>
      <c r="N33" s="67">
        <v>14820400</v>
      </c>
      <c r="O33" s="67">
        <v>14820400</v>
      </c>
      <c r="P33" s="67">
        <v>14820400</v>
      </c>
      <c r="Q33" s="66">
        <v>14820400</v>
      </c>
      <c r="R33" s="66">
        <v>14820400</v>
      </c>
      <c r="S33" s="72">
        <f t="shared" si="0"/>
        <v>0</v>
      </c>
    </row>
    <row r="34" spans="1:19" ht="24.95" customHeight="1">
      <c r="A34" s="150">
        <v>22204</v>
      </c>
      <c r="B34" s="67" t="s">
        <v>86</v>
      </c>
      <c r="C34" s="67" t="s">
        <v>86</v>
      </c>
      <c r="D34" s="67" t="s">
        <v>86</v>
      </c>
      <c r="E34" s="67" t="s">
        <v>86</v>
      </c>
      <c r="F34" s="67" t="s">
        <v>86</v>
      </c>
      <c r="G34" s="67" t="s">
        <v>86</v>
      </c>
      <c r="H34" s="67" t="s">
        <v>86</v>
      </c>
      <c r="I34" s="67">
        <v>8000000</v>
      </c>
      <c r="J34" s="67">
        <v>8192800</v>
      </c>
      <c r="K34" s="67">
        <v>16000000</v>
      </c>
      <c r="L34" s="67">
        <v>29792000</v>
      </c>
      <c r="M34" s="67">
        <v>7667915</v>
      </c>
      <c r="N34" s="67">
        <f>7667915*70%</f>
        <v>5367540.5</v>
      </c>
      <c r="O34" s="67">
        <f>7667915*70%</f>
        <v>5367540.5</v>
      </c>
      <c r="P34" s="67">
        <f>7667915*70%</f>
        <v>5367540.5</v>
      </c>
      <c r="Q34" s="66">
        <f>7667915*70%</f>
        <v>5367540.5</v>
      </c>
      <c r="R34" s="66">
        <f>7667915*70%</f>
        <v>5367540.5</v>
      </c>
      <c r="S34" s="72">
        <f t="shared" si="0"/>
        <v>0</v>
      </c>
    </row>
    <row r="35" spans="1:19" ht="24.95" customHeight="1">
      <c r="A35" s="150">
        <v>22208</v>
      </c>
      <c r="B35" s="67" t="s">
        <v>196</v>
      </c>
      <c r="C35" s="67" t="s">
        <v>196</v>
      </c>
      <c r="D35" s="67" t="s">
        <v>196</v>
      </c>
      <c r="E35" s="67" t="s">
        <v>196</v>
      </c>
      <c r="F35" s="67" t="s">
        <v>196</v>
      </c>
      <c r="G35" s="67" t="s">
        <v>196</v>
      </c>
      <c r="H35" s="67" t="s">
        <v>196</v>
      </c>
      <c r="I35" s="67">
        <v>66000000</v>
      </c>
      <c r="J35" s="67">
        <v>49156800</v>
      </c>
      <c r="K35" s="67">
        <v>60000000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6">
        <v>0</v>
      </c>
      <c r="R35" s="66">
        <v>0</v>
      </c>
      <c r="S35" s="72">
        <f t="shared" si="0"/>
        <v>0</v>
      </c>
    </row>
    <row r="36" spans="1:19" ht="24.95" customHeight="1">
      <c r="A36" s="150"/>
      <c r="B36" s="68" t="s">
        <v>59</v>
      </c>
      <c r="C36" s="68" t="s">
        <v>59</v>
      </c>
      <c r="D36" s="68" t="s">
        <v>59</v>
      </c>
      <c r="E36" s="68" t="s">
        <v>59</v>
      </c>
      <c r="F36" s="68" t="s">
        <v>59</v>
      </c>
      <c r="G36" s="68" t="s">
        <v>59</v>
      </c>
      <c r="H36" s="68" t="s">
        <v>59</v>
      </c>
      <c r="I36" s="67">
        <v>0</v>
      </c>
      <c r="J36" s="67">
        <v>0</v>
      </c>
      <c r="K36" s="67">
        <v>0</v>
      </c>
      <c r="L36" s="67">
        <v>1489600</v>
      </c>
      <c r="M36" s="68">
        <f t="shared" ref="M36:Q36" si="1">SUM(M31:M35)</f>
        <v>334139915</v>
      </c>
      <c r="N36" s="68">
        <f t="shared" si="1"/>
        <v>233897940.5</v>
      </c>
      <c r="O36" s="68">
        <f t="shared" si="1"/>
        <v>191155940.5</v>
      </c>
      <c r="P36" s="68">
        <f t="shared" si="1"/>
        <v>191155940.5</v>
      </c>
      <c r="Q36" s="106">
        <f t="shared" si="1"/>
        <v>191155940.5</v>
      </c>
      <c r="R36" s="106">
        <f>SUM(R31:R35)</f>
        <v>191155940.5</v>
      </c>
      <c r="S36" s="77">
        <f t="shared" si="0"/>
        <v>0</v>
      </c>
    </row>
    <row r="37" spans="1:19" ht="24.95" customHeight="1">
      <c r="A37" s="148">
        <v>2230</v>
      </c>
      <c r="B37" s="68" t="s">
        <v>88</v>
      </c>
      <c r="C37" s="68" t="s">
        <v>88</v>
      </c>
      <c r="D37" s="68" t="s">
        <v>88</v>
      </c>
      <c r="E37" s="68" t="s">
        <v>88</v>
      </c>
      <c r="F37" s="68" t="s">
        <v>88</v>
      </c>
      <c r="G37" s="68" t="s">
        <v>88</v>
      </c>
      <c r="H37" s="68" t="s">
        <v>88</v>
      </c>
      <c r="I37" s="67"/>
      <c r="J37" s="67"/>
      <c r="K37" s="67"/>
      <c r="L37" s="67">
        <v>143746400</v>
      </c>
      <c r="M37" s="67"/>
      <c r="N37" s="67"/>
      <c r="O37" s="67"/>
      <c r="P37" s="67"/>
      <c r="Q37" s="66"/>
      <c r="R37" s="66"/>
      <c r="S37" s="72">
        <f t="shared" si="0"/>
        <v>0</v>
      </c>
    </row>
    <row r="38" spans="1:19" ht="24.95" customHeight="1">
      <c r="A38" s="150">
        <v>22301</v>
      </c>
      <c r="B38" s="67" t="s">
        <v>31</v>
      </c>
      <c r="C38" s="67" t="s">
        <v>31</v>
      </c>
      <c r="D38" s="67" t="s">
        <v>31</v>
      </c>
      <c r="E38" s="67" t="s">
        <v>31</v>
      </c>
      <c r="F38" s="67" t="s">
        <v>31</v>
      </c>
      <c r="G38" s="67" t="s">
        <v>31</v>
      </c>
      <c r="H38" s="67" t="s">
        <v>31</v>
      </c>
      <c r="I38" s="67">
        <v>0</v>
      </c>
      <c r="J38" s="67">
        <v>0</v>
      </c>
      <c r="K38" s="67">
        <v>0</v>
      </c>
      <c r="L38" s="68">
        <f>SUM(L33:L37)</f>
        <v>175028000</v>
      </c>
      <c r="M38" s="67">
        <v>39792000</v>
      </c>
      <c r="N38" s="67">
        <v>27854400</v>
      </c>
      <c r="O38" s="67">
        <v>27854400</v>
      </c>
      <c r="P38" s="67">
        <v>27854400</v>
      </c>
      <c r="Q38" s="66">
        <v>27854400</v>
      </c>
      <c r="R38" s="66">
        <v>27854400</v>
      </c>
      <c r="S38" s="72">
        <f t="shared" si="0"/>
        <v>0</v>
      </c>
    </row>
    <row r="39" spans="1:19" ht="24.95" customHeight="1">
      <c r="A39" s="150">
        <v>22302</v>
      </c>
      <c r="B39" s="67" t="s">
        <v>162</v>
      </c>
      <c r="C39" s="67" t="s">
        <v>162</v>
      </c>
      <c r="D39" s="67" t="s">
        <v>162</v>
      </c>
      <c r="E39" s="67" t="s">
        <v>162</v>
      </c>
      <c r="F39" s="67" t="s">
        <v>162</v>
      </c>
      <c r="G39" s="67" t="s">
        <v>162</v>
      </c>
      <c r="H39" s="67" t="s">
        <v>162</v>
      </c>
      <c r="I39" s="67">
        <v>193000000</v>
      </c>
      <c r="J39" s="67">
        <v>143746400</v>
      </c>
      <c r="K39" s="67">
        <v>190000000</v>
      </c>
      <c r="L39" s="68" t="e">
        <f>L38+L32+#REF!+L17+#REF!</f>
        <v>#REF!</v>
      </c>
      <c r="M39" s="67">
        <v>0</v>
      </c>
      <c r="N39" s="67">
        <v>0</v>
      </c>
      <c r="O39" s="67">
        <v>0</v>
      </c>
      <c r="P39" s="67">
        <v>0</v>
      </c>
      <c r="Q39" s="66">
        <v>50000000</v>
      </c>
      <c r="R39" s="66">
        <v>50000000</v>
      </c>
      <c r="S39" s="72">
        <f t="shared" si="0"/>
        <v>0</v>
      </c>
    </row>
    <row r="40" spans="1:19" ht="24.95" customHeight="1">
      <c r="A40" s="150">
        <v>22305</v>
      </c>
      <c r="B40" s="67" t="s">
        <v>163</v>
      </c>
      <c r="C40" s="67" t="s">
        <v>163</v>
      </c>
      <c r="D40" s="67" t="s">
        <v>163</v>
      </c>
      <c r="E40" s="67" t="s">
        <v>163</v>
      </c>
      <c r="F40" s="67" t="s">
        <v>163</v>
      </c>
      <c r="G40" s="67" t="s">
        <v>163</v>
      </c>
      <c r="H40" s="67" t="s">
        <v>163</v>
      </c>
      <c r="I40" s="71"/>
      <c r="J40" s="71"/>
      <c r="K40" s="71"/>
      <c r="L40" s="71"/>
      <c r="M40" s="67">
        <v>1489600</v>
      </c>
      <c r="N40" s="67">
        <f>1489600*70%</f>
        <v>1042719.9999999999</v>
      </c>
      <c r="O40" s="67">
        <f>1489600*70%</f>
        <v>1042719.9999999999</v>
      </c>
      <c r="P40" s="67">
        <f>1489600*70%</f>
        <v>1042719.9999999999</v>
      </c>
      <c r="Q40" s="66">
        <f>1489600*70%</f>
        <v>1042719.9999999999</v>
      </c>
      <c r="R40" s="66">
        <f>1489600*70%</f>
        <v>1042719.9999999999</v>
      </c>
      <c r="S40" s="72">
        <f t="shared" si="0"/>
        <v>0</v>
      </c>
    </row>
    <row r="41" spans="1:19" ht="24.95" customHeight="1">
      <c r="A41" s="148"/>
      <c r="B41" s="68" t="s">
        <v>59</v>
      </c>
      <c r="C41" s="68" t="s">
        <v>59</v>
      </c>
      <c r="D41" s="68" t="s">
        <v>59</v>
      </c>
      <c r="E41" s="68" t="s">
        <v>59</v>
      </c>
      <c r="F41" s="68" t="s">
        <v>59</v>
      </c>
      <c r="G41" s="68" t="s">
        <v>59</v>
      </c>
      <c r="H41" s="68" t="s">
        <v>59</v>
      </c>
      <c r="I41" s="71"/>
      <c r="J41" s="71"/>
      <c r="K41" s="71"/>
      <c r="L41" s="71"/>
      <c r="M41" s="77">
        <f t="shared" ref="M41:Q41" si="2">SUM(M38:M40)</f>
        <v>41281600</v>
      </c>
      <c r="N41" s="77">
        <f t="shared" si="2"/>
        <v>28897120</v>
      </c>
      <c r="O41" s="77">
        <f t="shared" si="2"/>
        <v>28897120</v>
      </c>
      <c r="P41" s="77">
        <f t="shared" si="2"/>
        <v>28897120</v>
      </c>
      <c r="Q41" s="105">
        <f t="shared" si="2"/>
        <v>78897120</v>
      </c>
      <c r="R41" s="105">
        <f>SUM(R38:R40)</f>
        <v>78897120</v>
      </c>
      <c r="S41" s="77">
        <f t="shared" si="0"/>
        <v>0</v>
      </c>
    </row>
    <row r="42" spans="1:19" ht="24.95" customHeight="1">
      <c r="A42" s="148">
        <v>230</v>
      </c>
      <c r="B42" s="68" t="s">
        <v>165</v>
      </c>
      <c r="C42" s="68" t="s">
        <v>165</v>
      </c>
      <c r="D42" s="68" t="s">
        <v>165</v>
      </c>
      <c r="E42" s="68" t="s">
        <v>165</v>
      </c>
      <c r="F42" s="68" t="s">
        <v>165</v>
      </c>
      <c r="G42" s="68" t="s">
        <v>165</v>
      </c>
      <c r="H42" s="68" t="s">
        <v>165</v>
      </c>
      <c r="I42" s="71"/>
      <c r="J42" s="71"/>
      <c r="K42" s="71"/>
      <c r="L42" s="71"/>
      <c r="M42" s="71"/>
      <c r="N42" s="71"/>
      <c r="O42" s="71"/>
      <c r="P42" s="71"/>
      <c r="Q42" s="118"/>
      <c r="R42" s="118"/>
      <c r="S42" s="72">
        <f t="shared" si="0"/>
        <v>0</v>
      </c>
    </row>
    <row r="43" spans="1:19" ht="24.95" customHeight="1">
      <c r="A43" s="148">
        <v>2310</v>
      </c>
      <c r="B43" s="68" t="s">
        <v>164</v>
      </c>
      <c r="C43" s="68" t="s">
        <v>164</v>
      </c>
      <c r="D43" s="68" t="s">
        <v>164</v>
      </c>
      <c r="E43" s="68" t="s">
        <v>164</v>
      </c>
      <c r="F43" s="68" t="s">
        <v>164</v>
      </c>
      <c r="G43" s="68" t="s">
        <v>164</v>
      </c>
      <c r="H43" s="68" t="s">
        <v>164</v>
      </c>
      <c r="I43" s="71"/>
      <c r="J43" s="71"/>
      <c r="K43" s="71"/>
      <c r="L43" s="71"/>
      <c r="M43" s="71"/>
      <c r="N43" s="71"/>
      <c r="O43" s="71"/>
      <c r="P43" s="71"/>
      <c r="Q43" s="118"/>
      <c r="R43" s="118"/>
      <c r="S43" s="72">
        <f t="shared" si="0"/>
        <v>0</v>
      </c>
    </row>
    <row r="44" spans="1:19" ht="24.95" customHeight="1">
      <c r="A44" s="150">
        <v>23102</v>
      </c>
      <c r="B44" s="67" t="s">
        <v>194</v>
      </c>
      <c r="C44" s="67" t="s">
        <v>194</v>
      </c>
      <c r="D44" s="67" t="s">
        <v>194</v>
      </c>
      <c r="E44" s="67" t="s">
        <v>194</v>
      </c>
      <c r="F44" s="67" t="s">
        <v>194</v>
      </c>
      <c r="G44" s="67" t="s">
        <v>194</v>
      </c>
      <c r="H44" s="67" t="s">
        <v>194</v>
      </c>
      <c r="I44" s="71"/>
      <c r="J44" s="71"/>
      <c r="K44" s="71"/>
      <c r="L44" s="71"/>
      <c r="M44" s="67">
        <v>0</v>
      </c>
      <c r="N44" s="67">
        <v>0</v>
      </c>
      <c r="O44" s="67">
        <v>0</v>
      </c>
      <c r="P44" s="67">
        <v>96000000</v>
      </c>
      <c r="Q44" s="66">
        <v>120000000</v>
      </c>
      <c r="R44" s="66">
        <v>0</v>
      </c>
      <c r="S44" s="72">
        <f t="shared" si="0"/>
        <v>-120000000</v>
      </c>
    </row>
    <row r="45" spans="1:19" ht="24.95" customHeight="1">
      <c r="A45" s="150">
        <v>23103</v>
      </c>
      <c r="B45" s="67" t="s">
        <v>106</v>
      </c>
      <c r="C45" s="67" t="s">
        <v>106</v>
      </c>
      <c r="D45" s="67" t="s">
        <v>106</v>
      </c>
      <c r="E45" s="67" t="s">
        <v>106</v>
      </c>
      <c r="F45" s="67" t="s">
        <v>106</v>
      </c>
      <c r="G45" s="67" t="s">
        <v>106</v>
      </c>
      <c r="H45" s="67" t="s">
        <v>106</v>
      </c>
      <c r="I45" s="71"/>
      <c r="J45" s="71"/>
      <c r="K45" s="71"/>
      <c r="L45" s="71"/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72">
        <f t="shared" si="0"/>
        <v>0</v>
      </c>
    </row>
    <row r="46" spans="1:19" ht="24.95" customHeight="1">
      <c r="A46" s="150"/>
      <c r="B46" s="68" t="s">
        <v>59</v>
      </c>
      <c r="C46" s="68" t="s">
        <v>59</v>
      </c>
      <c r="D46" s="68" t="s">
        <v>59</v>
      </c>
      <c r="E46" s="68" t="s">
        <v>59</v>
      </c>
      <c r="F46" s="68" t="s">
        <v>59</v>
      </c>
      <c r="G46" s="68" t="s">
        <v>59</v>
      </c>
      <c r="H46" s="68" t="s">
        <v>59</v>
      </c>
      <c r="I46" s="71"/>
      <c r="J46" s="71"/>
      <c r="K46" s="71"/>
      <c r="L46" s="71"/>
      <c r="M46" s="77">
        <f t="shared" ref="M46:R46" si="3">SUM(M44:M45)</f>
        <v>0</v>
      </c>
      <c r="N46" s="77">
        <f t="shared" si="3"/>
        <v>0</v>
      </c>
      <c r="O46" s="77">
        <f t="shared" si="3"/>
        <v>0</v>
      </c>
      <c r="P46" s="77">
        <f t="shared" si="3"/>
        <v>96000000</v>
      </c>
      <c r="Q46" s="77">
        <f t="shared" si="3"/>
        <v>120000000</v>
      </c>
      <c r="R46" s="77">
        <f t="shared" si="3"/>
        <v>0</v>
      </c>
      <c r="S46" s="72">
        <f t="shared" si="0"/>
        <v>-120000000</v>
      </c>
    </row>
    <row r="47" spans="1:19" ht="24.95" customHeight="1">
      <c r="A47" s="149"/>
      <c r="B47" s="68" t="s">
        <v>18</v>
      </c>
      <c r="C47" s="68" t="s">
        <v>18</v>
      </c>
      <c r="D47" s="68" t="s">
        <v>18</v>
      </c>
      <c r="E47" s="68" t="s">
        <v>18</v>
      </c>
      <c r="F47" s="68" t="s">
        <v>18</v>
      </c>
      <c r="G47" s="68" t="s">
        <v>18</v>
      </c>
      <c r="H47" s="68" t="s">
        <v>18</v>
      </c>
      <c r="I47" s="71"/>
      <c r="J47" s="71"/>
      <c r="K47" s="71"/>
      <c r="L47" s="71"/>
      <c r="M47" s="77" t="e">
        <f t="shared" ref="M47:Q47" si="4">M46+M41+M36+M29+M9</f>
        <v>#REF!</v>
      </c>
      <c r="N47" s="77" t="e">
        <f t="shared" si="4"/>
        <v>#REF!</v>
      </c>
      <c r="O47" s="77">
        <f t="shared" si="4"/>
        <v>1624523015.5999999</v>
      </c>
      <c r="P47" s="77">
        <f t="shared" si="4"/>
        <v>1925432615.5999999</v>
      </c>
      <c r="Q47" s="77">
        <f t="shared" si="4"/>
        <v>2554152455.5999999</v>
      </c>
      <c r="R47" s="77">
        <f>R46+R41+R36+R29+R9</f>
        <v>2423076935.5999999</v>
      </c>
      <c r="S47" s="77">
        <f t="shared" si="0"/>
        <v>-131075520</v>
      </c>
    </row>
  </sheetData>
  <phoneticPr fontId="0" type="noConversion"/>
  <printOptions gridLines="1"/>
  <pageMargins left="0.6" right="0.25" top="0.83" bottom="0.48" header="0.2" footer="0.22"/>
  <pageSetup scale="55" orientation="portrait" r:id="rId1"/>
  <headerFooter alignWithMargins="0">
    <oddHeader xml:space="preserve">&amp;C&amp;"Algerian,Bold"&amp;36Wasaaradda MACDANTA IYO TAMARTA </oddHeader>
    <oddFooter>&amp;R&amp;"Times New Roman,Bold"&amp;14 32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60" workbookViewId="0">
      <selection activeCell="R13" sqref="R13"/>
    </sheetView>
  </sheetViews>
  <sheetFormatPr defaultRowHeight="30" customHeight="1"/>
  <cols>
    <col min="1" max="1" width="15.33203125" style="410" customWidth="1"/>
    <col min="2" max="2" width="81.5" style="404" customWidth="1"/>
    <col min="3" max="11" width="9.33203125" style="404" hidden="1" customWidth="1"/>
    <col min="12" max="12" width="17.6640625" style="404" hidden="1" customWidth="1"/>
    <col min="13" max="13" width="30.33203125" style="404" hidden="1" customWidth="1"/>
    <col min="14" max="14" width="36.83203125" style="411" hidden="1" customWidth="1"/>
    <col min="15" max="15" width="31" style="411" hidden="1" customWidth="1"/>
    <col min="16" max="17" width="31" style="411" customWidth="1"/>
    <col min="18" max="18" width="31.5" style="404" customWidth="1"/>
    <col min="19" max="16384" width="9.33203125" style="404"/>
  </cols>
  <sheetData>
    <row r="1" spans="1:18" ht="30" customHeight="1">
      <c r="A1" s="382" t="s">
        <v>21</v>
      </c>
      <c r="B1" s="146" t="s">
        <v>789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99"/>
      <c r="O1" s="99"/>
      <c r="P1" s="99"/>
      <c r="Q1" s="99"/>
      <c r="R1" s="403"/>
    </row>
    <row r="2" spans="1:18" ht="30" customHeight="1">
      <c r="A2" s="382" t="s">
        <v>6</v>
      </c>
      <c r="B2" s="147" t="s">
        <v>45</v>
      </c>
      <c r="C2" s="147" t="s">
        <v>19</v>
      </c>
      <c r="D2" s="357" t="s">
        <v>2</v>
      </c>
      <c r="E2" s="357" t="s">
        <v>24</v>
      </c>
      <c r="F2" s="357" t="s">
        <v>28</v>
      </c>
      <c r="G2" s="357" t="s">
        <v>33</v>
      </c>
      <c r="H2" s="357" t="s">
        <v>40</v>
      </c>
      <c r="I2" s="357" t="s">
        <v>64</v>
      </c>
      <c r="J2" s="357" t="s">
        <v>71</v>
      </c>
      <c r="K2" s="357" t="s">
        <v>77</v>
      </c>
      <c r="L2" s="357" t="s">
        <v>110</v>
      </c>
      <c r="M2" s="357" t="s">
        <v>166</v>
      </c>
      <c r="N2" s="405" t="s">
        <v>318</v>
      </c>
      <c r="O2" s="405" t="s">
        <v>538</v>
      </c>
      <c r="P2" s="405" t="s">
        <v>607</v>
      </c>
      <c r="Q2" s="405" t="s">
        <v>722</v>
      </c>
      <c r="R2" s="405" t="s">
        <v>34</v>
      </c>
    </row>
    <row r="3" spans="1:18" ht="30" customHeight="1">
      <c r="A3" s="249">
        <v>210</v>
      </c>
      <c r="B3" s="125" t="s">
        <v>95</v>
      </c>
      <c r="C3" s="356"/>
      <c r="D3" s="356"/>
      <c r="E3" s="356" t="s">
        <v>4</v>
      </c>
      <c r="F3" s="356" t="s">
        <v>4</v>
      </c>
      <c r="G3" s="356"/>
      <c r="H3" s="356"/>
      <c r="I3" s="356"/>
      <c r="J3" s="356"/>
      <c r="K3" s="356"/>
      <c r="L3" s="356"/>
      <c r="M3" s="356"/>
      <c r="N3" s="99"/>
      <c r="O3" s="99"/>
      <c r="P3" s="99"/>
      <c r="Q3" s="99"/>
      <c r="R3" s="403"/>
    </row>
    <row r="4" spans="1:18" ht="30" customHeight="1">
      <c r="A4" s="249">
        <v>2110</v>
      </c>
      <c r="B4" s="125" t="s">
        <v>155</v>
      </c>
      <c r="C4" s="99">
        <v>130480480</v>
      </c>
      <c r="D4" s="99">
        <v>159612000</v>
      </c>
      <c r="E4" s="99">
        <v>153084000</v>
      </c>
      <c r="F4" s="99">
        <v>162701000</v>
      </c>
      <c r="G4" s="99">
        <v>228108000</v>
      </c>
      <c r="H4" s="99">
        <f>228108000+3192000</f>
        <v>231300000</v>
      </c>
      <c r="I4" s="99">
        <f>281299200+12448800</f>
        <v>293748000</v>
      </c>
      <c r="J4" s="99">
        <f>302980800+54000000+6000000</f>
        <v>362980800</v>
      </c>
      <c r="K4" s="99">
        <f>362980800+12000000+3198000</f>
        <v>378178800</v>
      </c>
      <c r="L4" s="356"/>
      <c r="M4" s="387"/>
      <c r="N4" s="99"/>
      <c r="O4" s="99"/>
      <c r="P4" s="99"/>
      <c r="Q4" s="99"/>
      <c r="R4" s="356"/>
    </row>
    <row r="5" spans="1:18" ht="30" customHeight="1">
      <c r="A5" s="169">
        <v>21101</v>
      </c>
      <c r="B5" s="99" t="s">
        <v>9</v>
      </c>
      <c r="C5" s="99">
        <v>8803520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417178800</v>
      </c>
      <c r="M5" s="99" t="e">
        <f>#REF!+36000000+12792000</f>
        <v>#REF!</v>
      </c>
      <c r="N5" s="99">
        <v>571958400</v>
      </c>
      <c r="O5" s="99">
        <v>657103200</v>
      </c>
      <c r="P5" s="99">
        <v>889724160</v>
      </c>
      <c r="Q5" s="99">
        <v>1014399360</v>
      </c>
      <c r="R5" s="387">
        <f>Q5-P5</f>
        <v>124675200</v>
      </c>
    </row>
    <row r="6" spans="1:18" ht="30" customHeight="1">
      <c r="A6" s="169">
        <v>22102</v>
      </c>
      <c r="B6" s="99" t="s">
        <v>418</v>
      </c>
      <c r="C6" s="99">
        <v>10800000</v>
      </c>
      <c r="D6" s="99">
        <v>10800000</v>
      </c>
      <c r="E6" s="99">
        <v>10800000</v>
      </c>
      <c r="F6" s="99">
        <v>10800000</v>
      </c>
      <c r="G6" s="99">
        <v>14400000</v>
      </c>
      <c r="H6" s="99">
        <f>G6</f>
        <v>14400000</v>
      </c>
      <c r="I6" s="99">
        <v>14400000</v>
      </c>
      <c r="J6" s="99">
        <f>14400000+32400000+1440000</f>
        <v>48240000</v>
      </c>
      <c r="K6" s="99">
        <f>48240000+1440000+7920000</f>
        <v>57600000</v>
      </c>
      <c r="L6" s="99">
        <v>0</v>
      </c>
      <c r="M6" s="99">
        <v>0</v>
      </c>
      <c r="N6" s="99">
        <v>194400000</v>
      </c>
      <c r="O6" s="99">
        <v>97400000</v>
      </c>
      <c r="P6" s="99">
        <v>97400000</v>
      </c>
      <c r="Q6" s="99">
        <v>194400000</v>
      </c>
      <c r="R6" s="387">
        <f t="shared" ref="R6:R42" si="0">Q6-P6</f>
        <v>97000000</v>
      </c>
    </row>
    <row r="7" spans="1:18" ht="30" customHeight="1">
      <c r="A7" s="169">
        <v>22103</v>
      </c>
      <c r="B7" s="99" t="s">
        <v>11</v>
      </c>
      <c r="C7" s="125">
        <f t="shared" ref="C7:H7" si="1">SUM(C4:C6)</f>
        <v>150084000</v>
      </c>
      <c r="D7" s="125">
        <f t="shared" si="1"/>
        <v>170412000</v>
      </c>
      <c r="E7" s="125">
        <f t="shared" si="1"/>
        <v>163884000</v>
      </c>
      <c r="F7" s="125">
        <f t="shared" si="1"/>
        <v>173501000</v>
      </c>
      <c r="G7" s="125">
        <f t="shared" si="1"/>
        <v>242508000</v>
      </c>
      <c r="H7" s="125">
        <f t="shared" si="1"/>
        <v>245700000</v>
      </c>
      <c r="I7" s="125">
        <f>SUM(I4:I6)</f>
        <v>308148000</v>
      </c>
      <c r="J7" s="125">
        <f>SUM(J4:J6)</f>
        <v>411220800</v>
      </c>
      <c r="K7" s="99">
        <v>24000000</v>
      </c>
      <c r="L7" s="99">
        <v>84600000</v>
      </c>
      <c r="M7" s="99">
        <v>84600000</v>
      </c>
      <c r="N7" s="99">
        <v>91800000</v>
      </c>
      <c r="O7" s="99">
        <v>140400000</v>
      </c>
      <c r="P7" s="99">
        <v>198000000</v>
      </c>
      <c r="Q7" s="99">
        <v>270000000</v>
      </c>
      <c r="R7" s="387">
        <f t="shared" si="0"/>
        <v>72000000</v>
      </c>
    </row>
    <row r="8" spans="1:18" ht="30" customHeight="1">
      <c r="A8" s="169">
        <v>21105</v>
      </c>
      <c r="B8" s="99" t="s">
        <v>679</v>
      </c>
      <c r="C8" s="125"/>
      <c r="D8" s="125"/>
      <c r="E8" s="125"/>
      <c r="F8" s="125"/>
      <c r="G8" s="125"/>
      <c r="H8" s="125"/>
      <c r="I8" s="125"/>
      <c r="J8" s="125"/>
      <c r="K8" s="99"/>
      <c r="L8" s="99"/>
      <c r="M8" s="99">
        <v>48000000</v>
      </c>
      <c r="N8" s="99">
        <f>M8</f>
        <v>48000000</v>
      </c>
      <c r="O8" s="99">
        <f>N8</f>
        <v>48000000</v>
      </c>
      <c r="P8" s="99">
        <v>48000000</v>
      </c>
      <c r="Q8" s="99">
        <v>48000000</v>
      </c>
      <c r="R8" s="387">
        <f t="shared" si="0"/>
        <v>0</v>
      </c>
    </row>
    <row r="9" spans="1:18" ht="30" customHeight="1">
      <c r="A9" s="169"/>
      <c r="B9" s="125" t="s">
        <v>59</v>
      </c>
      <c r="C9" s="99"/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74480000</v>
      </c>
      <c r="L9" s="125" t="e">
        <f>#REF!+#REF!+L7+L5</f>
        <v>#REF!</v>
      </c>
      <c r="M9" s="125" t="e">
        <f>M8+M7+M5+M6</f>
        <v>#REF!</v>
      </c>
      <c r="N9" s="125">
        <f>N8+N7+N5+N6</f>
        <v>906158400</v>
      </c>
      <c r="O9" s="125">
        <f>SUM(O5:O8)</f>
        <v>942903200</v>
      </c>
      <c r="P9" s="125">
        <f>SUM(P5:P8)</f>
        <v>1233124160</v>
      </c>
      <c r="Q9" s="125">
        <f>SUM(Q5:Q8)</f>
        <v>1526799360</v>
      </c>
      <c r="R9" s="388">
        <f t="shared" si="0"/>
        <v>293675200</v>
      </c>
    </row>
    <row r="10" spans="1:18" ht="30" customHeight="1">
      <c r="A10" s="249">
        <v>220</v>
      </c>
      <c r="B10" s="125" t="s">
        <v>159</v>
      </c>
      <c r="C10" s="99">
        <v>19668000</v>
      </c>
      <c r="D10" s="99">
        <v>5000000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3724000</v>
      </c>
      <c r="L10" s="99"/>
      <c r="M10" s="99"/>
      <c r="N10" s="99"/>
      <c r="O10" s="99"/>
      <c r="P10" s="99"/>
      <c r="Q10" s="99"/>
      <c r="R10" s="387">
        <f t="shared" si="0"/>
        <v>0</v>
      </c>
    </row>
    <row r="11" spans="1:18" ht="30" customHeight="1">
      <c r="A11" s="249">
        <v>2210</v>
      </c>
      <c r="B11" s="125" t="s">
        <v>160</v>
      </c>
      <c r="C11" s="99">
        <v>0</v>
      </c>
      <c r="D11" s="99">
        <v>2094000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7448000</v>
      </c>
      <c r="L11" s="99"/>
      <c r="M11" s="99"/>
      <c r="N11" s="99"/>
      <c r="O11" s="99"/>
      <c r="P11" s="99"/>
      <c r="Q11" s="99"/>
      <c r="R11" s="387">
        <f t="shared" si="0"/>
        <v>0</v>
      </c>
    </row>
    <row r="12" spans="1:18" ht="30" customHeight="1">
      <c r="A12" s="169">
        <v>22101</v>
      </c>
      <c r="B12" s="99" t="s">
        <v>14</v>
      </c>
      <c r="C12" s="99">
        <v>0</v>
      </c>
      <c r="D12" s="99">
        <v>25000000</v>
      </c>
      <c r="E12" s="99">
        <v>0</v>
      </c>
      <c r="F12" s="99">
        <v>0</v>
      </c>
      <c r="G12" s="99">
        <v>0</v>
      </c>
      <c r="H12" s="99">
        <v>105000000</v>
      </c>
      <c r="I12" s="99">
        <v>0</v>
      </c>
      <c r="J12" s="99">
        <v>158400000</v>
      </c>
      <c r="K12" s="99">
        <v>5958400</v>
      </c>
      <c r="L12" s="99">
        <v>18620000</v>
      </c>
      <c r="M12" s="99">
        <f>18620000*70%</f>
        <v>13034000</v>
      </c>
      <c r="N12" s="99">
        <f>18620000*70%</f>
        <v>13034000</v>
      </c>
      <c r="O12" s="99">
        <v>43034000</v>
      </c>
      <c r="P12" s="99">
        <v>83034000</v>
      </c>
      <c r="Q12" s="99">
        <v>83034000</v>
      </c>
      <c r="R12" s="387">
        <f t="shared" si="0"/>
        <v>0</v>
      </c>
    </row>
    <row r="13" spans="1:18" ht="30" customHeight="1">
      <c r="A13" s="169">
        <v>22104</v>
      </c>
      <c r="B13" s="99" t="s">
        <v>116</v>
      </c>
      <c r="C13" s="99"/>
      <c r="D13" s="99"/>
      <c r="E13" s="99"/>
      <c r="F13" s="99"/>
      <c r="G13" s="99"/>
      <c r="H13" s="99"/>
      <c r="I13" s="99"/>
      <c r="J13" s="99"/>
      <c r="K13" s="99">
        <v>660000000</v>
      </c>
      <c r="L13" s="99">
        <v>55336498</v>
      </c>
      <c r="M13" s="99">
        <v>38735548</v>
      </c>
      <c r="N13" s="99">
        <v>38735548</v>
      </c>
      <c r="O13" s="99">
        <v>38735548</v>
      </c>
      <c r="P13" s="99">
        <v>68735548</v>
      </c>
      <c r="Q13" s="99">
        <v>68735548</v>
      </c>
      <c r="R13" s="387">
        <f t="shared" si="0"/>
        <v>0</v>
      </c>
    </row>
    <row r="14" spans="1:18" ht="30" customHeight="1">
      <c r="A14" s="169">
        <v>22105</v>
      </c>
      <c r="B14" s="99" t="s">
        <v>93</v>
      </c>
      <c r="C14" s="99"/>
      <c r="D14" s="99">
        <v>0</v>
      </c>
      <c r="E14" s="99"/>
      <c r="F14" s="99">
        <v>4099000</v>
      </c>
      <c r="G14" s="99">
        <v>4000000</v>
      </c>
      <c r="H14" s="99">
        <v>30000000</v>
      </c>
      <c r="I14" s="99">
        <v>2234400</v>
      </c>
      <c r="J14" s="99">
        <v>6000000</v>
      </c>
      <c r="K14" s="99">
        <v>35218400</v>
      </c>
      <c r="L14" s="99">
        <v>5213600</v>
      </c>
      <c r="M14" s="99">
        <f>5213600*70%+36000000</f>
        <v>39649520</v>
      </c>
      <c r="N14" s="99">
        <v>88300000</v>
      </c>
      <c r="O14" s="99">
        <v>13000000</v>
      </c>
      <c r="P14" s="99">
        <v>33000000</v>
      </c>
      <c r="Q14" s="99">
        <v>33000000</v>
      </c>
      <c r="R14" s="387">
        <f t="shared" si="0"/>
        <v>0</v>
      </c>
    </row>
    <row r="15" spans="1:18" ht="30" customHeight="1">
      <c r="A15" s="169">
        <v>22106</v>
      </c>
      <c r="B15" s="99" t="s">
        <v>84</v>
      </c>
      <c r="C15" s="99"/>
      <c r="D15" s="99"/>
      <c r="E15" s="99"/>
      <c r="F15" s="99"/>
      <c r="G15" s="99"/>
      <c r="H15" s="99"/>
      <c r="I15" s="99"/>
      <c r="J15" s="99"/>
      <c r="K15" s="125">
        <f>SUM(K9:K14)</f>
        <v>786828800</v>
      </c>
      <c r="L15" s="99">
        <v>74480000</v>
      </c>
      <c r="M15" s="99">
        <f>74480000*70%</f>
        <v>52136000</v>
      </c>
      <c r="N15" s="99">
        <v>0</v>
      </c>
      <c r="O15" s="99">
        <v>0</v>
      </c>
      <c r="P15" s="99">
        <v>0</v>
      </c>
      <c r="Q15" s="99">
        <v>0</v>
      </c>
      <c r="R15" s="387">
        <f t="shared" si="0"/>
        <v>0</v>
      </c>
    </row>
    <row r="16" spans="1:18" ht="30" customHeight="1">
      <c r="A16" s="169">
        <v>22107</v>
      </c>
      <c r="B16" s="99" t="s">
        <v>30</v>
      </c>
      <c r="C16" s="99">
        <v>20000000</v>
      </c>
      <c r="D16" s="99">
        <v>7000000</v>
      </c>
      <c r="E16" s="99">
        <v>7000000</v>
      </c>
      <c r="F16" s="99">
        <v>40000000</v>
      </c>
      <c r="G16" s="99">
        <v>16000000</v>
      </c>
      <c r="H16" s="99">
        <v>20000000</v>
      </c>
      <c r="I16" s="99">
        <v>14896000</v>
      </c>
      <c r="J16" s="99">
        <v>30000000</v>
      </c>
      <c r="K16" s="99"/>
      <c r="L16" s="99">
        <v>43724000</v>
      </c>
      <c r="M16" s="99">
        <v>30606800</v>
      </c>
      <c r="N16" s="99">
        <f>M16*70%</f>
        <v>21424760</v>
      </c>
      <c r="O16" s="99">
        <v>31424760</v>
      </c>
      <c r="P16" s="99">
        <v>31424760</v>
      </c>
      <c r="Q16" s="99">
        <v>31424760</v>
      </c>
      <c r="R16" s="387">
        <f t="shared" si="0"/>
        <v>0</v>
      </c>
    </row>
    <row r="17" spans="1:18" ht="30" customHeight="1">
      <c r="A17" s="169">
        <v>22109</v>
      </c>
      <c r="B17" s="99" t="s">
        <v>94</v>
      </c>
      <c r="C17" s="99">
        <v>12704000</v>
      </c>
      <c r="D17" s="99">
        <v>6500000</v>
      </c>
      <c r="E17" s="99">
        <v>6500000</v>
      </c>
      <c r="F17" s="99">
        <v>6500000</v>
      </c>
      <c r="G17" s="99">
        <v>6400000</v>
      </c>
      <c r="H17" s="99">
        <v>0</v>
      </c>
      <c r="I17" s="99">
        <v>7448000</v>
      </c>
      <c r="J17" s="99">
        <v>10000000</v>
      </c>
      <c r="K17" s="99">
        <v>210940800</v>
      </c>
      <c r="L17" s="99">
        <v>7448000</v>
      </c>
      <c r="M17" s="99">
        <f>7448000*70%</f>
        <v>5213600</v>
      </c>
      <c r="N17" s="99">
        <f>7448000*70%</f>
        <v>5213600</v>
      </c>
      <c r="O17" s="99">
        <f>7448000*70%</f>
        <v>5213600</v>
      </c>
      <c r="P17" s="99">
        <f>7448000*70%</f>
        <v>5213600</v>
      </c>
      <c r="Q17" s="99">
        <f>7448000*70%</f>
        <v>5213600</v>
      </c>
      <c r="R17" s="387">
        <f t="shared" si="0"/>
        <v>0</v>
      </c>
    </row>
    <row r="18" spans="1:18" ht="30" customHeight="1">
      <c r="A18" s="169">
        <v>22112</v>
      </c>
      <c r="B18" s="99" t="s">
        <v>16</v>
      </c>
      <c r="C18" s="125">
        <f t="shared" ref="C18:J18" si="2">SUM(C16:C17)</f>
        <v>32704000</v>
      </c>
      <c r="D18" s="125">
        <f t="shared" si="2"/>
        <v>13500000</v>
      </c>
      <c r="E18" s="125">
        <f t="shared" si="2"/>
        <v>13500000</v>
      </c>
      <c r="F18" s="125">
        <f t="shared" si="2"/>
        <v>46500000</v>
      </c>
      <c r="G18" s="125">
        <f t="shared" si="2"/>
        <v>22400000</v>
      </c>
      <c r="H18" s="125">
        <f t="shared" si="2"/>
        <v>20000000</v>
      </c>
      <c r="I18" s="125">
        <f t="shared" si="2"/>
        <v>22344000</v>
      </c>
      <c r="J18" s="125">
        <f t="shared" si="2"/>
        <v>40000000</v>
      </c>
      <c r="K18" s="99">
        <v>13406400</v>
      </c>
      <c r="L18" s="99">
        <v>11058400</v>
      </c>
      <c r="M18" s="99">
        <v>7740880</v>
      </c>
      <c r="N18" s="99">
        <v>7740880</v>
      </c>
      <c r="O18" s="99">
        <v>22740880</v>
      </c>
      <c r="P18" s="99">
        <v>22740880</v>
      </c>
      <c r="Q18" s="99">
        <v>22740880</v>
      </c>
      <c r="R18" s="387">
        <f t="shared" si="0"/>
        <v>0</v>
      </c>
    </row>
    <row r="19" spans="1:18" ht="30" customHeight="1">
      <c r="A19" s="169">
        <v>22117</v>
      </c>
      <c r="B19" s="99" t="s">
        <v>255</v>
      </c>
      <c r="C19" s="99"/>
      <c r="D19" s="99"/>
      <c r="E19" s="99"/>
      <c r="F19" s="99"/>
      <c r="G19" s="99"/>
      <c r="H19" s="99"/>
      <c r="I19" s="99"/>
      <c r="J19" s="99"/>
      <c r="K19" s="99"/>
      <c r="L19" s="99">
        <v>200000000</v>
      </c>
      <c r="M19" s="99">
        <f>200000000*70%</f>
        <v>140000000</v>
      </c>
      <c r="N19" s="99">
        <f>200000000*70%</f>
        <v>140000000</v>
      </c>
      <c r="O19" s="99">
        <f>200000000*70%</f>
        <v>140000000</v>
      </c>
      <c r="P19" s="99">
        <v>200000000</v>
      </c>
      <c r="Q19" s="99">
        <v>200000000</v>
      </c>
      <c r="R19" s="387">
        <f t="shared" si="0"/>
        <v>0</v>
      </c>
    </row>
    <row r="20" spans="1:18" ht="30" customHeight="1">
      <c r="A20" s="169">
        <v>22132</v>
      </c>
      <c r="B20" s="99" t="s">
        <v>144</v>
      </c>
      <c r="C20" s="99">
        <v>0</v>
      </c>
      <c r="D20" s="99">
        <v>0</v>
      </c>
      <c r="E20" s="99">
        <v>0</v>
      </c>
      <c r="F20" s="99">
        <v>10000000</v>
      </c>
      <c r="G20" s="99">
        <v>0</v>
      </c>
      <c r="H20" s="99">
        <v>0</v>
      </c>
      <c r="I20" s="99">
        <v>0</v>
      </c>
      <c r="J20" s="99">
        <v>0</v>
      </c>
      <c r="K20" s="99"/>
      <c r="L20" s="99">
        <v>65218400</v>
      </c>
      <c r="M20" s="99">
        <f>65218400*70%</f>
        <v>45652880</v>
      </c>
      <c r="N20" s="99">
        <v>0</v>
      </c>
      <c r="O20" s="99">
        <v>0</v>
      </c>
      <c r="P20" s="99">
        <v>0</v>
      </c>
      <c r="Q20" s="99">
        <v>0</v>
      </c>
      <c r="R20" s="387">
        <f t="shared" si="0"/>
        <v>0</v>
      </c>
    </row>
    <row r="21" spans="1:18" ht="30" customHeight="1">
      <c r="A21" s="169">
        <v>22137</v>
      </c>
      <c r="B21" s="99" t="s">
        <v>413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>
        <v>100000000</v>
      </c>
      <c r="P21" s="99">
        <v>180000000</v>
      </c>
      <c r="Q21" s="99">
        <v>180000000</v>
      </c>
      <c r="R21" s="387">
        <f t="shared" si="0"/>
        <v>0</v>
      </c>
    </row>
    <row r="22" spans="1:18" ht="30" customHeight="1">
      <c r="A22" s="169">
        <v>22141</v>
      </c>
      <c r="B22" s="99" t="s">
        <v>395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>
        <v>0</v>
      </c>
      <c r="N22" s="99">
        <v>337974000</v>
      </c>
      <c r="O22" s="99">
        <v>264000000</v>
      </c>
      <c r="P22" s="99">
        <v>474604000</v>
      </c>
      <c r="Q22" s="99">
        <v>0</v>
      </c>
      <c r="R22" s="387">
        <f t="shared" si="0"/>
        <v>-474604000</v>
      </c>
    </row>
    <row r="23" spans="1:18" ht="30" customHeight="1">
      <c r="A23" s="249"/>
      <c r="B23" s="125" t="s">
        <v>59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145000000</v>
      </c>
      <c r="I23" s="99">
        <v>74480000</v>
      </c>
      <c r="J23" s="99">
        <v>74480000</v>
      </c>
      <c r="K23" s="99">
        <v>0</v>
      </c>
      <c r="L23" s="125">
        <f>SUM(L12:L20)</f>
        <v>481098898</v>
      </c>
      <c r="M23" s="125">
        <f>SUM(M12:M20)</f>
        <v>372769228</v>
      </c>
      <c r="N23" s="125">
        <f>SUM(N11:N22)</f>
        <v>652422788</v>
      </c>
      <c r="O23" s="125">
        <f>SUM(O11:O22)</f>
        <v>658148788</v>
      </c>
      <c r="P23" s="125">
        <f>SUM(P11:P22)</f>
        <v>1098752788</v>
      </c>
      <c r="Q23" s="125">
        <f>SUM(Q11:Q22)</f>
        <v>624148788</v>
      </c>
      <c r="R23" s="388">
        <f t="shared" si="0"/>
        <v>-474604000</v>
      </c>
    </row>
    <row r="24" spans="1:18" ht="30" customHeight="1">
      <c r="A24" s="249">
        <v>2220</v>
      </c>
      <c r="B24" s="125" t="s">
        <v>161</v>
      </c>
      <c r="C24" s="99">
        <v>0</v>
      </c>
      <c r="D24" s="99">
        <v>3000000</v>
      </c>
      <c r="E24" s="99">
        <v>3000000</v>
      </c>
      <c r="F24" s="99">
        <v>3000000</v>
      </c>
      <c r="G24" s="99">
        <v>4000000</v>
      </c>
      <c r="H24" s="99">
        <v>5000000</v>
      </c>
      <c r="I24" s="99">
        <v>3724000</v>
      </c>
      <c r="J24" s="99">
        <v>6000000</v>
      </c>
      <c r="K24" s="99">
        <v>3724000</v>
      </c>
      <c r="L24" s="99"/>
      <c r="M24" s="99"/>
      <c r="N24" s="99"/>
      <c r="O24" s="99"/>
      <c r="P24" s="99"/>
      <c r="Q24" s="99"/>
      <c r="R24" s="387">
        <f t="shared" si="0"/>
        <v>0</v>
      </c>
    </row>
    <row r="25" spans="1:18" ht="30" customHeight="1">
      <c r="A25" s="169">
        <v>22202</v>
      </c>
      <c r="B25" s="99" t="s">
        <v>404</v>
      </c>
      <c r="C25" s="99"/>
      <c r="D25" s="99"/>
      <c r="E25" s="99"/>
      <c r="F25" s="99"/>
      <c r="G25" s="99"/>
      <c r="H25" s="99"/>
      <c r="I25" s="99"/>
      <c r="J25" s="99"/>
      <c r="K25" s="99">
        <v>0</v>
      </c>
      <c r="L25" s="99">
        <v>263265420</v>
      </c>
      <c r="M25" s="99">
        <v>184285794</v>
      </c>
      <c r="N25" s="99">
        <v>304285794</v>
      </c>
      <c r="O25" s="99">
        <v>304285794</v>
      </c>
      <c r="P25" s="99">
        <v>324285794</v>
      </c>
      <c r="Q25" s="99">
        <v>324285794</v>
      </c>
      <c r="R25" s="387">
        <f t="shared" si="0"/>
        <v>0</v>
      </c>
    </row>
    <row r="26" spans="1:18" ht="30" customHeight="1">
      <c r="A26" s="169">
        <v>22203</v>
      </c>
      <c r="B26" s="99" t="s">
        <v>85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25">
        <f>SUM(K23:K25)</f>
        <v>3724000</v>
      </c>
      <c r="L26" s="99">
        <v>16406400</v>
      </c>
      <c r="M26" s="99">
        <v>11484480</v>
      </c>
      <c r="N26" s="99">
        <v>11484480</v>
      </c>
      <c r="O26" s="99">
        <v>11484480</v>
      </c>
      <c r="P26" s="99">
        <v>26484480</v>
      </c>
      <c r="Q26" s="99">
        <v>26484480</v>
      </c>
      <c r="R26" s="387">
        <f t="shared" si="0"/>
        <v>0</v>
      </c>
    </row>
    <row r="27" spans="1:18" ht="30" customHeight="1">
      <c r="A27" s="169">
        <v>22204</v>
      </c>
      <c r="B27" s="99" t="s">
        <v>86</v>
      </c>
      <c r="C27" s="99">
        <v>0</v>
      </c>
      <c r="D27" s="99">
        <v>4500000</v>
      </c>
      <c r="E27" s="99">
        <v>4500000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/>
      <c r="L27" s="99">
        <v>8703200</v>
      </c>
      <c r="M27" s="99">
        <f>8703200*70%</f>
        <v>6092240</v>
      </c>
      <c r="N27" s="99">
        <f>8703200*70%</f>
        <v>6092240</v>
      </c>
      <c r="O27" s="99">
        <f>8703200*70%</f>
        <v>6092240</v>
      </c>
      <c r="P27" s="99">
        <f>8703200*70%</f>
        <v>6092240</v>
      </c>
      <c r="Q27" s="99">
        <f>8703200*70%</f>
        <v>6092240</v>
      </c>
      <c r="R27" s="387">
        <f t="shared" si="0"/>
        <v>0</v>
      </c>
    </row>
    <row r="28" spans="1:18" ht="30" customHeight="1">
      <c r="A28" s="169"/>
      <c r="B28" s="125" t="s">
        <v>59</v>
      </c>
      <c r="C28" s="99">
        <v>30000000</v>
      </c>
      <c r="D28" s="99">
        <v>0</v>
      </c>
      <c r="E28" s="99">
        <v>0</v>
      </c>
      <c r="F28" s="99">
        <v>0</v>
      </c>
      <c r="G28" s="99">
        <v>64000000</v>
      </c>
      <c r="H28" s="99">
        <v>64000000</v>
      </c>
      <c r="I28" s="99">
        <v>35218400</v>
      </c>
      <c r="J28" s="99">
        <v>45000000</v>
      </c>
      <c r="K28" s="99">
        <v>7448000</v>
      </c>
      <c r="L28" s="125">
        <f>L27+L26+L25</f>
        <v>288375020</v>
      </c>
      <c r="M28" s="125">
        <f>M27+M26+M25</f>
        <v>201862514</v>
      </c>
      <c r="N28" s="125">
        <f>N27+N26+N25</f>
        <v>321862514</v>
      </c>
      <c r="O28" s="125">
        <f>SUM(O25:O27)</f>
        <v>321862514</v>
      </c>
      <c r="P28" s="125">
        <f>SUM(P25:P27)</f>
        <v>356862514</v>
      </c>
      <c r="Q28" s="125">
        <f>SUM(Q25:Q27)</f>
        <v>356862514</v>
      </c>
      <c r="R28" s="388">
        <f t="shared" si="0"/>
        <v>0</v>
      </c>
    </row>
    <row r="29" spans="1:18" ht="30" customHeight="1">
      <c r="A29" s="249">
        <v>2230</v>
      </c>
      <c r="B29" s="125" t="s">
        <v>88</v>
      </c>
      <c r="C29" s="125">
        <f t="shared" ref="C29:J29" si="3">SUM(C20:C28)</f>
        <v>30000000</v>
      </c>
      <c r="D29" s="125">
        <f t="shared" si="3"/>
        <v>7500000</v>
      </c>
      <c r="E29" s="125">
        <f t="shared" si="3"/>
        <v>7500000</v>
      </c>
      <c r="F29" s="125">
        <f t="shared" si="3"/>
        <v>13000000</v>
      </c>
      <c r="G29" s="125">
        <f t="shared" si="3"/>
        <v>68000000</v>
      </c>
      <c r="H29" s="125">
        <f t="shared" si="3"/>
        <v>214000000</v>
      </c>
      <c r="I29" s="125">
        <f t="shared" si="3"/>
        <v>113422400</v>
      </c>
      <c r="J29" s="125">
        <f t="shared" si="3"/>
        <v>125480000</v>
      </c>
      <c r="K29" s="125">
        <f>SUM(K28:K28)</f>
        <v>7448000</v>
      </c>
      <c r="L29" s="125"/>
      <c r="M29" s="125"/>
      <c r="N29" s="125"/>
      <c r="O29" s="125"/>
      <c r="P29" s="125"/>
      <c r="Q29" s="125"/>
      <c r="R29" s="387">
        <f t="shared" si="0"/>
        <v>0</v>
      </c>
    </row>
    <row r="30" spans="1:18" ht="30" customHeight="1">
      <c r="A30" s="169">
        <v>22301</v>
      </c>
      <c r="B30" s="99" t="s">
        <v>31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99">
        <v>34896000</v>
      </c>
      <c r="M30" s="99">
        <v>24427200</v>
      </c>
      <c r="N30" s="99">
        <v>84000000</v>
      </c>
      <c r="O30" s="99">
        <v>84000000</v>
      </c>
      <c r="P30" s="99">
        <v>84000000</v>
      </c>
      <c r="Q30" s="99">
        <v>84000000</v>
      </c>
      <c r="R30" s="387">
        <f t="shared" si="0"/>
        <v>0</v>
      </c>
    </row>
    <row r="31" spans="1:18" ht="30" customHeight="1">
      <c r="A31" s="169">
        <v>22302</v>
      </c>
      <c r="B31" s="99" t="s">
        <v>162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7448000</v>
      </c>
      <c r="M31" s="99">
        <f>7448000*70%</f>
        <v>5213600</v>
      </c>
      <c r="N31" s="99">
        <v>30213600</v>
      </c>
      <c r="O31" s="99">
        <v>30213600</v>
      </c>
      <c r="P31" s="99">
        <v>90213600</v>
      </c>
      <c r="Q31" s="99">
        <v>90213600</v>
      </c>
      <c r="R31" s="387">
        <f t="shared" si="0"/>
        <v>0</v>
      </c>
    </row>
    <row r="32" spans="1:18" ht="30" customHeight="1">
      <c r="A32" s="169">
        <v>22303</v>
      </c>
      <c r="B32" s="99" t="s">
        <v>163</v>
      </c>
      <c r="C32" s="356"/>
      <c r="D32" s="356"/>
      <c r="E32" s="356"/>
      <c r="F32" s="356"/>
      <c r="G32" s="356"/>
      <c r="H32" s="356"/>
      <c r="I32" s="356"/>
      <c r="J32" s="356"/>
      <c r="K32" s="356"/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387">
        <f t="shared" si="0"/>
        <v>0</v>
      </c>
    </row>
    <row r="33" spans="1:18" ht="30" customHeight="1">
      <c r="A33" s="169"/>
      <c r="B33" s="125" t="s">
        <v>59</v>
      </c>
      <c r="C33" s="356"/>
      <c r="D33" s="356"/>
      <c r="E33" s="356"/>
      <c r="F33" s="356">
        <v>0</v>
      </c>
      <c r="G33" s="356"/>
      <c r="H33" s="356"/>
      <c r="I33" s="356"/>
      <c r="J33" s="356"/>
      <c r="K33" s="356"/>
      <c r="L33" s="388">
        <f t="shared" ref="L33:P33" si="4">SUM(L30:L32)</f>
        <v>42344000</v>
      </c>
      <c r="M33" s="388">
        <f t="shared" si="4"/>
        <v>29640800</v>
      </c>
      <c r="N33" s="125">
        <f t="shared" si="4"/>
        <v>114213600</v>
      </c>
      <c r="O33" s="125">
        <f t="shared" si="4"/>
        <v>114213600</v>
      </c>
      <c r="P33" s="125">
        <f t="shared" si="4"/>
        <v>174213600</v>
      </c>
      <c r="Q33" s="125">
        <f>SUM(Q30:Q32)</f>
        <v>174213600</v>
      </c>
      <c r="R33" s="388">
        <f t="shared" si="0"/>
        <v>0</v>
      </c>
    </row>
    <row r="34" spans="1:18" ht="30" customHeight="1">
      <c r="A34" s="249">
        <v>230</v>
      </c>
      <c r="B34" s="125" t="s">
        <v>165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99"/>
      <c r="O34" s="99"/>
      <c r="P34" s="99"/>
      <c r="Q34" s="99"/>
      <c r="R34" s="387">
        <f t="shared" si="0"/>
        <v>0</v>
      </c>
    </row>
    <row r="35" spans="1:18" ht="30" customHeight="1">
      <c r="A35" s="249">
        <v>2310</v>
      </c>
      <c r="B35" s="125" t="s">
        <v>164</v>
      </c>
      <c r="C35" s="356"/>
      <c r="D35" s="356"/>
      <c r="E35" s="356"/>
      <c r="F35" s="387">
        <f>SUM(F23:F34)</f>
        <v>16000000</v>
      </c>
      <c r="G35" s="387"/>
      <c r="H35" s="387"/>
      <c r="I35" s="387"/>
      <c r="J35" s="387"/>
      <c r="K35" s="387"/>
      <c r="L35" s="387"/>
      <c r="M35" s="387"/>
      <c r="N35" s="99"/>
      <c r="O35" s="99"/>
      <c r="P35" s="99"/>
      <c r="Q35" s="99"/>
      <c r="R35" s="387">
        <f t="shared" si="0"/>
        <v>0</v>
      </c>
    </row>
    <row r="36" spans="1:18" ht="30" customHeight="1">
      <c r="A36" s="406" t="s">
        <v>750</v>
      </c>
      <c r="B36" s="407" t="s">
        <v>696</v>
      </c>
      <c r="C36" s="356"/>
      <c r="D36" s="356"/>
      <c r="E36" s="356"/>
      <c r="F36" s="387"/>
      <c r="G36" s="387"/>
      <c r="H36" s="387"/>
      <c r="I36" s="387"/>
      <c r="J36" s="387"/>
      <c r="K36" s="387"/>
      <c r="L36" s="387">
        <v>43330000</v>
      </c>
      <c r="M36" s="387">
        <v>0</v>
      </c>
      <c r="N36" s="99">
        <v>650000000</v>
      </c>
      <c r="O36" s="99"/>
      <c r="P36" s="99">
        <v>30000000</v>
      </c>
      <c r="Q36" s="99">
        <v>15000000</v>
      </c>
      <c r="R36" s="387">
        <f t="shared" ref="R36" si="5">Q36-P36</f>
        <v>-15000000</v>
      </c>
    </row>
    <row r="37" spans="1:18" ht="30" customHeight="1">
      <c r="A37" s="169">
        <v>23102</v>
      </c>
      <c r="B37" s="99" t="s">
        <v>446</v>
      </c>
      <c r="C37" s="356"/>
      <c r="D37" s="356"/>
      <c r="E37" s="356"/>
      <c r="F37" s="387"/>
      <c r="G37" s="387"/>
      <c r="H37" s="387"/>
      <c r="I37" s="387"/>
      <c r="J37" s="387"/>
      <c r="K37" s="387"/>
      <c r="L37" s="387"/>
      <c r="M37" s="387"/>
      <c r="N37" s="99">
        <v>0</v>
      </c>
      <c r="O37" s="99">
        <v>162000000</v>
      </c>
      <c r="P37" s="99">
        <v>162000000</v>
      </c>
      <c r="Q37" s="99">
        <v>120000000</v>
      </c>
      <c r="R37" s="387">
        <f t="shared" si="0"/>
        <v>-42000000</v>
      </c>
    </row>
    <row r="38" spans="1:18" ht="30" customHeight="1">
      <c r="A38" s="169">
        <v>23103</v>
      </c>
      <c r="B38" s="99" t="s">
        <v>106</v>
      </c>
      <c r="C38" s="125">
        <f t="shared" ref="C38:J38" si="6">SUM(C32:C34)</f>
        <v>0</v>
      </c>
      <c r="D38" s="125">
        <f t="shared" si="6"/>
        <v>0</v>
      </c>
      <c r="E38" s="125">
        <f t="shared" si="6"/>
        <v>0</v>
      </c>
      <c r="F38" s="125">
        <f t="shared" si="6"/>
        <v>0</v>
      </c>
      <c r="G38" s="125">
        <f t="shared" si="6"/>
        <v>0</v>
      </c>
      <c r="H38" s="125">
        <f t="shared" si="6"/>
        <v>0</v>
      </c>
      <c r="I38" s="125">
        <f t="shared" si="6"/>
        <v>0</v>
      </c>
      <c r="J38" s="125">
        <f t="shared" si="6"/>
        <v>0</v>
      </c>
      <c r="K38" s="125">
        <f>SUM(K34)</f>
        <v>0</v>
      </c>
      <c r="L38" s="99">
        <v>3724000</v>
      </c>
      <c r="M38" s="99">
        <f>3724000*70%</f>
        <v>2606800</v>
      </c>
      <c r="N38" s="99">
        <v>0</v>
      </c>
      <c r="O38" s="99">
        <v>0</v>
      </c>
      <c r="P38" s="99">
        <v>0</v>
      </c>
      <c r="Q38" s="99">
        <v>0</v>
      </c>
      <c r="R38" s="387">
        <f t="shared" si="0"/>
        <v>0</v>
      </c>
    </row>
    <row r="39" spans="1:18" ht="30" customHeight="1">
      <c r="A39" s="169">
        <v>23104</v>
      </c>
      <c r="B39" s="99" t="s">
        <v>107</v>
      </c>
      <c r="C39" s="125" t="e">
        <f>C32+C26+#REF!+C14+#REF!</f>
        <v>#REF!</v>
      </c>
      <c r="D39" s="125" t="e">
        <f>D32+D26+#REF!+D14+#REF!</f>
        <v>#REF!</v>
      </c>
      <c r="E39" s="125" t="e">
        <f>E32+E26+#REF!+E14+#REF!</f>
        <v>#REF!</v>
      </c>
      <c r="F39" s="125" t="e">
        <f>F32+F26+#REF!+F14+#REF!</f>
        <v>#REF!</v>
      </c>
      <c r="G39" s="125" t="e">
        <f>G32+G26+#REF!+G14+#REF!</f>
        <v>#REF!</v>
      </c>
      <c r="H39" s="125" t="e">
        <f>H32+H26+#REF!+H14+#REF!</f>
        <v>#REF!</v>
      </c>
      <c r="I39" s="125" t="e">
        <f>I32+I26+#REF!+I14+#REF!</f>
        <v>#REF!</v>
      </c>
      <c r="J39" s="125" t="e">
        <f>J32+J26+#REF!+J14+#REF!</f>
        <v>#REF!</v>
      </c>
      <c r="K39" s="125" t="e">
        <f>K38+K32+#REF!+#REF!+K23+K10</f>
        <v>#REF!</v>
      </c>
      <c r="L39" s="99">
        <v>2234400</v>
      </c>
      <c r="M39" s="99">
        <f>2234400*70%</f>
        <v>1564080</v>
      </c>
      <c r="N39" s="99">
        <v>0</v>
      </c>
      <c r="O39" s="99">
        <v>0</v>
      </c>
      <c r="P39" s="99">
        <v>0</v>
      </c>
      <c r="Q39" s="99">
        <v>0</v>
      </c>
      <c r="R39" s="387">
        <f t="shared" si="0"/>
        <v>0</v>
      </c>
    </row>
    <row r="40" spans="1:18" ht="30" customHeight="1">
      <c r="A40" s="169">
        <v>23105</v>
      </c>
      <c r="B40" s="99" t="s">
        <v>749</v>
      </c>
      <c r="C40" s="356"/>
      <c r="D40" s="356"/>
      <c r="E40" s="356"/>
      <c r="F40" s="356"/>
      <c r="G40" s="356"/>
      <c r="H40" s="356"/>
      <c r="I40" s="356"/>
      <c r="J40" s="356"/>
      <c r="K40" s="356"/>
      <c r="L40" s="408">
        <v>45552000</v>
      </c>
      <c r="M40" s="408">
        <v>0</v>
      </c>
      <c r="N40" s="99">
        <v>0</v>
      </c>
      <c r="O40" s="99">
        <v>0</v>
      </c>
      <c r="P40" s="99">
        <v>0</v>
      </c>
      <c r="Q40" s="99">
        <v>0</v>
      </c>
      <c r="R40" s="387">
        <f t="shared" si="0"/>
        <v>0</v>
      </c>
    </row>
    <row r="41" spans="1:18" ht="30" customHeight="1">
      <c r="A41" s="169"/>
      <c r="B41" s="125" t="s">
        <v>59</v>
      </c>
      <c r="C41" s="356"/>
      <c r="D41" s="356"/>
      <c r="E41" s="356"/>
      <c r="F41" s="356"/>
      <c r="G41" s="356"/>
      <c r="H41" s="356"/>
      <c r="I41" s="356"/>
      <c r="J41" s="356"/>
      <c r="K41" s="356"/>
      <c r="L41" s="409">
        <f>SUM(L38:L40)</f>
        <v>51510400</v>
      </c>
      <c r="M41" s="409">
        <f>SUM(M38:M40)</f>
        <v>4170880</v>
      </c>
      <c r="N41" s="125">
        <f>SUM(N37:N40)</f>
        <v>0</v>
      </c>
      <c r="O41" s="125">
        <f>SUM(O37:O40)</f>
        <v>162000000</v>
      </c>
      <c r="P41" s="125">
        <f>SUM(P36:P40)</f>
        <v>192000000</v>
      </c>
      <c r="Q41" s="125">
        <f>SUM(Q36:Q40)</f>
        <v>135000000</v>
      </c>
      <c r="R41" s="388">
        <f t="shared" si="0"/>
        <v>-57000000</v>
      </c>
    </row>
    <row r="42" spans="1:18" ht="30" customHeight="1">
      <c r="A42" s="169"/>
      <c r="B42" s="125" t="s">
        <v>18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88" t="e">
        <f>#REF!+L41+L33+L28+L23+L9</f>
        <v>#REF!</v>
      </c>
      <c r="M42" s="388" t="e">
        <f>#REF!+M41+M33+M28+M23+M9</f>
        <v>#REF!</v>
      </c>
      <c r="N42" s="125" t="e">
        <f>#REF!+N41+N33+N28+N23+N9</f>
        <v>#REF!</v>
      </c>
      <c r="O42" s="125" t="e">
        <f>#REF!+O41+O33+O28+O23+O9</f>
        <v>#REF!</v>
      </c>
      <c r="P42" s="125">
        <f>P41+P33+P28+P23+P9</f>
        <v>3054953062</v>
      </c>
      <c r="Q42" s="125">
        <f>Q41+Q33+Q28+Q23+Q9</f>
        <v>2817024262</v>
      </c>
      <c r="R42" s="388">
        <f t="shared" si="0"/>
        <v>-237928800</v>
      </c>
    </row>
  </sheetData>
  <pageMargins left="0.64" right="0.28000000000000003" top="0.67" bottom="0.5" header="0.17" footer="0.17"/>
  <pageSetup scale="55" orientation="portrait" r:id="rId1"/>
  <headerFooter>
    <oddHeader>&amp;C&amp;"Algerian,Bold"&amp;28WASAARADdA KALUUMAYSIGA IYO KHAYRAADKA BADDA</oddHeader>
    <oddFooter>&amp;R&amp;"Times New Roman,Bold"&amp;18 33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4"/>
  <dimension ref="A1:R49"/>
  <sheetViews>
    <sheetView view="pageBreakPreview" topLeftCell="A4" zoomScale="60" workbookViewId="0">
      <selection sqref="A1:XFD1048576"/>
    </sheetView>
  </sheetViews>
  <sheetFormatPr defaultRowHeight="23.1" customHeight="1"/>
  <cols>
    <col min="1" max="1" width="18.1640625" style="402" bestFit="1" customWidth="1"/>
    <col min="2" max="2" width="79.33203125" style="304" customWidth="1"/>
    <col min="3" max="3" width="15.5" style="304" hidden="1" customWidth="1"/>
    <col min="4" max="4" width="14" style="304" hidden="1" customWidth="1"/>
    <col min="5" max="5" width="18" style="304" hidden="1" customWidth="1"/>
    <col min="6" max="6" width="16" style="304" hidden="1" customWidth="1"/>
    <col min="7" max="7" width="17.83203125" style="304" hidden="1" customWidth="1"/>
    <col min="8" max="8" width="2" style="304" hidden="1" customWidth="1"/>
    <col min="9" max="9" width="21.5" style="304" hidden="1" customWidth="1"/>
    <col min="10" max="10" width="18.33203125" style="304" hidden="1" customWidth="1"/>
    <col min="11" max="11" width="16.5" style="304" hidden="1" customWidth="1"/>
    <col min="12" max="12" width="21" style="304" hidden="1" customWidth="1"/>
    <col min="13" max="13" width="20.5" style="304" hidden="1" customWidth="1"/>
    <col min="14" max="15" width="27.5" style="304" hidden="1" customWidth="1"/>
    <col min="16" max="16" width="27.6640625" style="273" bestFit="1" customWidth="1"/>
    <col min="17" max="17" width="27.6640625" style="273" customWidth="1"/>
    <col min="18" max="18" width="27.6640625" style="304" bestFit="1" customWidth="1"/>
    <col min="19" max="16384" width="9.33203125" style="304"/>
  </cols>
  <sheetData>
    <row r="1" spans="1:18" ht="24" customHeight="1">
      <c r="A1" s="353" t="s">
        <v>21</v>
      </c>
      <c r="B1" s="354" t="s">
        <v>790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106"/>
      <c r="Q1" s="106"/>
      <c r="R1" s="303"/>
    </row>
    <row r="2" spans="1:18" s="414" customFormat="1" ht="24" customHeight="1">
      <c r="A2" s="169">
        <v>210</v>
      </c>
      <c r="B2" s="106" t="s">
        <v>95</v>
      </c>
      <c r="C2" s="412" t="s">
        <v>19</v>
      </c>
      <c r="D2" s="413" t="s">
        <v>2</v>
      </c>
      <c r="E2" s="413" t="s">
        <v>24</v>
      </c>
      <c r="F2" s="413" t="s">
        <v>28</v>
      </c>
      <c r="G2" s="413" t="s">
        <v>33</v>
      </c>
      <c r="H2" s="413" t="s">
        <v>40</v>
      </c>
      <c r="I2" s="413" t="s">
        <v>64</v>
      </c>
      <c r="J2" s="413" t="s">
        <v>69</v>
      </c>
      <c r="K2" s="413" t="s">
        <v>77</v>
      </c>
      <c r="L2" s="256" t="s">
        <v>110</v>
      </c>
      <c r="M2" s="256" t="s">
        <v>167</v>
      </c>
      <c r="N2" s="256" t="s">
        <v>318</v>
      </c>
      <c r="O2" s="256" t="s">
        <v>538</v>
      </c>
      <c r="P2" s="256" t="s">
        <v>607</v>
      </c>
      <c r="Q2" s="256" t="s">
        <v>722</v>
      </c>
      <c r="R2" s="112" t="s">
        <v>34</v>
      </c>
    </row>
    <row r="3" spans="1:18" ht="24" customHeight="1">
      <c r="A3" s="169">
        <v>2110</v>
      </c>
      <c r="B3" s="66" t="s">
        <v>155</v>
      </c>
      <c r="C3" s="118"/>
      <c r="D3" s="118"/>
      <c r="E3" s="118"/>
      <c r="F3" s="118"/>
      <c r="G3" s="118"/>
      <c r="H3" s="118"/>
      <c r="I3" s="118"/>
      <c r="J3" s="118"/>
      <c r="K3" s="66">
        <f>572163600+12000000+4149600</f>
        <v>588313200</v>
      </c>
      <c r="L3" s="118"/>
      <c r="M3" s="66"/>
      <c r="N3" s="66"/>
      <c r="O3" s="66"/>
      <c r="P3" s="66"/>
      <c r="Q3" s="66"/>
      <c r="R3" s="118"/>
    </row>
    <row r="4" spans="1:18" ht="24" customHeight="1">
      <c r="A4" s="169">
        <v>21101</v>
      </c>
      <c r="B4" s="66" t="s">
        <v>9</v>
      </c>
      <c r="C4" s="66">
        <v>148515000</v>
      </c>
      <c r="D4" s="66">
        <v>297002000</v>
      </c>
      <c r="E4" s="66">
        <v>267852000</v>
      </c>
      <c r="F4" s="66">
        <v>272157000</v>
      </c>
      <c r="G4" s="66">
        <v>286368000</v>
      </c>
      <c r="H4" s="66">
        <f>286368000+65424000</f>
        <v>351792000</v>
      </c>
      <c r="I4" s="66">
        <v>457329600</v>
      </c>
      <c r="J4" s="66">
        <f>512163600+54000000+6000000</f>
        <v>572163600</v>
      </c>
      <c r="K4" s="66">
        <v>0</v>
      </c>
      <c r="L4" s="66">
        <v>588687600</v>
      </c>
      <c r="M4" s="66" t="e">
        <f>#REF!+36000000+221932800</f>
        <v>#REF!</v>
      </c>
      <c r="N4" s="66">
        <v>1152060000</v>
      </c>
      <c r="O4" s="66">
        <v>1411550400</v>
      </c>
      <c r="P4" s="66">
        <v>2041603200</v>
      </c>
      <c r="Q4" s="66">
        <v>2241158400</v>
      </c>
      <c r="R4" s="100">
        <f>Q4-P4</f>
        <v>199555200</v>
      </c>
    </row>
    <row r="5" spans="1:18" ht="24" customHeight="1">
      <c r="A5" s="169">
        <v>21102</v>
      </c>
      <c r="B5" s="66" t="s">
        <v>418</v>
      </c>
      <c r="C5" s="66">
        <v>11833000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f>48240000+1440000+7920000</f>
        <v>57600000</v>
      </c>
      <c r="L5" s="66">
        <v>0</v>
      </c>
      <c r="M5" s="66">
        <v>0</v>
      </c>
      <c r="N5" s="66">
        <v>97200000</v>
      </c>
      <c r="O5" s="66">
        <v>97200000</v>
      </c>
      <c r="P5" s="66">
        <v>194400000</v>
      </c>
      <c r="Q5" s="66">
        <v>194400000</v>
      </c>
      <c r="R5" s="100">
        <f t="shared" ref="R5:R46" si="0">Q5-P5</f>
        <v>0</v>
      </c>
    </row>
    <row r="6" spans="1:18" ht="24" customHeight="1">
      <c r="A6" s="169">
        <v>21103</v>
      </c>
      <c r="B6" s="66" t="s">
        <v>11</v>
      </c>
      <c r="C6" s="66">
        <v>10800000</v>
      </c>
      <c r="D6" s="66">
        <v>10800000</v>
      </c>
      <c r="E6" s="66">
        <v>10800000</v>
      </c>
      <c r="F6" s="66">
        <v>10800000</v>
      </c>
      <c r="G6" s="66">
        <v>14400000</v>
      </c>
      <c r="H6" s="66">
        <v>14400000</v>
      </c>
      <c r="I6" s="66">
        <v>14400000</v>
      </c>
      <c r="J6" s="66">
        <f>14400000+32400000+1440000</f>
        <v>48240000</v>
      </c>
      <c r="K6" s="66">
        <v>0</v>
      </c>
      <c r="L6" s="66">
        <v>61200000</v>
      </c>
      <c r="M6" s="66">
        <v>61200000</v>
      </c>
      <c r="N6" s="66">
        <v>97200000</v>
      </c>
      <c r="O6" s="66">
        <v>151200000</v>
      </c>
      <c r="P6" s="66">
        <v>306000000</v>
      </c>
      <c r="Q6" s="66">
        <v>324000000</v>
      </c>
      <c r="R6" s="100">
        <f t="shared" si="0"/>
        <v>18000000</v>
      </c>
    </row>
    <row r="7" spans="1:18" ht="24" customHeight="1">
      <c r="A7" s="169">
        <v>21105</v>
      </c>
      <c r="B7" s="66" t="s">
        <v>348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>
        <v>48000000</v>
      </c>
      <c r="N7" s="66">
        <f>M7</f>
        <v>48000000</v>
      </c>
      <c r="O7" s="66">
        <f>N7</f>
        <v>48000000</v>
      </c>
      <c r="P7" s="66">
        <v>72000000</v>
      </c>
      <c r="Q7" s="66">
        <v>72000000</v>
      </c>
      <c r="R7" s="100">
        <f t="shared" si="0"/>
        <v>0</v>
      </c>
    </row>
    <row r="8" spans="1:18" ht="24" customHeight="1">
      <c r="A8" s="169"/>
      <c r="B8" s="106" t="s">
        <v>59</v>
      </c>
      <c r="C8" s="66"/>
      <c r="D8" s="66">
        <v>0</v>
      </c>
      <c r="E8" s="66">
        <v>6000000</v>
      </c>
      <c r="F8" s="66">
        <v>3000000</v>
      </c>
      <c r="G8" s="66">
        <v>0</v>
      </c>
      <c r="H8" s="66">
        <v>0</v>
      </c>
      <c r="I8" s="66">
        <v>0</v>
      </c>
      <c r="J8" s="66">
        <v>15000000</v>
      </c>
      <c r="K8" s="66">
        <v>0</v>
      </c>
      <c r="L8" s="66">
        <f>SUM(L4:L6)</f>
        <v>649887600</v>
      </c>
      <c r="M8" s="66" t="e">
        <f>M7+M6+M4+M5</f>
        <v>#REF!</v>
      </c>
      <c r="N8" s="106">
        <f>N7+N6+N4+N5</f>
        <v>1394460000</v>
      </c>
      <c r="O8" s="106">
        <f>SUM(O4:O7)</f>
        <v>1707950400</v>
      </c>
      <c r="P8" s="106">
        <f>SUM(P4:P7)</f>
        <v>2614003200</v>
      </c>
      <c r="Q8" s="106">
        <f>SUM(Q4:Q7)</f>
        <v>2831558400</v>
      </c>
      <c r="R8" s="105">
        <f t="shared" si="0"/>
        <v>217555200</v>
      </c>
    </row>
    <row r="9" spans="1:18" ht="24" customHeight="1">
      <c r="A9" s="249">
        <v>220</v>
      </c>
      <c r="B9" s="106" t="s">
        <v>159</v>
      </c>
      <c r="C9" s="66"/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/>
      <c r="M9" s="66"/>
      <c r="N9" s="66"/>
      <c r="O9" s="66"/>
      <c r="P9" s="66"/>
      <c r="Q9" s="66"/>
      <c r="R9" s="100">
        <f t="shared" si="0"/>
        <v>0</v>
      </c>
    </row>
    <row r="10" spans="1:18" ht="24" customHeight="1">
      <c r="A10" s="249">
        <v>2210</v>
      </c>
      <c r="B10" s="106" t="s">
        <v>160</v>
      </c>
      <c r="C10" s="66"/>
      <c r="D10" s="66">
        <v>20000000</v>
      </c>
      <c r="E10" s="66">
        <v>56000000</v>
      </c>
      <c r="F10" s="66">
        <v>0</v>
      </c>
      <c r="G10" s="66">
        <v>0</v>
      </c>
      <c r="H10" s="66">
        <v>149500000</v>
      </c>
      <c r="I10" s="66">
        <v>0</v>
      </c>
      <c r="J10" s="66">
        <v>0</v>
      </c>
      <c r="K10" s="66">
        <v>14896000</v>
      </c>
      <c r="L10" s="66"/>
      <c r="M10" s="66"/>
      <c r="N10" s="66"/>
      <c r="O10" s="66"/>
      <c r="P10" s="66"/>
      <c r="Q10" s="66"/>
      <c r="R10" s="100">
        <f t="shared" si="0"/>
        <v>0</v>
      </c>
    </row>
    <row r="11" spans="1:18" ht="24" customHeight="1">
      <c r="A11" s="169">
        <v>22101</v>
      </c>
      <c r="B11" s="66" t="s">
        <v>14</v>
      </c>
      <c r="C11" s="66">
        <v>0</v>
      </c>
      <c r="D11" s="66">
        <v>2000000</v>
      </c>
      <c r="E11" s="66">
        <v>2000000</v>
      </c>
      <c r="F11" s="66">
        <v>1000000</v>
      </c>
      <c r="G11" s="66">
        <v>3200000</v>
      </c>
      <c r="H11" s="66">
        <v>4000000</v>
      </c>
      <c r="I11" s="66">
        <v>2979200</v>
      </c>
      <c r="J11" s="66">
        <v>4000000</v>
      </c>
      <c r="K11" s="66">
        <v>8937600</v>
      </c>
      <c r="L11" s="66">
        <v>44688000</v>
      </c>
      <c r="M11" s="66">
        <f>44688000*70%</f>
        <v>31281599.999999996</v>
      </c>
      <c r="N11" s="66">
        <f>44688000*70%</f>
        <v>31281599.999999996</v>
      </c>
      <c r="O11" s="66">
        <v>66281600</v>
      </c>
      <c r="P11" s="66">
        <v>86281600</v>
      </c>
      <c r="Q11" s="66">
        <v>86281600</v>
      </c>
      <c r="R11" s="100">
        <f t="shared" si="0"/>
        <v>0</v>
      </c>
    </row>
    <row r="12" spans="1:18" ht="24" customHeight="1">
      <c r="A12" s="169">
        <v>22102</v>
      </c>
      <c r="B12" s="66" t="s">
        <v>82</v>
      </c>
      <c r="C12" s="66"/>
      <c r="D12" s="66"/>
      <c r="E12" s="66"/>
      <c r="F12" s="66"/>
      <c r="G12" s="66"/>
      <c r="H12" s="66"/>
      <c r="I12" s="66"/>
      <c r="J12" s="66"/>
      <c r="K12" s="66">
        <v>18620000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100">
        <f t="shared" si="0"/>
        <v>0</v>
      </c>
    </row>
    <row r="13" spans="1:18" ht="24" customHeight="1">
      <c r="A13" s="169">
        <v>22103</v>
      </c>
      <c r="B13" s="66" t="s">
        <v>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100">
        <f t="shared" si="0"/>
        <v>0</v>
      </c>
    </row>
    <row r="14" spans="1:18" ht="24" customHeight="1">
      <c r="A14" s="169">
        <v>22104</v>
      </c>
      <c r="B14" s="66" t="s">
        <v>116</v>
      </c>
      <c r="C14" s="66"/>
      <c r="D14" s="66"/>
      <c r="E14" s="66"/>
      <c r="F14" s="66"/>
      <c r="G14" s="66"/>
      <c r="H14" s="66"/>
      <c r="I14" s="66"/>
      <c r="J14" s="66"/>
      <c r="K14" s="66">
        <v>208212162</v>
      </c>
      <c r="L14" s="66">
        <v>58040934</v>
      </c>
      <c r="M14" s="66">
        <v>40628653</v>
      </c>
      <c r="N14" s="66">
        <v>40628653</v>
      </c>
      <c r="O14" s="66">
        <v>40628653</v>
      </c>
      <c r="P14" s="66">
        <v>68628653</v>
      </c>
      <c r="Q14" s="66">
        <v>68628653</v>
      </c>
      <c r="R14" s="100">
        <f t="shared" si="0"/>
        <v>0</v>
      </c>
    </row>
    <row r="15" spans="1:18" ht="24" customHeight="1">
      <c r="A15" s="169">
        <v>22105</v>
      </c>
      <c r="B15" s="66" t="s">
        <v>93</v>
      </c>
      <c r="C15" s="66"/>
      <c r="D15" s="66"/>
      <c r="E15" s="66"/>
      <c r="F15" s="66"/>
      <c r="G15" s="66"/>
      <c r="H15" s="66"/>
      <c r="I15" s="66"/>
      <c r="J15" s="66"/>
      <c r="K15" s="66">
        <v>7448000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100">
        <f t="shared" si="0"/>
        <v>0</v>
      </c>
    </row>
    <row r="16" spans="1:18" ht="24" customHeight="1">
      <c r="A16" s="169">
        <v>22106</v>
      </c>
      <c r="B16" s="66" t="s">
        <v>84</v>
      </c>
      <c r="C16" s="66">
        <v>6000000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f>SUM(K8:K15)</f>
        <v>258113762</v>
      </c>
      <c r="L16" s="66">
        <v>15000000</v>
      </c>
      <c r="M16" s="66">
        <f>15000000*70%</f>
        <v>10500000</v>
      </c>
      <c r="N16" s="66">
        <v>0</v>
      </c>
      <c r="O16" s="66">
        <v>0</v>
      </c>
      <c r="P16" s="66">
        <v>6000000</v>
      </c>
      <c r="Q16" s="66">
        <v>6000000</v>
      </c>
      <c r="R16" s="100">
        <f t="shared" si="0"/>
        <v>0</v>
      </c>
    </row>
    <row r="17" spans="1:18" ht="24" customHeight="1">
      <c r="A17" s="169">
        <v>22107</v>
      </c>
      <c r="B17" s="66" t="s">
        <v>30</v>
      </c>
      <c r="C17" s="66">
        <v>0</v>
      </c>
      <c r="D17" s="66">
        <v>6000000</v>
      </c>
      <c r="E17" s="66">
        <v>8000000</v>
      </c>
      <c r="F17" s="66">
        <v>16000000</v>
      </c>
      <c r="G17" s="66">
        <v>20217600</v>
      </c>
      <c r="H17" s="66">
        <v>25272000</v>
      </c>
      <c r="I17" s="66">
        <v>37442586</v>
      </c>
      <c r="J17" s="66">
        <v>55000000</v>
      </c>
      <c r="K17" s="66"/>
      <c r="L17" s="66">
        <v>34896000</v>
      </c>
      <c r="M17" s="66">
        <f>L17*70%</f>
        <v>24427200</v>
      </c>
      <c r="N17" s="66">
        <f>M17*70%</f>
        <v>17099040</v>
      </c>
      <c r="O17" s="66">
        <v>27099040</v>
      </c>
      <c r="P17" s="66">
        <v>47099040</v>
      </c>
      <c r="Q17" s="66">
        <v>47099040</v>
      </c>
      <c r="R17" s="100">
        <f t="shared" si="0"/>
        <v>0</v>
      </c>
    </row>
    <row r="18" spans="1:18" ht="24" customHeight="1">
      <c r="A18" s="169">
        <v>22108</v>
      </c>
      <c r="B18" s="66" t="s">
        <v>60</v>
      </c>
      <c r="C18" s="66">
        <v>12000000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100">
        <f t="shared" si="0"/>
        <v>0</v>
      </c>
    </row>
    <row r="19" spans="1:18" ht="24" customHeight="1">
      <c r="A19" s="169">
        <v>22109</v>
      </c>
      <c r="B19" s="66" t="s">
        <v>94</v>
      </c>
      <c r="C19" s="66">
        <v>7000000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15000000</v>
      </c>
      <c r="K19" s="66">
        <v>201406000</v>
      </c>
      <c r="L19" s="66">
        <v>8937600</v>
      </c>
      <c r="M19" s="66">
        <f>8937600*70%</f>
        <v>6256320</v>
      </c>
      <c r="N19" s="66">
        <f>8937600*70%</f>
        <v>6256320</v>
      </c>
      <c r="O19" s="66">
        <f>8937600*70%</f>
        <v>6256320</v>
      </c>
      <c r="P19" s="66">
        <f>8937600*70%</f>
        <v>6256320</v>
      </c>
      <c r="Q19" s="66">
        <f>8937600*70%</f>
        <v>6256320</v>
      </c>
      <c r="R19" s="100">
        <f t="shared" si="0"/>
        <v>0</v>
      </c>
    </row>
    <row r="20" spans="1:18" ht="24" customHeight="1">
      <c r="A20" s="169">
        <v>22112</v>
      </c>
      <c r="B20" s="66" t="s">
        <v>16</v>
      </c>
      <c r="C20" s="66">
        <v>0</v>
      </c>
      <c r="D20" s="66">
        <v>0</v>
      </c>
      <c r="E20" s="66">
        <v>0</v>
      </c>
      <c r="F20" s="66">
        <v>0</v>
      </c>
      <c r="G20" s="66">
        <v>4000000</v>
      </c>
      <c r="H20" s="66">
        <v>5000000</v>
      </c>
      <c r="I20" s="66">
        <v>14896000</v>
      </c>
      <c r="J20" s="66">
        <v>45000000</v>
      </c>
      <c r="K20" s="66">
        <v>26812800</v>
      </c>
      <c r="L20" s="66">
        <v>48620000</v>
      </c>
      <c r="M20" s="66">
        <v>34034000</v>
      </c>
      <c r="N20" s="66">
        <v>40034000</v>
      </c>
      <c r="O20" s="66">
        <v>80034000</v>
      </c>
      <c r="P20" s="66">
        <v>90034000</v>
      </c>
      <c r="Q20" s="66">
        <v>90034000</v>
      </c>
      <c r="R20" s="100">
        <f t="shared" si="0"/>
        <v>0</v>
      </c>
    </row>
    <row r="21" spans="1:18" ht="24" customHeight="1">
      <c r="A21" s="169">
        <v>22134</v>
      </c>
      <c r="B21" s="66" t="s">
        <v>100</v>
      </c>
      <c r="C21" s="66">
        <v>5000000</v>
      </c>
      <c r="D21" s="66">
        <v>5000000</v>
      </c>
      <c r="E21" s="66">
        <v>5000000</v>
      </c>
      <c r="F21" s="66">
        <v>5000000</v>
      </c>
      <c r="G21" s="66">
        <v>8000000</v>
      </c>
      <c r="H21" s="66">
        <v>10000000</v>
      </c>
      <c r="I21" s="66">
        <v>18620000</v>
      </c>
      <c r="J21" s="66">
        <v>48000000</v>
      </c>
      <c r="K21" s="66">
        <f ca="1">SUM(K18:K23)</f>
        <v>235666800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100">
        <f t="shared" si="0"/>
        <v>0</v>
      </c>
    </row>
    <row r="22" spans="1:18" ht="24" customHeight="1">
      <c r="A22" s="169">
        <v>22137</v>
      </c>
      <c r="B22" s="66" t="s">
        <v>180</v>
      </c>
      <c r="C22" s="66">
        <v>0</v>
      </c>
      <c r="D22" s="66">
        <v>0</v>
      </c>
      <c r="E22" s="66">
        <v>0</v>
      </c>
      <c r="F22" s="66">
        <v>0</v>
      </c>
      <c r="G22" s="66">
        <v>16000000</v>
      </c>
      <c r="H22" s="66">
        <v>360113000</v>
      </c>
      <c r="I22" s="66">
        <v>208212162</v>
      </c>
      <c r="J22" s="66">
        <v>330000000</v>
      </c>
      <c r="K22" s="66"/>
      <c r="L22" s="66">
        <v>0</v>
      </c>
      <c r="M22" s="66">
        <v>74131200</v>
      </c>
      <c r="N22" s="66">
        <v>74131200</v>
      </c>
      <c r="O22" s="66">
        <v>100000000</v>
      </c>
      <c r="P22" s="66">
        <v>100000000</v>
      </c>
      <c r="Q22" s="66">
        <v>230000000</v>
      </c>
      <c r="R22" s="100">
        <f t="shared" si="0"/>
        <v>130000000</v>
      </c>
    </row>
    <row r="23" spans="1:18" ht="24" customHeight="1">
      <c r="A23" s="169">
        <v>22151</v>
      </c>
      <c r="B23" s="66" t="s">
        <v>547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7448000</v>
      </c>
      <c r="L23" s="66">
        <v>208212162</v>
      </c>
      <c r="M23" s="66">
        <f>1000000000*70%</f>
        <v>700000000</v>
      </c>
      <c r="N23" s="66">
        <v>0</v>
      </c>
      <c r="O23" s="66">
        <v>50000000</v>
      </c>
      <c r="P23" s="66">
        <v>148000000</v>
      </c>
      <c r="Q23" s="66">
        <v>148000000</v>
      </c>
      <c r="R23" s="100">
        <f t="shared" si="0"/>
        <v>0</v>
      </c>
    </row>
    <row r="24" spans="1:18" ht="24" customHeight="1">
      <c r="A24" s="169">
        <v>22151</v>
      </c>
      <c r="B24" s="66" t="s">
        <v>845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>
        <v>117000000</v>
      </c>
      <c r="R24" s="100">
        <f t="shared" si="0"/>
        <v>117000000</v>
      </c>
    </row>
    <row r="25" spans="1:18" ht="24" customHeight="1">
      <c r="A25" s="169"/>
      <c r="B25" s="106" t="s">
        <v>59</v>
      </c>
      <c r="C25" s="66"/>
      <c r="D25" s="66"/>
      <c r="E25" s="66"/>
      <c r="F25" s="66"/>
      <c r="G25" s="66"/>
      <c r="H25" s="66"/>
      <c r="I25" s="66">
        <v>0</v>
      </c>
      <c r="J25" s="66">
        <v>35000000</v>
      </c>
      <c r="K25" s="66"/>
      <c r="L25" s="66">
        <f>SUM(L11:L22)</f>
        <v>210182534</v>
      </c>
      <c r="M25" s="66">
        <f>SUM(M11:M22)</f>
        <v>221258973</v>
      </c>
      <c r="N25" s="106">
        <f>SUM(N11:N23)</f>
        <v>209430813</v>
      </c>
      <c r="O25" s="106">
        <f>SUM(O11:O23)</f>
        <v>370299613</v>
      </c>
      <c r="P25" s="106">
        <f>SUM(P11:P23)</f>
        <v>552299613</v>
      </c>
      <c r="Q25" s="106">
        <f>SUM(Q11:Q24)</f>
        <v>799299613</v>
      </c>
      <c r="R25" s="105">
        <f t="shared" si="0"/>
        <v>247000000</v>
      </c>
    </row>
    <row r="26" spans="1:18" ht="24" customHeight="1">
      <c r="A26" s="249">
        <v>2220</v>
      </c>
      <c r="B26" s="106" t="s">
        <v>161</v>
      </c>
      <c r="C26" s="66"/>
      <c r="D26" s="66">
        <v>2577555</v>
      </c>
      <c r="E26" s="66">
        <v>11431000</v>
      </c>
      <c r="F26" s="66">
        <v>11446285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/>
      <c r="M26" s="66"/>
      <c r="N26" s="66"/>
      <c r="O26" s="66"/>
      <c r="P26" s="66"/>
      <c r="Q26" s="66"/>
      <c r="R26" s="100">
        <f t="shared" si="0"/>
        <v>0</v>
      </c>
    </row>
    <row r="27" spans="1:18" s="267" customFormat="1" ht="24" customHeight="1">
      <c r="A27" s="169">
        <v>22201</v>
      </c>
      <c r="B27" s="66" t="s">
        <v>90</v>
      </c>
      <c r="C27" s="66">
        <f>SUM(C16:C22)</f>
        <v>30000000</v>
      </c>
      <c r="D27" s="66">
        <f t="shared" ref="D27:J27" si="1">SUM(D16:D26)</f>
        <v>13577555</v>
      </c>
      <c r="E27" s="66">
        <f t="shared" si="1"/>
        <v>24431000</v>
      </c>
      <c r="F27" s="66">
        <f t="shared" si="1"/>
        <v>32446285</v>
      </c>
      <c r="G27" s="66">
        <f t="shared" si="1"/>
        <v>48217600</v>
      </c>
      <c r="H27" s="66">
        <f t="shared" si="1"/>
        <v>400385000</v>
      </c>
      <c r="I27" s="66">
        <f t="shared" si="1"/>
        <v>279170748</v>
      </c>
      <c r="J27" s="66">
        <f t="shared" si="1"/>
        <v>528000000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100">
        <f t="shared" si="0"/>
        <v>0</v>
      </c>
    </row>
    <row r="28" spans="1:18" s="267" customFormat="1" ht="24" customHeight="1">
      <c r="A28" s="169">
        <v>22202</v>
      </c>
      <c r="B28" s="66" t="s">
        <v>91</v>
      </c>
      <c r="C28" s="66" t="e">
        <f>C27+#REF!+#REF!+#REF!+#REF!</f>
        <v>#REF!</v>
      </c>
      <c r="D28" s="66" t="e">
        <f>D27+#REF!+#REF!+#REF!+#REF!</f>
        <v>#REF!</v>
      </c>
      <c r="E28" s="66" t="e">
        <f>E27+#REF!+#REF!+#REF!+#REF!</f>
        <v>#REF!</v>
      </c>
      <c r="F28" s="66" t="e">
        <f>F27+#REF!+#REF!+#REF!+#REF!</f>
        <v>#REF!</v>
      </c>
      <c r="G28" s="66" t="e">
        <f>G27+#REF!+#REF!+#REF!+#REF!</f>
        <v>#REF!</v>
      </c>
      <c r="H28" s="66" t="e">
        <f>H27+#REF!+#REF!+#REF!+#REF!</f>
        <v>#REF!</v>
      </c>
      <c r="I28" s="66" t="e">
        <f>I27+#REF!+#REF!+#REF!+#REF!</f>
        <v>#REF!</v>
      </c>
      <c r="J28" s="66" t="e">
        <f>J27+#REF!+#REF!+#REF!+#REF!</f>
        <v>#REF!</v>
      </c>
      <c r="K28" s="66">
        <v>2979200</v>
      </c>
      <c r="L28" s="66">
        <v>351406000</v>
      </c>
      <c r="M28" s="66">
        <f>245984200+105421800</f>
        <v>351406000</v>
      </c>
      <c r="N28" s="66">
        <f>M28</f>
        <v>351406000</v>
      </c>
      <c r="O28" s="66">
        <v>421406000</v>
      </c>
      <c r="P28" s="66">
        <v>471406000</v>
      </c>
      <c r="Q28" s="66">
        <v>471406000</v>
      </c>
      <c r="R28" s="100">
        <f t="shared" si="0"/>
        <v>0</v>
      </c>
    </row>
    <row r="29" spans="1:18" ht="24" customHeight="1">
      <c r="A29" s="169">
        <v>22203</v>
      </c>
      <c r="B29" s="66" t="s">
        <v>85</v>
      </c>
      <c r="C29" s="118"/>
      <c r="D29" s="118"/>
      <c r="E29" s="118"/>
      <c r="F29" s="100">
        <v>0</v>
      </c>
      <c r="G29" s="100" t="s">
        <v>4</v>
      </c>
      <c r="H29" s="100"/>
      <c r="I29" s="100"/>
      <c r="J29" s="100"/>
      <c r="K29" s="100">
        <v>2234400</v>
      </c>
      <c r="L29" s="100">
        <v>26812800</v>
      </c>
      <c r="M29" s="100">
        <v>18768960</v>
      </c>
      <c r="N29" s="100">
        <v>18768960</v>
      </c>
      <c r="O29" s="100">
        <v>18768960</v>
      </c>
      <c r="P29" s="100">
        <v>43768960</v>
      </c>
      <c r="Q29" s="100">
        <v>43768960</v>
      </c>
      <c r="R29" s="100">
        <f t="shared" si="0"/>
        <v>0</v>
      </c>
    </row>
    <row r="30" spans="1:18" ht="24" customHeight="1">
      <c r="A30" s="169">
        <v>22204</v>
      </c>
      <c r="B30" s="66" t="s">
        <v>86</v>
      </c>
      <c r="C30" s="118"/>
      <c r="D30" s="100">
        <v>0</v>
      </c>
      <c r="E30" s="100"/>
      <c r="F30" s="100"/>
      <c r="G30" s="100"/>
      <c r="H30" s="100"/>
      <c r="I30" s="100"/>
      <c r="J30" s="100"/>
      <c r="K30" s="100">
        <f>SUM(K26:K29)</f>
        <v>5213600</v>
      </c>
      <c r="L30" s="100">
        <v>45448000</v>
      </c>
      <c r="M30" s="100">
        <f>45448000*70%</f>
        <v>31813599.999999996</v>
      </c>
      <c r="N30" s="100">
        <f>45448000*70%</f>
        <v>31813599.999999996</v>
      </c>
      <c r="O30" s="100">
        <f>45448000*70%</f>
        <v>31813599.999999996</v>
      </c>
      <c r="P30" s="100">
        <v>16813600</v>
      </c>
      <c r="Q30" s="100">
        <v>16813600</v>
      </c>
      <c r="R30" s="100">
        <f t="shared" si="0"/>
        <v>0</v>
      </c>
    </row>
    <row r="31" spans="1:18" ht="24" customHeight="1">
      <c r="A31" s="169">
        <v>22205</v>
      </c>
      <c r="B31" s="66" t="s">
        <v>92</v>
      </c>
      <c r="C31" s="118"/>
      <c r="D31" s="100">
        <v>0</v>
      </c>
      <c r="E31" s="100"/>
      <c r="F31" s="100"/>
      <c r="G31" s="100"/>
      <c r="H31" s="100"/>
      <c r="I31" s="100"/>
      <c r="J31" s="100"/>
      <c r="K31" s="100"/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f t="shared" si="0"/>
        <v>0</v>
      </c>
    </row>
    <row r="32" spans="1:18" ht="24" customHeight="1">
      <c r="A32" s="169">
        <v>22209</v>
      </c>
      <c r="B32" s="66" t="s">
        <v>145</v>
      </c>
      <c r="C32" s="118"/>
      <c r="D32" s="118"/>
      <c r="E32" s="118"/>
      <c r="F32" s="118"/>
      <c r="G32" s="118"/>
      <c r="H32" s="118"/>
      <c r="I32" s="118"/>
      <c r="J32" s="118"/>
      <c r="K32" s="116">
        <v>37240000</v>
      </c>
      <c r="L32" s="116">
        <v>27448000</v>
      </c>
      <c r="M32" s="116">
        <v>27448000</v>
      </c>
      <c r="N32" s="119">
        <v>0</v>
      </c>
      <c r="O32" s="119">
        <v>0</v>
      </c>
      <c r="P32" s="119">
        <v>0</v>
      </c>
      <c r="Q32" s="119">
        <v>0</v>
      </c>
      <c r="R32" s="100">
        <f t="shared" si="0"/>
        <v>0</v>
      </c>
    </row>
    <row r="33" spans="1:18" ht="24" customHeight="1">
      <c r="A33" s="169"/>
      <c r="B33" s="106" t="s">
        <v>59</v>
      </c>
      <c r="C33" s="118"/>
      <c r="D33" s="118"/>
      <c r="E33" s="118"/>
      <c r="F33" s="118"/>
      <c r="G33" s="118"/>
      <c r="H33" s="118"/>
      <c r="I33" s="118"/>
      <c r="J33" s="118"/>
      <c r="K33" s="66">
        <v>0</v>
      </c>
      <c r="L33" s="66">
        <f t="shared" ref="L33:P33" si="2">SUM(L27:L32)</f>
        <v>451114800</v>
      </c>
      <c r="M33" s="66">
        <f t="shared" si="2"/>
        <v>429436560</v>
      </c>
      <c r="N33" s="106">
        <f t="shared" si="2"/>
        <v>401988560</v>
      </c>
      <c r="O33" s="106">
        <f t="shared" si="2"/>
        <v>471988560</v>
      </c>
      <c r="P33" s="106">
        <f t="shared" si="2"/>
        <v>531988560</v>
      </c>
      <c r="Q33" s="106">
        <f>SUM(Q27:Q32)</f>
        <v>531988560</v>
      </c>
      <c r="R33" s="105">
        <f t="shared" si="0"/>
        <v>0</v>
      </c>
    </row>
    <row r="34" spans="1:18" ht="24" customHeight="1">
      <c r="A34" s="249">
        <v>2230</v>
      </c>
      <c r="B34" s="106" t="s">
        <v>88</v>
      </c>
      <c r="C34" s="118"/>
      <c r="D34" s="118"/>
      <c r="E34" s="118"/>
      <c r="F34" s="118"/>
      <c r="G34" s="118"/>
      <c r="H34" s="118"/>
      <c r="I34" s="118"/>
      <c r="J34" s="118"/>
      <c r="K34" s="66">
        <v>4468800</v>
      </c>
      <c r="L34" s="66"/>
      <c r="M34" s="66"/>
      <c r="N34" s="66"/>
      <c r="O34" s="66"/>
      <c r="P34" s="66"/>
      <c r="Q34" s="66"/>
      <c r="R34" s="100">
        <f t="shared" si="0"/>
        <v>0</v>
      </c>
    </row>
    <row r="35" spans="1:18" ht="24" customHeight="1">
      <c r="A35" s="169">
        <v>22301</v>
      </c>
      <c r="B35" s="66" t="s">
        <v>31</v>
      </c>
      <c r="C35" s="118"/>
      <c r="D35" s="118"/>
      <c r="E35" s="118"/>
      <c r="F35" s="118"/>
      <c r="G35" s="118"/>
      <c r="H35" s="118"/>
      <c r="I35" s="118"/>
      <c r="J35" s="118"/>
      <c r="K35" s="116">
        <f>SUM(K32:K34)</f>
        <v>41708800</v>
      </c>
      <c r="L35" s="116">
        <v>67240000</v>
      </c>
      <c r="M35" s="116">
        <v>47068000</v>
      </c>
      <c r="N35" s="116">
        <v>60000000</v>
      </c>
      <c r="O35" s="116">
        <v>60000000</v>
      </c>
      <c r="P35" s="116">
        <v>160000000</v>
      </c>
      <c r="Q35" s="116">
        <v>160000000</v>
      </c>
      <c r="R35" s="100">
        <f t="shared" si="0"/>
        <v>0</v>
      </c>
    </row>
    <row r="36" spans="1:18" ht="24" customHeight="1">
      <c r="A36" s="169">
        <v>22302</v>
      </c>
      <c r="B36" s="66" t="s">
        <v>162</v>
      </c>
      <c r="C36" s="118"/>
      <c r="D36" s="118"/>
      <c r="E36" s="118"/>
      <c r="F36" s="118"/>
      <c r="G36" s="118"/>
      <c r="H36" s="118"/>
      <c r="I36" s="118"/>
      <c r="J36" s="118"/>
      <c r="K36" s="116" t="e">
        <f ca="1">K35+K30+K21+K16+#REF!</f>
        <v>#REF!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0">
        <f t="shared" si="0"/>
        <v>0</v>
      </c>
    </row>
    <row r="37" spans="1:18" ht="24" customHeight="1">
      <c r="A37" s="169">
        <v>22303</v>
      </c>
      <c r="B37" s="66" t="s">
        <v>751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07">
        <v>0</v>
      </c>
      <c r="M37" s="107">
        <v>0</v>
      </c>
      <c r="N37" s="107">
        <v>0</v>
      </c>
      <c r="O37" s="107">
        <v>0</v>
      </c>
      <c r="P37" s="107">
        <v>25000000</v>
      </c>
      <c r="Q37" s="107">
        <v>25000000</v>
      </c>
      <c r="R37" s="100">
        <f t="shared" si="0"/>
        <v>0</v>
      </c>
    </row>
    <row r="38" spans="1:18" ht="24" customHeight="1">
      <c r="A38" s="169"/>
      <c r="B38" s="106" t="s">
        <v>59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6">
        <f t="shared" ref="L38:P38" si="3">SUM(L35:L37)</f>
        <v>67240000</v>
      </c>
      <c r="M38" s="116">
        <f t="shared" si="3"/>
        <v>47068000</v>
      </c>
      <c r="N38" s="117">
        <f t="shared" si="3"/>
        <v>60000000</v>
      </c>
      <c r="O38" s="117">
        <f t="shared" si="3"/>
        <v>60000000</v>
      </c>
      <c r="P38" s="117">
        <f t="shared" si="3"/>
        <v>185000000</v>
      </c>
      <c r="Q38" s="117">
        <f>SUM(Q35:Q37)</f>
        <v>185000000</v>
      </c>
      <c r="R38" s="105">
        <f t="shared" si="0"/>
        <v>0</v>
      </c>
    </row>
    <row r="39" spans="1:18" ht="24" customHeight="1">
      <c r="A39" s="249">
        <v>230</v>
      </c>
      <c r="B39" s="106" t="s">
        <v>165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00">
        <f t="shared" si="0"/>
        <v>0</v>
      </c>
    </row>
    <row r="40" spans="1:18" ht="24" customHeight="1">
      <c r="A40" s="249">
        <v>2310</v>
      </c>
      <c r="B40" s="106" t="s">
        <v>164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00">
        <f t="shared" si="0"/>
        <v>0</v>
      </c>
    </row>
    <row r="41" spans="1:18" ht="24" customHeight="1">
      <c r="A41" s="169">
        <v>23201</v>
      </c>
      <c r="B41" s="66" t="s">
        <v>172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07">
        <v>4468800</v>
      </c>
      <c r="M41" s="107">
        <f>4468800*70%</f>
        <v>3128160</v>
      </c>
      <c r="N41" s="107">
        <v>0</v>
      </c>
      <c r="O41" s="107">
        <v>0</v>
      </c>
      <c r="P41" s="107">
        <v>25000000</v>
      </c>
      <c r="Q41" s="107">
        <v>25000000</v>
      </c>
      <c r="R41" s="100">
        <f t="shared" si="0"/>
        <v>0</v>
      </c>
    </row>
    <row r="42" spans="1:18" ht="24" customHeight="1">
      <c r="A42" s="169">
        <v>23102</v>
      </c>
      <c r="B42" s="66" t="s">
        <v>752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07">
        <v>0</v>
      </c>
      <c r="M42" s="107">
        <v>216000000</v>
      </c>
      <c r="N42" s="107">
        <v>0</v>
      </c>
      <c r="O42" s="107">
        <v>0</v>
      </c>
      <c r="P42" s="107">
        <v>40000000</v>
      </c>
      <c r="Q42" s="107">
        <v>120000000</v>
      </c>
      <c r="R42" s="100">
        <f t="shared" si="0"/>
        <v>80000000</v>
      </c>
    </row>
    <row r="43" spans="1:18" ht="24" customHeight="1">
      <c r="A43" s="169">
        <v>23103</v>
      </c>
      <c r="B43" s="66" t="s">
        <v>106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07">
        <v>2979200</v>
      </c>
      <c r="M43" s="107">
        <f>2979200*70%</f>
        <v>2085439.9999999998</v>
      </c>
      <c r="N43" s="107">
        <f>M43</f>
        <v>2085439.9999999998</v>
      </c>
      <c r="O43" s="107">
        <f>N43</f>
        <v>2085439.9999999998</v>
      </c>
      <c r="P43" s="107">
        <f>O43</f>
        <v>2085439.9999999998</v>
      </c>
      <c r="Q43" s="107">
        <f>P43</f>
        <v>2085439.9999999998</v>
      </c>
      <c r="R43" s="100">
        <f t="shared" si="0"/>
        <v>0</v>
      </c>
    </row>
    <row r="44" spans="1:18" ht="24" customHeight="1">
      <c r="A44" s="169">
        <v>23104</v>
      </c>
      <c r="B44" s="66" t="s">
        <v>107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07">
        <v>2234400</v>
      </c>
      <c r="M44" s="107">
        <f>2234400*70%</f>
        <v>1564080</v>
      </c>
      <c r="N44" s="107">
        <v>0</v>
      </c>
      <c r="O44" s="107">
        <v>0</v>
      </c>
      <c r="P44" s="107">
        <v>0</v>
      </c>
      <c r="Q44" s="107">
        <v>0</v>
      </c>
      <c r="R44" s="100">
        <f t="shared" si="0"/>
        <v>0</v>
      </c>
    </row>
    <row r="45" spans="1:18" ht="24" customHeight="1">
      <c r="A45" s="169"/>
      <c r="B45" s="106" t="s">
        <v>59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07">
        <f t="shared" ref="L45:P45" si="4">SUM(L41:L44)</f>
        <v>9682400</v>
      </c>
      <c r="M45" s="107">
        <f t="shared" si="4"/>
        <v>222777680</v>
      </c>
      <c r="N45" s="110">
        <f t="shared" si="4"/>
        <v>2085439.9999999998</v>
      </c>
      <c r="O45" s="110">
        <f t="shared" si="4"/>
        <v>2085439.9999999998</v>
      </c>
      <c r="P45" s="110">
        <f t="shared" si="4"/>
        <v>67085440</v>
      </c>
      <c r="Q45" s="110">
        <f>SUM(Q41:Q44)</f>
        <v>147085440</v>
      </c>
      <c r="R45" s="105">
        <f t="shared" si="0"/>
        <v>80000000</v>
      </c>
    </row>
    <row r="46" spans="1:18" ht="24" customHeight="1">
      <c r="A46" s="169"/>
      <c r="B46" s="106" t="s">
        <v>18</v>
      </c>
      <c r="C46" s="251"/>
      <c r="D46" s="251"/>
      <c r="E46" s="251"/>
      <c r="F46" s="251"/>
      <c r="G46" s="251"/>
      <c r="H46" s="251"/>
      <c r="I46" s="251"/>
      <c r="J46" s="251"/>
      <c r="K46" s="251"/>
      <c r="L46" s="110">
        <f t="shared" ref="L46:P46" si="5">L45+L38+L33+L25+L8</f>
        <v>1388107334</v>
      </c>
      <c r="M46" s="110" t="e">
        <f t="shared" si="5"/>
        <v>#REF!</v>
      </c>
      <c r="N46" s="110">
        <f t="shared" si="5"/>
        <v>2067964813</v>
      </c>
      <c r="O46" s="110">
        <f t="shared" si="5"/>
        <v>2612324013</v>
      </c>
      <c r="P46" s="110">
        <f t="shared" si="5"/>
        <v>3950376813</v>
      </c>
      <c r="Q46" s="110">
        <f>Q45+Q38+Q33+Q25+Q8</f>
        <v>4494932013</v>
      </c>
      <c r="R46" s="105">
        <f t="shared" si="0"/>
        <v>544555200</v>
      </c>
    </row>
    <row r="49" spans="13:13" ht="23.1" customHeight="1">
      <c r="M49" s="415"/>
    </row>
  </sheetData>
  <phoneticPr fontId="0" type="noConversion"/>
  <printOptions gridLines="1"/>
  <pageMargins left="0.76" right="0.25" top="1.1000000000000001" bottom="0.49" header="0.53" footer="0.21"/>
  <pageSetup scale="55" orientation="portrait" r:id="rId1"/>
  <headerFooter alignWithMargins="0">
    <oddHeader>&amp;C&amp;"Algerian,Regular"&amp;36WASAARADDA BEERAHA</oddHeader>
    <oddFooter>&amp;R&amp;"Times New Roman,Bold"&amp;14 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9"/>
  <sheetViews>
    <sheetView view="pageBreakPreview" topLeftCell="A43" zoomScale="60" zoomScaleNormal="100" workbookViewId="0">
      <selection activeCell="C10" sqref="C10"/>
    </sheetView>
  </sheetViews>
  <sheetFormatPr defaultRowHeight="18" customHeight="1"/>
  <cols>
    <col min="1" max="1" width="12.6640625" style="328" bestFit="1" customWidth="1"/>
    <col min="2" max="2" width="76.1640625" style="329" customWidth="1"/>
    <col min="3" max="3" width="35.5" style="330" customWidth="1"/>
    <col min="4" max="4" width="35" style="330" customWidth="1"/>
    <col min="5" max="5" width="32.1640625" style="331" customWidth="1"/>
    <col min="6" max="6" width="35.5" style="333" customWidth="1"/>
    <col min="7" max="7" width="24" style="333" hidden="1" customWidth="1"/>
    <col min="8" max="8" width="18.6640625" style="333" hidden="1" customWidth="1"/>
    <col min="9" max="9" width="36.83203125" style="333" bestFit="1" customWidth="1"/>
    <col min="10" max="10" width="9.33203125" style="333"/>
    <col min="11" max="11" width="21" style="333" bestFit="1" customWidth="1"/>
    <col min="12" max="21" width="9.33203125" style="333"/>
    <col min="22" max="16384" width="9.33203125" style="334"/>
  </cols>
  <sheetData>
    <row r="1" spans="1:16" ht="18" customHeight="1">
      <c r="F1" s="332"/>
      <c r="H1" s="232"/>
    </row>
    <row r="2" spans="1:16" ht="18" customHeight="1">
      <c r="A2" s="335"/>
      <c r="B2" s="336"/>
      <c r="C2" s="202">
        <v>2014</v>
      </c>
      <c r="D2" s="202">
        <v>2015</v>
      </c>
      <c r="E2" s="203" t="s">
        <v>34</v>
      </c>
      <c r="F2" s="205"/>
      <c r="G2" s="204"/>
      <c r="H2" s="205"/>
      <c r="I2" s="213"/>
    </row>
    <row r="3" spans="1:16" ht="18" customHeight="1">
      <c r="A3" s="335"/>
      <c r="B3" s="337" t="s">
        <v>948</v>
      </c>
      <c r="C3" s="134">
        <v>30464404054</v>
      </c>
      <c r="D3" s="338">
        <v>60369869966</v>
      </c>
      <c r="E3" s="206">
        <f>D3-C3</f>
        <v>29905465912</v>
      </c>
      <c r="F3" s="213"/>
      <c r="G3" s="207"/>
      <c r="H3" s="208"/>
      <c r="I3" s="213"/>
    </row>
    <row r="4" spans="1:16" ht="18" customHeight="1">
      <c r="A4" s="209">
        <v>11</v>
      </c>
      <c r="B4" s="210" t="s">
        <v>483</v>
      </c>
      <c r="C4" s="202"/>
      <c r="D4" s="202"/>
      <c r="E4" s="203"/>
      <c r="F4" s="213"/>
      <c r="G4" s="204"/>
      <c r="H4" s="208"/>
      <c r="I4" s="213"/>
    </row>
    <row r="5" spans="1:16" ht="18" customHeight="1">
      <c r="A5" s="209">
        <v>111</v>
      </c>
      <c r="B5" s="211" t="s">
        <v>709</v>
      </c>
      <c r="C5" s="212"/>
      <c r="D5" s="212"/>
      <c r="E5" s="203"/>
      <c r="F5" s="213"/>
      <c r="G5" s="213"/>
      <c r="H5" s="214"/>
      <c r="I5" s="213"/>
      <c r="N5" s="215"/>
      <c r="O5" s="215"/>
      <c r="P5" s="215"/>
    </row>
    <row r="6" spans="1:16" ht="18" customHeight="1">
      <c r="A6" s="216">
        <v>1110</v>
      </c>
      <c r="B6" s="216" t="s">
        <v>484</v>
      </c>
      <c r="C6" s="25">
        <v>8785053332</v>
      </c>
      <c r="D6" s="25">
        <v>9500000000</v>
      </c>
      <c r="E6" s="206">
        <f t="shared" ref="E6:E69" si="0">D6-C6</f>
        <v>714946668</v>
      </c>
      <c r="F6" s="213"/>
      <c r="G6" s="213"/>
      <c r="H6" s="214"/>
      <c r="I6" s="213"/>
      <c r="N6" s="215"/>
      <c r="O6" s="215"/>
      <c r="P6" s="215"/>
    </row>
    <row r="7" spans="1:16" ht="18" customHeight="1" thickBot="1">
      <c r="A7" s="216">
        <v>11120</v>
      </c>
      <c r="B7" s="217" t="s">
        <v>485</v>
      </c>
      <c r="C7" s="218">
        <v>36251655068</v>
      </c>
      <c r="D7" s="218">
        <v>34481021799</v>
      </c>
      <c r="E7" s="206">
        <f t="shared" si="0"/>
        <v>-1770633269</v>
      </c>
      <c r="F7" s="339"/>
      <c r="G7" s="213"/>
      <c r="H7" s="214"/>
      <c r="I7" s="213"/>
      <c r="N7" s="215"/>
      <c r="O7" s="215"/>
      <c r="P7" s="215"/>
    </row>
    <row r="8" spans="1:16" ht="18" customHeight="1">
      <c r="A8" s="216">
        <v>11130</v>
      </c>
      <c r="B8" s="217" t="s">
        <v>486</v>
      </c>
      <c r="C8" s="219">
        <v>10749696774</v>
      </c>
      <c r="D8" s="25">
        <v>12330839468</v>
      </c>
      <c r="E8" s="203">
        <f t="shared" si="0"/>
        <v>1581142694</v>
      </c>
      <c r="F8" s="213"/>
      <c r="G8" s="220"/>
      <c r="H8" s="214"/>
      <c r="I8" s="213"/>
      <c r="N8" s="215"/>
      <c r="O8" s="215"/>
      <c r="P8" s="215"/>
    </row>
    <row r="9" spans="1:16" ht="18" customHeight="1">
      <c r="A9" s="216"/>
      <c r="B9" s="211" t="s">
        <v>487</v>
      </c>
      <c r="C9" s="221">
        <f>SUM(C6:C8)</f>
        <v>55786405174</v>
      </c>
      <c r="D9" s="221">
        <f>SUM(D6:D8)</f>
        <v>56311861267</v>
      </c>
      <c r="E9" s="203">
        <f t="shared" si="0"/>
        <v>525456093</v>
      </c>
      <c r="F9" s="213"/>
      <c r="G9" s="222"/>
      <c r="H9" s="223"/>
      <c r="I9" s="213"/>
      <c r="N9" s="215"/>
      <c r="O9" s="215"/>
      <c r="P9" s="215"/>
    </row>
    <row r="10" spans="1:16" ht="18" customHeight="1">
      <c r="A10" s="209">
        <v>1130</v>
      </c>
      <c r="B10" s="211" t="s">
        <v>488</v>
      </c>
      <c r="C10" s="224"/>
      <c r="D10" s="224"/>
      <c r="E10" s="203"/>
      <c r="F10" s="213"/>
      <c r="G10" s="207"/>
      <c r="H10" s="214"/>
      <c r="I10" s="213"/>
      <c r="N10" s="215"/>
      <c r="O10" s="215"/>
      <c r="P10" s="215"/>
    </row>
    <row r="11" spans="1:16" ht="18" customHeight="1">
      <c r="A11" s="216">
        <v>11350</v>
      </c>
      <c r="B11" s="217" t="s">
        <v>489</v>
      </c>
      <c r="C11" s="219">
        <v>2953443776</v>
      </c>
      <c r="D11" s="25">
        <v>5000000000</v>
      </c>
      <c r="E11" s="203">
        <f t="shared" si="0"/>
        <v>2046556224</v>
      </c>
      <c r="F11" s="213"/>
      <c r="G11" s="220"/>
      <c r="H11" s="214"/>
      <c r="I11" s="213"/>
      <c r="N11" s="215"/>
      <c r="O11" s="215"/>
      <c r="P11" s="215"/>
    </row>
    <row r="12" spans="1:16" ht="18" customHeight="1">
      <c r="A12" s="335"/>
      <c r="B12" s="211" t="s">
        <v>487</v>
      </c>
      <c r="C12" s="221">
        <f>SUM(C11)</f>
        <v>2953443776</v>
      </c>
      <c r="D12" s="221">
        <f>SUM(D11)</f>
        <v>5000000000</v>
      </c>
      <c r="E12" s="203">
        <f t="shared" si="0"/>
        <v>2046556224</v>
      </c>
      <c r="F12" s="213"/>
      <c r="G12" s="222"/>
      <c r="H12" s="214"/>
      <c r="I12" s="213"/>
      <c r="N12" s="215"/>
      <c r="O12" s="215"/>
      <c r="P12" s="215"/>
    </row>
    <row r="13" spans="1:16" ht="18" customHeight="1">
      <c r="A13" s="209">
        <v>114</v>
      </c>
      <c r="B13" s="211" t="s">
        <v>490</v>
      </c>
      <c r="C13" s="224"/>
      <c r="D13" s="224"/>
      <c r="E13" s="203"/>
      <c r="F13" s="213"/>
      <c r="G13" s="207"/>
      <c r="H13" s="214"/>
      <c r="I13" s="213"/>
      <c r="N13" s="215"/>
      <c r="O13" s="215"/>
      <c r="P13" s="215"/>
    </row>
    <row r="14" spans="1:16" ht="18" customHeight="1">
      <c r="A14" s="216">
        <v>11411</v>
      </c>
      <c r="B14" s="217" t="s">
        <v>491</v>
      </c>
      <c r="C14" s="218">
        <v>78388962042</v>
      </c>
      <c r="D14" s="25">
        <v>90777076335</v>
      </c>
      <c r="E14" s="206">
        <f t="shared" si="0"/>
        <v>12388114293</v>
      </c>
      <c r="F14" s="213"/>
      <c r="G14" s="213"/>
      <c r="H14" s="214"/>
      <c r="I14" s="213"/>
      <c r="N14" s="215"/>
      <c r="O14" s="215"/>
      <c r="P14" s="215"/>
    </row>
    <row r="15" spans="1:16" ht="18" customHeight="1">
      <c r="A15" s="216">
        <v>11441</v>
      </c>
      <c r="B15" s="217" t="s">
        <v>492</v>
      </c>
      <c r="C15" s="218">
        <v>1200000000</v>
      </c>
      <c r="D15" s="25">
        <v>2000000000</v>
      </c>
      <c r="E15" s="206">
        <f t="shared" si="0"/>
        <v>800000000</v>
      </c>
      <c r="F15" s="213"/>
      <c r="G15" s="213"/>
      <c r="H15" s="214"/>
      <c r="I15" s="213"/>
      <c r="N15" s="215"/>
      <c r="O15" s="215"/>
      <c r="P15" s="215"/>
    </row>
    <row r="16" spans="1:16" ht="18" customHeight="1">
      <c r="A16" s="216">
        <v>11442</v>
      </c>
      <c r="B16" s="217" t="s">
        <v>493</v>
      </c>
      <c r="C16" s="218">
        <v>13648102000</v>
      </c>
      <c r="D16" s="340">
        <v>25350645667</v>
      </c>
      <c r="E16" s="206">
        <f t="shared" si="0"/>
        <v>11702543667</v>
      </c>
      <c r="F16" s="213"/>
      <c r="G16" s="213"/>
      <c r="H16" s="214"/>
      <c r="I16" s="213"/>
      <c r="N16" s="215"/>
      <c r="O16" s="215"/>
      <c r="P16" s="215"/>
    </row>
    <row r="17" spans="1:16" ht="18" customHeight="1">
      <c r="A17" s="216">
        <v>11443</v>
      </c>
      <c r="B17" s="225" t="s">
        <v>949</v>
      </c>
      <c r="C17" s="226">
        <v>626988780</v>
      </c>
      <c r="D17" s="226">
        <v>626988780</v>
      </c>
      <c r="E17" s="203">
        <f t="shared" si="0"/>
        <v>0</v>
      </c>
      <c r="F17" s="213"/>
      <c r="G17" s="227"/>
      <c r="H17" s="214"/>
      <c r="I17" s="213"/>
      <c r="N17" s="215"/>
      <c r="O17" s="215"/>
      <c r="P17" s="215"/>
    </row>
    <row r="18" spans="1:16" ht="18" customHeight="1">
      <c r="A18" s="335"/>
      <c r="B18" s="211" t="s">
        <v>487</v>
      </c>
      <c r="C18" s="221">
        <f>SUM(C14:C17)</f>
        <v>93864052822</v>
      </c>
      <c r="D18" s="221">
        <f>SUM(D14:D17)</f>
        <v>118754710782</v>
      </c>
      <c r="E18" s="203">
        <f t="shared" si="0"/>
        <v>24890657960</v>
      </c>
      <c r="F18" s="213"/>
      <c r="G18" s="222"/>
      <c r="H18" s="228"/>
      <c r="I18" s="213"/>
      <c r="N18" s="215"/>
      <c r="O18" s="215"/>
      <c r="P18" s="215"/>
    </row>
    <row r="19" spans="1:16" ht="18" customHeight="1">
      <c r="A19" s="209">
        <v>1145</v>
      </c>
      <c r="B19" s="211" t="s">
        <v>494</v>
      </c>
      <c r="C19" s="224"/>
      <c r="D19" s="224"/>
      <c r="E19" s="203"/>
      <c r="F19" s="213"/>
      <c r="G19" s="207"/>
      <c r="H19" s="214"/>
      <c r="I19" s="213"/>
      <c r="N19" s="215"/>
      <c r="O19" s="215"/>
      <c r="P19" s="215"/>
    </row>
    <row r="20" spans="1:16" ht="18" customHeight="1">
      <c r="A20" s="216">
        <v>11451</v>
      </c>
      <c r="B20" s="217" t="s">
        <v>710</v>
      </c>
      <c r="C20" s="218">
        <v>3526828400</v>
      </c>
      <c r="D20" s="25">
        <v>0</v>
      </c>
      <c r="E20" s="206">
        <f t="shared" si="0"/>
        <v>-3526828400</v>
      </c>
      <c r="F20" s="213"/>
      <c r="G20" s="213"/>
      <c r="H20" s="214"/>
      <c r="I20" s="213"/>
      <c r="N20" s="215"/>
      <c r="O20" s="215"/>
      <c r="P20" s="215"/>
    </row>
    <row r="21" spans="1:16" ht="18" customHeight="1">
      <c r="A21" s="216">
        <v>11452</v>
      </c>
      <c r="B21" s="217" t="s">
        <v>711</v>
      </c>
      <c r="C21" s="25">
        <v>1850000000</v>
      </c>
      <c r="D21" s="25">
        <v>1000000000</v>
      </c>
      <c r="E21" s="206">
        <f t="shared" si="0"/>
        <v>-850000000</v>
      </c>
      <c r="F21" s="213"/>
      <c r="G21" s="213"/>
      <c r="H21" s="214"/>
      <c r="I21" s="213"/>
      <c r="J21" s="213"/>
      <c r="K21" s="213"/>
      <c r="N21" s="215"/>
      <c r="O21" s="215"/>
      <c r="P21" s="215"/>
    </row>
    <row r="22" spans="1:16" ht="18" customHeight="1">
      <c r="A22" s="216">
        <v>11453</v>
      </c>
      <c r="B22" s="217" t="s">
        <v>495</v>
      </c>
      <c r="C22" s="218">
        <v>10104187529</v>
      </c>
      <c r="D22" s="25">
        <v>12032538334</v>
      </c>
      <c r="E22" s="206">
        <f t="shared" si="0"/>
        <v>1928350805</v>
      </c>
      <c r="F22" s="213"/>
      <c r="G22" s="213"/>
      <c r="H22" s="214"/>
      <c r="I22" s="213"/>
      <c r="J22" s="213"/>
      <c r="K22" s="213"/>
      <c r="N22" s="215"/>
      <c r="O22" s="215"/>
      <c r="P22" s="215"/>
    </row>
    <row r="23" spans="1:16" ht="18" customHeight="1">
      <c r="A23" s="216">
        <v>11454</v>
      </c>
      <c r="B23" s="217" t="s">
        <v>496</v>
      </c>
      <c r="C23" s="218">
        <v>4000000000</v>
      </c>
      <c r="D23" s="25">
        <v>4574452820</v>
      </c>
      <c r="E23" s="206">
        <f t="shared" si="0"/>
        <v>574452820</v>
      </c>
      <c r="F23" s="213"/>
      <c r="G23" s="213"/>
      <c r="H23" s="214"/>
      <c r="I23" s="213"/>
      <c r="J23" s="213"/>
      <c r="K23" s="213"/>
      <c r="N23" s="215"/>
      <c r="O23" s="215"/>
      <c r="P23" s="215"/>
    </row>
    <row r="24" spans="1:16" ht="18" customHeight="1">
      <c r="A24" s="216">
        <v>11455</v>
      </c>
      <c r="B24" s="217" t="s">
        <v>497</v>
      </c>
      <c r="C24" s="25">
        <v>10800000000</v>
      </c>
      <c r="D24" s="25">
        <v>11398538552</v>
      </c>
      <c r="E24" s="206">
        <f t="shared" si="0"/>
        <v>598538552</v>
      </c>
      <c r="F24" s="213"/>
      <c r="G24" s="213"/>
      <c r="H24" s="214"/>
      <c r="I24" s="213"/>
      <c r="J24" s="213"/>
      <c r="K24" s="213"/>
      <c r="N24" s="215"/>
      <c r="O24" s="215"/>
      <c r="P24" s="215"/>
    </row>
    <row r="25" spans="1:16" ht="18" customHeight="1">
      <c r="A25" s="216">
        <v>11456</v>
      </c>
      <c r="B25" s="217" t="s">
        <v>498</v>
      </c>
      <c r="C25" s="218">
        <v>21346854976</v>
      </c>
      <c r="D25" s="25">
        <v>23042125013</v>
      </c>
      <c r="E25" s="206">
        <f t="shared" si="0"/>
        <v>1695270037</v>
      </c>
      <c r="F25" s="213"/>
      <c r="G25" s="213"/>
      <c r="H25" s="214"/>
      <c r="I25" s="213"/>
      <c r="J25" s="213"/>
      <c r="K25" s="213"/>
      <c r="N25" s="215"/>
      <c r="O25" s="215"/>
      <c r="P25" s="215"/>
    </row>
    <row r="26" spans="1:16" ht="18" customHeight="1">
      <c r="A26" s="341">
        <v>11467</v>
      </c>
      <c r="B26" s="217" t="s">
        <v>950</v>
      </c>
      <c r="C26" s="25">
        <v>5043672481</v>
      </c>
      <c r="D26" s="25">
        <v>5500000000</v>
      </c>
      <c r="E26" s="206">
        <f t="shared" si="0"/>
        <v>456327519</v>
      </c>
      <c r="F26" s="213"/>
      <c r="G26" s="213"/>
      <c r="H26" s="214"/>
      <c r="I26" s="213"/>
      <c r="J26" s="213"/>
      <c r="K26" s="213"/>
      <c r="N26" s="215"/>
      <c r="O26" s="215"/>
      <c r="P26" s="215"/>
    </row>
    <row r="27" spans="1:16" ht="18" customHeight="1">
      <c r="A27" s="216">
        <v>11458</v>
      </c>
      <c r="B27" s="217" t="s">
        <v>499</v>
      </c>
      <c r="C27" s="218">
        <v>450000000</v>
      </c>
      <c r="D27" s="25">
        <v>450000000</v>
      </c>
      <c r="E27" s="206">
        <f t="shared" si="0"/>
        <v>0</v>
      </c>
      <c r="F27" s="223"/>
      <c r="G27" s="213"/>
      <c r="H27" s="214"/>
      <c r="I27" s="213"/>
      <c r="J27" s="213"/>
      <c r="K27" s="213"/>
      <c r="N27" s="215"/>
      <c r="O27" s="215"/>
      <c r="P27" s="215"/>
    </row>
    <row r="28" spans="1:16" ht="18" customHeight="1">
      <c r="A28" s="216">
        <v>11459</v>
      </c>
      <c r="B28" s="217" t="s">
        <v>712</v>
      </c>
      <c r="C28" s="25">
        <v>3127510980</v>
      </c>
      <c r="D28" s="25">
        <v>3127510980</v>
      </c>
      <c r="E28" s="206">
        <f t="shared" si="0"/>
        <v>0</v>
      </c>
      <c r="F28" s="213"/>
      <c r="G28" s="229"/>
      <c r="H28" s="214"/>
      <c r="I28" s="223"/>
      <c r="J28" s="213"/>
      <c r="K28" s="213"/>
      <c r="N28" s="242"/>
      <c r="O28" s="215"/>
      <c r="P28" s="215"/>
    </row>
    <row r="29" spans="1:16" ht="18" customHeight="1">
      <c r="A29" s="216">
        <v>114510</v>
      </c>
      <c r="B29" s="217" t="s">
        <v>500</v>
      </c>
      <c r="C29" s="230">
        <v>18255568</v>
      </c>
      <c r="D29" s="25">
        <v>18255568</v>
      </c>
      <c r="E29" s="203">
        <f t="shared" si="0"/>
        <v>0</v>
      </c>
      <c r="F29" s="213"/>
      <c r="G29" s="222"/>
      <c r="H29" s="228"/>
      <c r="I29" s="213"/>
      <c r="J29" s="213"/>
      <c r="K29" s="213"/>
      <c r="N29" s="215"/>
      <c r="O29" s="215"/>
      <c r="P29" s="215"/>
    </row>
    <row r="30" spans="1:16" ht="18" customHeight="1">
      <c r="A30" s="335"/>
      <c r="B30" s="211" t="s">
        <v>487</v>
      </c>
      <c r="C30" s="221">
        <f>SUM(C20:C29)</f>
        <v>60267309934</v>
      </c>
      <c r="D30" s="221">
        <f>SUM(D20:D29)</f>
        <v>61143421267</v>
      </c>
      <c r="E30" s="203">
        <f t="shared" si="0"/>
        <v>876111333</v>
      </c>
      <c r="F30" s="213"/>
      <c r="G30" s="207"/>
      <c r="H30" s="214"/>
      <c r="I30" s="213"/>
      <c r="J30" s="213"/>
      <c r="K30" s="213"/>
      <c r="N30" s="215"/>
      <c r="O30" s="215"/>
      <c r="P30" s="215"/>
    </row>
    <row r="31" spans="1:16" ht="18" customHeight="1">
      <c r="A31" s="209">
        <v>115</v>
      </c>
      <c r="B31" s="211" t="s">
        <v>951</v>
      </c>
      <c r="C31" s="224"/>
      <c r="D31" s="224"/>
      <c r="E31" s="203"/>
      <c r="F31" s="213"/>
      <c r="G31" s="213"/>
      <c r="H31" s="214"/>
      <c r="I31" s="213"/>
      <c r="J31" s="213"/>
      <c r="K31" s="213"/>
      <c r="N31" s="215"/>
      <c r="O31" s="215"/>
      <c r="P31" s="215"/>
    </row>
    <row r="32" spans="1:16" ht="18" customHeight="1">
      <c r="A32" s="216">
        <v>11510</v>
      </c>
      <c r="B32" s="217" t="s">
        <v>501</v>
      </c>
      <c r="C32" s="218">
        <v>282876881142</v>
      </c>
      <c r="D32" s="25">
        <v>331982300135</v>
      </c>
      <c r="E32" s="206">
        <f t="shared" si="0"/>
        <v>49105418993</v>
      </c>
      <c r="F32" s="213"/>
      <c r="G32" s="213"/>
      <c r="H32" s="214"/>
      <c r="I32" s="213"/>
      <c r="J32" s="213"/>
      <c r="K32" s="213"/>
      <c r="N32" s="215"/>
      <c r="O32" s="215"/>
      <c r="P32" s="215"/>
    </row>
    <row r="33" spans="1:16" ht="18" customHeight="1">
      <c r="A33" s="216">
        <v>11520</v>
      </c>
      <c r="B33" s="217" t="s">
        <v>713</v>
      </c>
      <c r="C33" s="218">
        <v>695605146</v>
      </c>
      <c r="D33" s="25">
        <v>695605146</v>
      </c>
      <c r="E33" s="206">
        <f t="shared" si="0"/>
        <v>0</v>
      </c>
      <c r="F33" s="213"/>
      <c r="G33" s="213"/>
      <c r="H33" s="214"/>
      <c r="I33" s="213"/>
      <c r="J33" s="213"/>
      <c r="K33" s="213"/>
      <c r="N33" s="215"/>
      <c r="O33" s="215"/>
      <c r="P33" s="215"/>
    </row>
    <row r="34" spans="1:16" ht="18" customHeight="1">
      <c r="A34" s="216">
        <v>11530</v>
      </c>
      <c r="B34" s="217" t="s">
        <v>502</v>
      </c>
      <c r="C34" s="218">
        <v>27383839801</v>
      </c>
      <c r="D34" s="25">
        <v>31388586871</v>
      </c>
      <c r="E34" s="206">
        <f t="shared" si="0"/>
        <v>4004747070</v>
      </c>
      <c r="F34" s="213"/>
      <c r="G34" s="213"/>
      <c r="H34" s="214"/>
      <c r="I34" s="213"/>
      <c r="N34" s="215"/>
      <c r="O34" s="215"/>
      <c r="P34" s="215"/>
    </row>
    <row r="35" spans="1:16" ht="18" customHeight="1">
      <c r="A35" s="216">
        <v>11540</v>
      </c>
      <c r="B35" s="217" t="s">
        <v>503</v>
      </c>
      <c r="C35" s="25">
        <v>107574091391</v>
      </c>
      <c r="D35" s="25">
        <v>109574091391</v>
      </c>
      <c r="E35" s="206">
        <f t="shared" si="0"/>
        <v>2000000000</v>
      </c>
      <c r="F35" s="213"/>
      <c r="G35" s="229"/>
      <c r="H35" s="214"/>
      <c r="I35" s="213"/>
      <c r="N35" s="215"/>
      <c r="O35" s="215"/>
      <c r="P35" s="215"/>
    </row>
    <row r="36" spans="1:16" ht="18" customHeight="1">
      <c r="A36" s="216">
        <v>11550</v>
      </c>
      <c r="B36" s="217" t="s">
        <v>952</v>
      </c>
      <c r="C36" s="25">
        <v>20000000000</v>
      </c>
      <c r="D36" s="25">
        <v>15885249154</v>
      </c>
      <c r="E36" s="206">
        <f t="shared" si="0"/>
        <v>-4114750846</v>
      </c>
      <c r="F36" s="213"/>
      <c r="G36" s="222"/>
      <c r="H36" s="228"/>
      <c r="I36" s="213"/>
      <c r="N36" s="215"/>
      <c r="O36" s="215"/>
      <c r="P36" s="215"/>
    </row>
    <row r="37" spans="1:16" ht="18" customHeight="1">
      <c r="A37" s="216">
        <v>11560</v>
      </c>
      <c r="B37" s="217" t="s">
        <v>966</v>
      </c>
      <c r="C37" s="25">
        <v>9254674112</v>
      </c>
      <c r="D37" s="25">
        <v>10933391988</v>
      </c>
      <c r="E37" s="203">
        <f t="shared" si="0"/>
        <v>1678717876</v>
      </c>
      <c r="F37" s="213"/>
      <c r="G37" s="207"/>
      <c r="H37" s="214"/>
      <c r="I37" s="213"/>
      <c r="N37" s="215"/>
      <c r="O37" s="215"/>
      <c r="P37" s="215"/>
    </row>
    <row r="38" spans="1:16" ht="18" customHeight="1">
      <c r="A38" s="335"/>
      <c r="B38" s="211" t="s">
        <v>487</v>
      </c>
      <c r="C38" s="221">
        <f>SUM(C32:C37)</f>
        <v>447785091592</v>
      </c>
      <c r="D38" s="221">
        <f>SUM(D32:D37)</f>
        <v>500459224685</v>
      </c>
      <c r="E38" s="203">
        <f t="shared" si="0"/>
        <v>52674133093</v>
      </c>
      <c r="F38" s="213"/>
      <c r="G38" s="213"/>
      <c r="H38" s="214"/>
      <c r="I38" s="213"/>
      <c r="N38" s="215"/>
      <c r="O38" s="215"/>
      <c r="P38" s="215"/>
    </row>
    <row r="39" spans="1:16" ht="18" customHeight="1">
      <c r="A39" s="209">
        <v>116</v>
      </c>
      <c r="B39" s="211" t="s">
        <v>504</v>
      </c>
      <c r="C39" s="224"/>
      <c r="D39" s="224"/>
      <c r="E39" s="203"/>
      <c r="F39" s="213"/>
      <c r="G39" s="213"/>
      <c r="H39" s="214"/>
      <c r="I39" s="213"/>
      <c r="N39" s="215"/>
      <c r="O39" s="215"/>
      <c r="P39" s="215"/>
    </row>
    <row r="40" spans="1:16" ht="18" customHeight="1">
      <c r="A40" s="216">
        <v>1160</v>
      </c>
      <c r="B40" s="217" t="s">
        <v>505</v>
      </c>
      <c r="C40" s="231">
        <v>0</v>
      </c>
      <c r="D40" s="25">
        <v>1092232757.0000005</v>
      </c>
      <c r="E40" s="206">
        <f t="shared" si="0"/>
        <v>1092232757.0000005</v>
      </c>
      <c r="F40" s="213"/>
      <c r="G40" s="213"/>
      <c r="H40" s="214"/>
      <c r="I40" s="223"/>
      <c r="N40" s="215"/>
      <c r="O40" s="215"/>
      <c r="P40" s="215"/>
    </row>
    <row r="41" spans="1:16" ht="18" customHeight="1">
      <c r="A41" s="216">
        <v>11610</v>
      </c>
      <c r="B41" s="217" t="s">
        <v>506</v>
      </c>
      <c r="C41" s="218">
        <v>31283766284</v>
      </c>
      <c r="D41" s="25">
        <v>34144229932</v>
      </c>
      <c r="E41" s="206">
        <f t="shared" si="0"/>
        <v>2860463648</v>
      </c>
      <c r="F41" s="213"/>
      <c r="G41" s="213"/>
      <c r="H41" s="214"/>
      <c r="I41" s="223"/>
      <c r="N41" s="215"/>
      <c r="O41" s="215"/>
      <c r="P41" s="215"/>
    </row>
    <row r="42" spans="1:16" ht="18" customHeight="1">
      <c r="A42" s="216">
        <v>11620</v>
      </c>
      <c r="B42" s="217" t="s">
        <v>507</v>
      </c>
      <c r="C42" s="218">
        <v>5309182245</v>
      </c>
      <c r="D42" s="25">
        <v>2845334807</v>
      </c>
      <c r="E42" s="206">
        <f t="shared" si="0"/>
        <v>-2463847438</v>
      </c>
      <c r="F42" s="318"/>
      <c r="G42" s="229"/>
      <c r="H42" s="232"/>
      <c r="I42" s="342">
        <v>275476876788</v>
      </c>
      <c r="N42" s="215"/>
      <c r="O42" s="215"/>
      <c r="P42" s="215"/>
    </row>
    <row r="43" spans="1:16" ht="18" customHeight="1">
      <c r="A43" s="216">
        <v>11660</v>
      </c>
      <c r="B43" s="217" t="s">
        <v>953</v>
      </c>
      <c r="C43" s="25">
        <v>4000000000</v>
      </c>
      <c r="D43" s="25">
        <v>4000000000</v>
      </c>
      <c r="E43" s="206">
        <f t="shared" si="0"/>
        <v>0</v>
      </c>
      <c r="F43" s="319"/>
      <c r="G43" s="222"/>
      <c r="H43" s="233"/>
      <c r="I43" s="213"/>
      <c r="N43" s="215"/>
      <c r="O43" s="215"/>
      <c r="P43" s="215"/>
    </row>
    <row r="44" spans="1:16" ht="18" customHeight="1">
      <c r="A44" s="341">
        <v>11650</v>
      </c>
      <c r="B44" s="217" t="s">
        <v>967</v>
      </c>
      <c r="C44" s="230">
        <v>617907211</v>
      </c>
      <c r="D44" s="25">
        <v>650695834</v>
      </c>
      <c r="E44" s="206">
        <f t="shared" si="0"/>
        <v>32788623</v>
      </c>
      <c r="F44" s="320"/>
      <c r="G44" s="207"/>
      <c r="H44" s="232"/>
      <c r="I44" s="213"/>
      <c r="N44" s="215"/>
      <c r="O44" s="215"/>
      <c r="P44" s="215"/>
    </row>
    <row r="45" spans="1:16" ht="18" customHeight="1">
      <c r="A45" s="216">
        <v>11630</v>
      </c>
      <c r="B45" s="217" t="s">
        <v>508</v>
      </c>
      <c r="C45" s="218">
        <v>413156357</v>
      </c>
      <c r="D45" s="25">
        <v>964711072</v>
      </c>
      <c r="E45" s="206">
        <f t="shared" si="0"/>
        <v>551554715</v>
      </c>
      <c r="F45" s="232"/>
      <c r="G45" s="213"/>
      <c r="H45" s="232"/>
      <c r="I45" s="213"/>
      <c r="N45" s="215"/>
      <c r="O45" s="215"/>
      <c r="P45" s="215"/>
    </row>
    <row r="46" spans="1:16" ht="18" customHeight="1">
      <c r="A46" s="216">
        <v>11640</v>
      </c>
      <c r="B46" s="217" t="s">
        <v>509</v>
      </c>
      <c r="C46" s="230">
        <v>3390390396</v>
      </c>
      <c r="D46" s="25">
        <v>6000000000</v>
      </c>
      <c r="E46" s="203">
        <f t="shared" si="0"/>
        <v>2609609604</v>
      </c>
      <c r="F46" s="232"/>
      <c r="G46" s="213"/>
      <c r="H46" s="232"/>
      <c r="I46" s="213"/>
      <c r="N46" s="215"/>
      <c r="O46" s="215"/>
      <c r="P46" s="215"/>
    </row>
    <row r="47" spans="1:16" ht="18" customHeight="1">
      <c r="A47" s="335"/>
      <c r="B47" s="211" t="s">
        <v>487</v>
      </c>
      <c r="C47" s="221">
        <f>SUM(C40:C46)</f>
        <v>45014402493</v>
      </c>
      <c r="D47" s="221">
        <f>SUM(D40:D46)</f>
        <v>49697204402</v>
      </c>
      <c r="E47" s="203">
        <f t="shared" si="0"/>
        <v>4682801909</v>
      </c>
      <c r="F47" s="232"/>
      <c r="G47" s="234"/>
      <c r="H47" s="232"/>
      <c r="I47" s="213"/>
      <c r="N47" s="215"/>
      <c r="O47" s="235"/>
      <c r="P47" s="215"/>
    </row>
    <row r="48" spans="1:16" ht="18" customHeight="1">
      <c r="A48" s="209">
        <v>133</v>
      </c>
      <c r="B48" s="211" t="s">
        <v>968</v>
      </c>
      <c r="C48" s="224"/>
      <c r="D48" s="224"/>
      <c r="E48" s="203"/>
      <c r="F48" s="319"/>
      <c r="G48" s="222"/>
      <c r="H48" s="233"/>
      <c r="I48" s="213"/>
      <c r="N48" s="242"/>
      <c r="O48" s="215"/>
      <c r="P48" s="215"/>
    </row>
    <row r="49" spans="1:16" ht="18" customHeight="1">
      <c r="A49" s="216">
        <v>13310</v>
      </c>
      <c r="B49" s="217" t="s">
        <v>510</v>
      </c>
      <c r="C49" s="25"/>
      <c r="D49" s="25"/>
      <c r="E49" s="203"/>
      <c r="F49" s="320"/>
      <c r="G49" s="207"/>
      <c r="H49" s="232"/>
      <c r="I49" s="213"/>
      <c r="N49" s="215"/>
      <c r="O49" s="215"/>
      <c r="P49" s="215"/>
    </row>
    <row r="50" spans="1:16" ht="18" customHeight="1">
      <c r="A50" s="216">
        <v>13320</v>
      </c>
      <c r="B50" s="217" t="s">
        <v>511</v>
      </c>
      <c r="C50" s="25"/>
      <c r="D50" s="25"/>
      <c r="E50" s="203"/>
      <c r="F50" s="232"/>
      <c r="G50" s="213"/>
      <c r="H50" s="232"/>
      <c r="I50" s="213"/>
      <c r="N50" s="215"/>
      <c r="O50" s="215"/>
      <c r="P50" s="215"/>
    </row>
    <row r="51" spans="1:16" ht="18" customHeight="1">
      <c r="A51" s="216">
        <v>13330</v>
      </c>
      <c r="B51" s="217" t="s">
        <v>969</v>
      </c>
      <c r="C51" s="25">
        <v>24570036572.833302</v>
      </c>
      <c r="D51" s="25">
        <v>26000000000</v>
      </c>
      <c r="E51" s="203">
        <f t="shared" si="0"/>
        <v>1429963427.1666985</v>
      </c>
      <c r="F51" s="232"/>
      <c r="G51" s="234"/>
      <c r="H51" s="232"/>
      <c r="I51" s="213"/>
      <c r="N51" s="215"/>
      <c r="O51" s="215"/>
      <c r="P51" s="215"/>
    </row>
    <row r="52" spans="1:16" ht="18" customHeight="1">
      <c r="A52" s="335"/>
      <c r="B52" s="211" t="s">
        <v>487</v>
      </c>
      <c r="C52" s="221">
        <f>SUM(C51)</f>
        <v>24570036572.833302</v>
      </c>
      <c r="D52" s="221">
        <f>SUM(D51)</f>
        <v>26000000000</v>
      </c>
      <c r="E52" s="203">
        <f t="shared" si="0"/>
        <v>1429963427.1666985</v>
      </c>
      <c r="F52" s="232"/>
      <c r="G52" s="234"/>
      <c r="H52" s="232"/>
      <c r="I52" s="213"/>
      <c r="N52" s="215"/>
      <c r="O52" s="215"/>
      <c r="P52" s="215"/>
    </row>
    <row r="53" spans="1:16" ht="18" customHeight="1">
      <c r="A53" s="209">
        <v>141</v>
      </c>
      <c r="B53" s="211" t="s">
        <v>714</v>
      </c>
      <c r="C53" s="236"/>
      <c r="D53" s="236"/>
      <c r="E53" s="203"/>
      <c r="F53" s="232"/>
      <c r="G53" s="213"/>
      <c r="H53" s="232"/>
      <c r="I53" s="213"/>
      <c r="N53" s="215"/>
      <c r="O53" s="215"/>
      <c r="P53" s="215"/>
    </row>
    <row r="54" spans="1:16" ht="18" customHeight="1">
      <c r="A54" s="216">
        <v>14120</v>
      </c>
      <c r="B54" s="217" t="s">
        <v>513</v>
      </c>
      <c r="C54" s="25">
        <v>0</v>
      </c>
      <c r="D54" s="25"/>
      <c r="E54" s="203"/>
      <c r="F54" s="232"/>
      <c r="G54" s="213"/>
      <c r="H54" s="232"/>
      <c r="I54" s="213"/>
      <c r="N54" s="237"/>
      <c r="O54" s="237"/>
      <c r="P54" s="237"/>
    </row>
    <row r="55" spans="1:16" ht="18" customHeight="1">
      <c r="A55" s="216">
        <v>14130</v>
      </c>
      <c r="B55" s="217" t="s">
        <v>514</v>
      </c>
      <c r="C55" s="25">
        <v>4131647676.833374</v>
      </c>
      <c r="D55" s="25">
        <v>36000000000</v>
      </c>
      <c r="E55" s="206">
        <f t="shared" si="0"/>
        <v>31868352323.166626</v>
      </c>
      <c r="F55" s="318"/>
      <c r="G55" s="229"/>
      <c r="H55" s="232"/>
      <c r="N55" s="215"/>
      <c r="O55" s="215"/>
      <c r="P55" s="215"/>
    </row>
    <row r="56" spans="1:16" ht="18" customHeight="1">
      <c r="A56" s="216">
        <v>14140</v>
      </c>
      <c r="B56" s="217" t="s">
        <v>515</v>
      </c>
      <c r="C56" s="218">
        <v>2150000000</v>
      </c>
      <c r="D56" s="25">
        <v>2335160018</v>
      </c>
      <c r="E56" s="206">
        <f t="shared" si="0"/>
        <v>185160018</v>
      </c>
      <c r="F56" s="321"/>
      <c r="G56" s="238"/>
      <c r="H56" s="232"/>
      <c r="I56" s="343">
        <f>I54-D83</f>
        <v>-1080000000000</v>
      </c>
      <c r="N56" s="215"/>
      <c r="O56" s="215"/>
      <c r="P56" s="215"/>
    </row>
    <row r="57" spans="1:16" ht="18" customHeight="1">
      <c r="A57" s="216">
        <v>14150</v>
      </c>
      <c r="B57" s="217" t="s">
        <v>516</v>
      </c>
      <c r="C57" s="218">
        <v>6521023518</v>
      </c>
      <c r="D57" s="25">
        <v>6855557837</v>
      </c>
      <c r="E57" s="206">
        <f t="shared" si="0"/>
        <v>334534319</v>
      </c>
      <c r="F57" s="322"/>
      <c r="G57" s="239"/>
      <c r="H57" s="232"/>
      <c r="N57" s="215"/>
      <c r="O57" s="215"/>
      <c r="P57" s="215"/>
    </row>
    <row r="58" spans="1:16" ht="18" customHeight="1">
      <c r="A58" s="216">
        <v>14160</v>
      </c>
      <c r="B58" s="217" t="s">
        <v>517</v>
      </c>
      <c r="C58" s="218">
        <v>6580900360</v>
      </c>
      <c r="D58" s="25">
        <v>7203532000</v>
      </c>
      <c r="E58" s="206">
        <f t="shared" si="0"/>
        <v>622631640</v>
      </c>
      <c r="F58" s="323"/>
      <c r="G58" s="240"/>
      <c r="H58" s="232"/>
      <c r="N58" s="215"/>
      <c r="O58" s="215"/>
      <c r="P58" s="215"/>
    </row>
    <row r="59" spans="1:16" ht="18" customHeight="1">
      <c r="A59" s="216">
        <v>14110</v>
      </c>
      <c r="B59" s="217" t="s">
        <v>512</v>
      </c>
      <c r="C59" s="230">
        <v>45000000000</v>
      </c>
      <c r="D59" s="25">
        <v>45000000000</v>
      </c>
      <c r="E59" s="203">
        <f t="shared" si="0"/>
        <v>0</v>
      </c>
      <c r="F59" s="323"/>
      <c r="G59" s="240"/>
      <c r="H59" s="232"/>
      <c r="N59" s="215"/>
      <c r="O59" s="215"/>
      <c r="P59" s="215"/>
    </row>
    <row r="60" spans="1:16" ht="18" customHeight="1">
      <c r="A60" s="335"/>
      <c r="B60" s="211" t="s">
        <v>487</v>
      </c>
      <c r="C60" s="221">
        <f>SUM(C54:C59)</f>
        <v>64383571554.833374</v>
      </c>
      <c r="D60" s="221">
        <f>SUM(D54:D59)</f>
        <v>97394249855</v>
      </c>
      <c r="E60" s="203">
        <f t="shared" si="0"/>
        <v>33010678300.166626</v>
      </c>
      <c r="F60" s="323"/>
      <c r="G60" s="240"/>
      <c r="H60" s="232"/>
      <c r="N60" s="215"/>
      <c r="O60" s="215"/>
      <c r="P60" s="215"/>
    </row>
    <row r="61" spans="1:16" ht="18" customHeight="1">
      <c r="A61" s="209">
        <v>142</v>
      </c>
      <c r="B61" s="211" t="s">
        <v>954</v>
      </c>
      <c r="C61" s="137"/>
      <c r="D61" s="137"/>
      <c r="E61" s="203"/>
      <c r="F61" s="323"/>
      <c r="G61" s="240"/>
      <c r="H61" s="232"/>
      <c r="N61" s="215"/>
      <c r="O61" s="215"/>
      <c r="P61" s="215"/>
    </row>
    <row r="62" spans="1:16" ht="18" customHeight="1">
      <c r="A62" s="216">
        <v>14201</v>
      </c>
      <c r="B62" s="217" t="s">
        <v>518</v>
      </c>
      <c r="C62" s="218">
        <v>33242213903</v>
      </c>
      <c r="D62" s="25">
        <v>37952337048</v>
      </c>
      <c r="E62" s="206">
        <f t="shared" si="0"/>
        <v>4710123145</v>
      </c>
      <c r="F62" s="324"/>
      <c r="G62" s="241"/>
      <c r="H62" s="232"/>
      <c r="N62" s="215"/>
      <c r="O62" s="215"/>
      <c r="P62" s="215"/>
    </row>
    <row r="63" spans="1:16" ht="18" customHeight="1">
      <c r="A63" s="216">
        <v>14202</v>
      </c>
      <c r="B63" s="217" t="s">
        <v>519</v>
      </c>
      <c r="C63" s="218">
        <v>821107153</v>
      </c>
      <c r="D63" s="25">
        <v>838681012</v>
      </c>
      <c r="E63" s="206">
        <f t="shared" si="0"/>
        <v>17573859</v>
      </c>
      <c r="F63" s="323"/>
      <c r="G63" s="240"/>
      <c r="H63" s="232"/>
      <c r="N63" s="242"/>
      <c r="O63" s="215"/>
      <c r="P63" s="242"/>
    </row>
    <row r="64" spans="1:16" ht="18" customHeight="1">
      <c r="A64" s="216">
        <v>14203</v>
      </c>
      <c r="B64" s="217" t="s">
        <v>520</v>
      </c>
      <c r="C64" s="218">
        <v>54285000</v>
      </c>
      <c r="D64" s="218">
        <v>54285000</v>
      </c>
      <c r="E64" s="206">
        <f t="shared" si="0"/>
        <v>0</v>
      </c>
      <c r="F64" s="323"/>
      <c r="G64" s="240"/>
      <c r="H64" s="232"/>
      <c r="N64" s="215"/>
      <c r="O64" s="215"/>
      <c r="P64" s="215"/>
    </row>
    <row r="65" spans="1:21" ht="18" customHeight="1">
      <c r="A65" s="216">
        <v>14204</v>
      </c>
      <c r="B65" s="217" t="s">
        <v>715</v>
      </c>
      <c r="C65" s="218">
        <v>12234131106.333334</v>
      </c>
      <c r="D65" s="25">
        <v>15012565125</v>
      </c>
      <c r="E65" s="206">
        <f t="shared" si="0"/>
        <v>2778434018.666666</v>
      </c>
      <c r="F65" s="323"/>
      <c r="G65" s="240"/>
      <c r="H65" s="232"/>
      <c r="N65" s="215"/>
      <c r="O65" s="215"/>
      <c r="P65" s="215"/>
    </row>
    <row r="66" spans="1:21" ht="18" customHeight="1">
      <c r="A66" s="216">
        <v>14205</v>
      </c>
      <c r="B66" s="217" t="s">
        <v>716</v>
      </c>
      <c r="C66" s="218">
        <v>3000000000</v>
      </c>
      <c r="D66" s="218">
        <v>3000000000</v>
      </c>
      <c r="E66" s="206">
        <f t="shared" si="0"/>
        <v>0</v>
      </c>
      <c r="F66" s="232"/>
      <c r="G66" s="213"/>
      <c r="H66" s="232"/>
      <c r="N66" s="215"/>
      <c r="O66" s="215"/>
      <c r="P66" s="215"/>
    </row>
    <row r="67" spans="1:21" ht="18" customHeight="1">
      <c r="A67" s="216">
        <v>14206</v>
      </c>
      <c r="B67" s="217" t="s">
        <v>521</v>
      </c>
      <c r="C67" s="218">
        <v>2942025900</v>
      </c>
      <c r="D67" s="218">
        <v>2942025900</v>
      </c>
      <c r="E67" s="206">
        <f t="shared" si="0"/>
        <v>0</v>
      </c>
      <c r="F67" s="232"/>
      <c r="G67" s="213"/>
      <c r="H67" s="232"/>
      <c r="N67" s="215"/>
      <c r="O67" s="215"/>
      <c r="P67" s="215"/>
    </row>
    <row r="68" spans="1:21" ht="18" customHeight="1">
      <c r="A68" s="216">
        <v>14207</v>
      </c>
      <c r="B68" s="217" t="s">
        <v>522</v>
      </c>
      <c r="C68" s="218">
        <v>1619170238</v>
      </c>
      <c r="D68" s="25">
        <v>3000000000</v>
      </c>
      <c r="E68" s="206">
        <f t="shared" si="0"/>
        <v>1380829762</v>
      </c>
      <c r="F68" s="232"/>
      <c r="G68" s="213"/>
      <c r="H68" s="232"/>
      <c r="N68" s="215"/>
      <c r="O68" s="215"/>
      <c r="P68" s="215"/>
    </row>
    <row r="69" spans="1:21" ht="18" customHeight="1">
      <c r="A69" s="216">
        <v>14208</v>
      </c>
      <c r="B69" s="217" t="s">
        <v>955</v>
      </c>
      <c r="C69" s="218">
        <v>4710608101</v>
      </c>
      <c r="D69" s="25">
        <v>1714993113</v>
      </c>
      <c r="E69" s="206">
        <f t="shared" si="0"/>
        <v>-2995614988</v>
      </c>
      <c r="F69" s="318"/>
      <c r="G69" s="229"/>
      <c r="H69" s="232"/>
      <c r="I69" s="344">
        <f>G70-G69+C72</f>
        <v>255494384</v>
      </c>
      <c r="N69" s="215"/>
      <c r="O69" s="215"/>
      <c r="P69" s="215"/>
    </row>
    <row r="70" spans="1:21" ht="18" customHeight="1">
      <c r="A70" s="216">
        <v>14209</v>
      </c>
      <c r="B70" s="217" t="s">
        <v>956</v>
      </c>
      <c r="C70" s="231">
        <v>0</v>
      </c>
      <c r="D70" s="231">
        <v>2500000000</v>
      </c>
      <c r="E70" s="206">
        <f t="shared" ref="E70:E83" si="1">D70-C70</f>
        <v>2500000000</v>
      </c>
      <c r="F70" s="321"/>
      <c r="G70" s="238"/>
      <c r="H70" s="233"/>
      <c r="N70" s="215"/>
      <c r="O70" s="215"/>
      <c r="P70" s="215"/>
    </row>
    <row r="71" spans="1:21" ht="18" customHeight="1">
      <c r="A71" s="216">
        <v>14210</v>
      </c>
      <c r="B71" s="217" t="s">
        <v>523</v>
      </c>
      <c r="C71" s="25">
        <v>0</v>
      </c>
      <c r="D71" s="25">
        <v>0</v>
      </c>
      <c r="E71" s="206">
        <f t="shared" si="1"/>
        <v>0</v>
      </c>
      <c r="F71" s="323"/>
      <c r="G71" s="240"/>
      <c r="H71" s="232"/>
      <c r="N71" s="242"/>
      <c r="O71" s="215"/>
      <c r="P71" s="215"/>
    </row>
    <row r="72" spans="1:21" ht="18" customHeight="1">
      <c r="A72" s="216">
        <v>14211</v>
      </c>
      <c r="B72" s="217" t="s">
        <v>970</v>
      </c>
      <c r="C72" s="25">
        <v>255494384</v>
      </c>
      <c r="D72" s="25">
        <v>600000000</v>
      </c>
      <c r="E72" s="206">
        <f t="shared" si="1"/>
        <v>344505616</v>
      </c>
      <c r="F72" s="323"/>
      <c r="G72" s="240"/>
      <c r="H72" s="232"/>
      <c r="N72" s="215"/>
      <c r="O72" s="215"/>
      <c r="P72" s="215"/>
    </row>
    <row r="73" spans="1:21" ht="18" customHeight="1">
      <c r="A73" s="216">
        <v>14212</v>
      </c>
      <c r="B73" s="217" t="s">
        <v>957</v>
      </c>
      <c r="C73" s="231">
        <v>0</v>
      </c>
      <c r="D73" s="231">
        <v>0</v>
      </c>
      <c r="E73" s="206"/>
      <c r="F73" s="325"/>
      <c r="G73" s="243"/>
      <c r="H73" s="232"/>
      <c r="N73" s="215"/>
      <c r="O73" s="215"/>
      <c r="P73" s="215"/>
    </row>
    <row r="74" spans="1:21" ht="18" customHeight="1">
      <c r="A74" s="216">
        <v>14213</v>
      </c>
      <c r="B74" s="217" t="s">
        <v>971</v>
      </c>
      <c r="C74" s="25">
        <v>0</v>
      </c>
      <c r="D74" s="25">
        <v>0</v>
      </c>
      <c r="E74" s="203"/>
      <c r="F74" s="321"/>
      <c r="G74" s="238"/>
      <c r="H74" s="232"/>
      <c r="N74" s="215"/>
      <c r="O74" s="215"/>
      <c r="P74" s="215"/>
    </row>
    <row r="75" spans="1:21" ht="18" customHeight="1">
      <c r="A75" s="335"/>
      <c r="B75" s="211" t="s">
        <v>487</v>
      </c>
      <c r="C75" s="221">
        <f>SUM(C62:C74)</f>
        <v>58879035785.333336</v>
      </c>
      <c r="D75" s="221">
        <f>SUM(D62:D74)</f>
        <v>67614887198</v>
      </c>
      <c r="E75" s="203">
        <f t="shared" si="1"/>
        <v>8735851412.6666641</v>
      </c>
      <c r="F75" s="326"/>
      <c r="G75" s="242"/>
      <c r="H75" s="232"/>
      <c r="N75" s="215"/>
      <c r="O75" s="215"/>
      <c r="P75" s="215"/>
    </row>
    <row r="76" spans="1:21" s="346" customFormat="1" ht="18" customHeight="1">
      <c r="A76" s="209">
        <v>143</v>
      </c>
      <c r="B76" s="211" t="s">
        <v>958</v>
      </c>
      <c r="C76" s="337"/>
      <c r="D76" s="337"/>
      <c r="E76" s="203">
        <f t="shared" si="1"/>
        <v>0</v>
      </c>
      <c r="F76" s="232"/>
      <c r="G76" s="213"/>
      <c r="H76" s="232"/>
      <c r="I76" s="345"/>
      <c r="J76" s="345"/>
      <c r="K76" s="345"/>
      <c r="L76" s="345"/>
      <c r="M76" s="345"/>
      <c r="N76" s="235"/>
      <c r="O76" s="235"/>
      <c r="P76" s="235"/>
      <c r="Q76" s="345"/>
      <c r="R76" s="345"/>
      <c r="S76" s="345"/>
      <c r="T76" s="345"/>
      <c r="U76" s="345"/>
    </row>
    <row r="77" spans="1:21" ht="18" customHeight="1">
      <c r="A77" s="216">
        <v>14310</v>
      </c>
      <c r="B77" s="217" t="s">
        <v>524</v>
      </c>
      <c r="C77" s="218">
        <v>3466278853</v>
      </c>
      <c r="D77" s="25">
        <v>3663788180</v>
      </c>
      <c r="E77" s="206">
        <f t="shared" si="1"/>
        <v>197509327</v>
      </c>
      <c r="F77" s="232"/>
      <c r="G77" s="213"/>
      <c r="H77" s="232"/>
      <c r="N77" s="215"/>
      <c r="O77" s="215"/>
      <c r="P77" s="215"/>
    </row>
    <row r="78" spans="1:21" ht="18" customHeight="1">
      <c r="A78" s="216">
        <v>14330</v>
      </c>
      <c r="B78" s="217" t="s">
        <v>525</v>
      </c>
      <c r="C78" s="219">
        <v>232362240</v>
      </c>
      <c r="D78" s="25">
        <v>600000000</v>
      </c>
      <c r="E78" s="203">
        <f t="shared" si="1"/>
        <v>367637760</v>
      </c>
      <c r="F78" s="232"/>
      <c r="G78" s="213"/>
      <c r="H78" s="232"/>
      <c r="N78" s="215"/>
      <c r="O78" s="215"/>
      <c r="P78" s="215"/>
    </row>
    <row r="79" spans="1:21" ht="18" customHeight="1">
      <c r="A79" s="335"/>
      <c r="B79" s="211" t="s">
        <v>487</v>
      </c>
      <c r="C79" s="221">
        <f>SUM(C77:C78)</f>
        <v>3698641093</v>
      </c>
      <c r="D79" s="221">
        <f>SUM(D77:D78)</f>
        <v>4263788180</v>
      </c>
      <c r="E79" s="203">
        <f t="shared" si="1"/>
        <v>565147087</v>
      </c>
      <c r="F79" s="318"/>
      <c r="G79" s="229"/>
      <c r="H79" s="232"/>
      <c r="N79" s="215"/>
      <c r="O79" s="215"/>
      <c r="P79" s="215"/>
    </row>
    <row r="80" spans="1:21" ht="18" customHeight="1">
      <c r="A80" s="209">
        <v>144</v>
      </c>
      <c r="B80" s="211" t="s">
        <v>972</v>
      </c>
      <c r="C80" s="212"/>
      <c r="D80" s="212"/>
      <c r="E80" s="203"/>
      <c r="F80" s="318"/>
      <c r="G80" s="229"/>
      <c r="H80" s="232"/>
      <c r="N80" s="215"/>
      <c r="O80" s="215"/>
      <c r="P80" s="215"/>
    </row>
    <row r="81" spans="1:21" s="346" customFormat="1" ht="18" customHeight="1">
      <c r="A81" s="244">
        <v>12110</v>
      </c>
      <c r="B81" s="211" t="s">
        <v>959</v>
      </c>
      <c r="C81" s="134">
        <v>24333605149</v>
      </c>
      <c r="D81" s="134">
        <v>32990782398</v>
      </c>
      <c r="E81" s="206">
        <f t="shared" si="1"/>
        <v>8657177249</v>
      </c>
      <c r="F81" s="233"/>
      <c r="G81" s="245"/>
      <c r="H81" s="232"/>
      <c r="I81" s="345"/>
      <c r="J81" s="345"/>
      <c r="K81" s="345"/>
      <c r="L81" s="345"/>
      <c r="M81" s="345"/>
      <c r="N81" s="235"/>
      <c r="O81" s="235"/>
      <c r="P81" s="235"/>
      <c r="Q81" s="345"/>
      <c r="R81" s="345"/>
      <c r="S81" s="345"/>
      <c r="T81" s="345"/>
      <c r="U81" s="345"/>
    </row>
    <row r="82" spans="1:21" ht="18" customHeight="1">
      <c r="A82" s="335"/>
      <c r="B82" s="211" t="s">
        <v>487</v>
      </c>
      <c r="C82" s="246">
        <f>C81+C79+C75+C60+C52+C47+C38+C30+C18+C12+C9</f>
        <v>881535595946</v>
      </c>
      <c r="D82" s="246">
        <f>D81+D79+D75+D60+D52+D47+D38+D30+D18+D12+D9</f>
        <v>1019630130034</v>
      </c>
      <c r="E82" s="203">
        <f t="shared" si="1"/>
        <v>138094534088</v>
      </c>
      <c r="F82" s="327"/>
      <c r="G82" s="247"/>
      <c r="H82" s="233"/>
      <c r="N82" s="215"/>
      <c r="O82" s="215"/>
      <c r="P82" s="215"/>
    </row>
    <row r="83" spans="1:21" ht="18" customHeight="1">
      <c r="A83" s="335"/>
      <c r="B83" s="211" t="s">
        <v>526</v>
      </c>
      <c r="C83" s="248">
        <f>C82+C3</f>
        <v>912000000000</v>
      </c>
      <c r="D83" s="248">
        <f>D82+D3</f>
        <v>1080000000000</v>
      </c>
      <c r="E83" s="203">
        <f t="shared" si="1"/>
        <v>168000000000</v>
      </c>
      <c r="F83" s="332"/>
      <c r="H83" s="232"/>
      <c r="N83" s="242"/>
      <c r="O83" s="242"/>
      <c r="P83" s="242"/>
    </row>
    <row r="84" spans="1:21" ht="18" customHeight="1">
      <c r="F84" s="347"/>
      <c r="G84" s="215"/>
      <c r="N84" s="215"/>
      <c r="O84" s="215"/>
      <c r="P84" s="215"/>
    </row>
    <row r="85" spans="1:21" ht="18" customHeight="1">
      <c r="C85" s="348"/>
      <c r="D85" s="348"/>
      <c r="G85" s="242"/>
      <c r="N85" s="215"/>
      <c r="O85" s="215"/>
      <c r="P85" s="215"/>
    </row>
    <row r="86" spans="1:21" ht="18" customHeight="1">
      <c r="C86" s="348"/>
      <c r="D86" s="348"/>
      <c r="F86" s="344"/>
      <c r="G86" s="215"/>
      <c r="N86" s="215"/>
      <c r="O86" s="215"/>
      <c r="P86" s="215"/>
    </row>
    <row r="87" spans="1:21" ht="18" customHeight="1">
      <c r="C87" s="348"/>
      <c r="D87" s="349"/>
      <c r="F87" s="213"/>
      <c r="G87" s="215"/>
      <c r="N87" s="242"/>
      <c r="O87" s="215"/>
      <c r="P87" s="242"/>
    </row>
    <row r="88" spans="1:21" ht="18" customHeight="1">
      <c r="C88" s="350"/>
      <c r="D88" s="350"/>
      <c r="G88" s="215"/>
    </row>
    <row r="89" spans="1:21" ht="18" customHeight="1">
      <c r="C89" s="25"/>
      <c r="D89" s="213"/>
      <c r="G89" s="242"/>
    </row>
  </sheetData>
  <pageMargins left="0.7" right="0.7" top="0.75" bottom="0.75" header="0.3" footer="0.3"/>
  <pageSetup scale="45" orientation="portrait" verticalDpi="4294967295" r:id="rId1"/>
  <headerFooter>
    <oddHeader>&amp;C&amp;"Times New Roman,Bold"&amp;36DAKHLIGA GUUD EE MIISAANIYADA 2015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5"/>
  <dimension ref="A1:R53"/>
  <sheetViews>
    <sheetView view="pageBreakPreview" zoomScale="60" workbookViewId="0">
      <selection activeCell="P28" sqref="P28"/>
    </sheetView>
  </sheetViews>
  <sheetFormatPr defaultRowHeight="21.95" customHeight="1"/>
  <cols>
    <col min="1" max="1" width="19.83203125" style="402" bestFit="1" customWidth="1"/>
    <col min="2" max="2" width="78.6640625" style="304" customWidth="1"/>
    <col min="3" max="3" width="16.1640625" style="304" hidden="1" customWidth="1"/>
    <col min="4" max="4" width="15.5" style="304" hidden="1" customWidth="1"/>
    <col min="5" max="5" width="18" style="304" hidden="1" customWidth="1"/>
    <col min="6" max="6" width="16.1640625" style="304" hidden="1" customWidth="1"/>
    <col min="7" max="7" width="0.1640625" style="304" hidden="1" customWidth="1"/>
    <col min="8" max="8" width="21" style="304" hidden="1" customWidth="1"/>
    <col min="9" max="9" width="1.5" style="304" hidden="1" customWidth="1"/>
    <col min="10" max="10" width="1.6640625" style="304" hidden="1" customWidth="1"/>
    <col min="11" max="11" width="21" style="304" hidden="1" customWidth="1"/>
    <col min="12" max="12" width="0.1640625" style="304" hidden="1" customWidth="1"/>
    <col min="13" max="15" width="31" style="304" hidden="1" customWidth="1"/>
    <col min="16" max="17" width="31" style="304" customWidth="1"/>
    <col min="18" max="18" width="30.1640625" style="304" customWidth="1"/>
    <col min="19" max="16384" width="9.33203125" style="304"/>
  </cols>
  <sheetData>
    <row r="1" spans="1:18" ht="24" customHeight="1">
      <c r="A1" s="353" t="s">
        <v>21</v>
      </c>
      <c r="B1" s="354" t="s">
        <v>791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118"/>
      <c r="O1" s="118"/>
      <c r="P1" s="118"/>
      <c r="Q1" s="118"/>
      <c r="R1" s="303"/>
    </row>
    <row r="2" spans="1:18" ht="24" customHeight="1">
      <c r="A2" s="249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64</v>
      </c>
      <c r="J2" s="256" t="s">
        <v>69</v>
      </c>
      <c r="K2" s="256" t="s">
        <v>77</v>
      </c>
      <c r="L2" s="256" t="s">
        <v>110</v>
      </c>
      <c r="M2" s="256" t="s">
        <v>166</v>
      </c>
      <c r="N2" s="256" t="s">
        <v>318</v>
      </c>
      <c r="O2" s="256" t="s">
        <v>538</v>
      </c>
      <c r="P2" s="256" t="s">
        <v>607</v>
      </c>
      <c r="Q2" s="256" t="s">
        <v>722</v>
      </c>
      <c r="R2" s="256" t="s">
        <v>34</v>
      </c>
    </row>
    <row r="3" spans="1:18" ht="24" customHeight="1">
      <c r="A3" s="249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66">
        <f>572163600+12000000+4149600</f>
        <v>588313200</v>
      </c>
      <c r="L3" s="118"/>
      <c r="M3" s="66"/>
      <c r="N3" s="66"/>
      <c r="O3" s="66"/>
      <c r="P3" s="66"/>
      <c r="Q3" s="66"/>
      <c r="R3" s="66"/>
    </row>
    <row r="4" spans="1:18" ht="24" customHeight="1">
      <c r="A4" s="169">
        <v>21101</v>
      </c>
      <c r="B4" s="66" t="s">
        <v>366</v>
      </c>
      <c r="C4" s="66">
        <v>148515000</v>
      </c>
      <c r="D4" s="66">
        <v>297002000</v>
      </c>
      <c r="E4" s="66">
        <v>267852000</v>
      </c>
      <c r="F4" s="66">
        <v>272157000</v>
      </c>
      <c r="G4" s="66">
        <v>286368000</v>
      </c>
      <c r="H4" s="66">
        <f>286368000+65424000</f>
        <v>351792000</v>
      </c>
      <c r="I4" s="66">
        <v>457329600</v>
      </c>
      <c r="J4" s="66">
        <f>512163600+54000000+6000000</f>
        <v>572163600</v>
      </c>
      <c r="K4" s="66">
        <v>0</v>
      </c>
      <c r="L4" s="66">
        <f>692162600+720258200</f>
        <v>1412420800</v>
      </c>
      <c r="M4" s="66">
        <v>1546080000</v>
      </c>
      <c r="N4" s="66">
        <v>1824638400</v>
      </c>
      <c r="O4" s="66">
        <v>1972557600</v>
      </c>
      <c r="P4" s="66">
        <v>2967681600</v>
      </c>
      <c r="Q4" s="66">
        <v>3331373760</v>
      </c>
      <c r="R4" s="66">
        <f>Q4-P4</f>
        <v>363692160</v>
      </c>
    </row>
    <row r="5" spans="1:18" ht="24" customHeight="1">
      <c r="A5" s="169">
        <v>21102</v>
      </c>
      <c r="B5" s="66" t="s">
        <v>421</v>
      </c>
      <c r="C5" s="66">
        <v>11833000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f>48240000+1440000+7920000</f>
        <v>57600000</v>
      </c>
      <c r="L5" s="66">
        <v>0</v>
      </c>
      <c r="M5" s="66">
        <v>0</v>
      </c>
      <c r="N5" s="66">
        <v>97200000</v>
      </c>
      <c r="O5" s="66">
        <v>97200000</v>
      </c>
      <c r="P5" s="66">
        <v>194400000</v>
      </c>
      <c r="Q5" s="66">
        <v>194400000</v>
      </c>
      <c r="R5" s="66">
        <f t="shared" ref="R5:R53" si="0">Q5-P5</f>
        <v>0</v>
      </c>
    </row>
    <row r="6" spans="1:18" ht="24" customHeight="1">
      <c r="A6" s="169">
        <v>21103</v>
      </c>
      <c r="B6" s="66" t="s">
        <v>11</v>
      </c>
      <c r="C6" s="66">
        <v>10800000</v>
      </c>
      <c r="D6" s="66">
        <v>10800000</v>
      </c>
      <c r="E6" s="66">
        <v>10800000</v>
      </c>
      <c r="F6" s="66">
        <v>10800000</v>
      </c>
      <c r="G6" s="66">
        <v>14400000</v>
      </c>
      <c r="H6" s="66">
        <v>14400000</v>
      </c>
      <c r="I6" s="66">
        <v>14400000</v>
      </c>
      <c r="J6" s="66">
        <f>14400000+32400000+1440000</f>
        <v>48240000</v>
      </c>
      <c r="K6" s="66">
        <v>0</v>
      </c>
      <c r="L6" s="66">
        <f>61200000+61200000</f>
        <v>122400000</v>
      </c>
      <c r="M6" s="66">
        <v>61200000</v>
      </c>
      <c r="N6" s="66">
        <v>100800000</v>
      </c>
      <c r="O6" s="66">
        <v>151200000</v>
      </c>
      <c r="P6" s="66">
        <v>288000000</v>
      </c>
      <c r="Q6" s="66">
        <v>324000000</v>
      </c>
      <c r="R6" s="66">
        <f t="shared" si="0"/>
        <v>36000000</v>
      </c>
    </row>
    <row r="7" spans="1:18" ht="24" customHeight="1">
      <c r="A7" s="169">
        <v>21105</v>
      </c>
      <c r="B7" s="66" t="s">
        <v>399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>
        <v>0</v>
      </c>
      <c r="O7" s="66">
        <v>216000000</v>
      </c>
      <c r="P7" s="66">
        <v>216000000</v>
      </c>
      <c r="Q7" s="66">
        <v>216000000</v>
      </c>
      <c r="R7" s="66">
        <f t="shared" si="0"/>
        <v>0</v>
      </c>
    </row>
    <row r="8" spans="1:18" ht="24" customHeight="1">
      <c r="A8" s="169"/>
      <c r="B8" s="106" t="s">
        <v>59</v>
      </c>
      <c r="C8" s="66"/>
      <c r="D8" s="66">
        <v>0</v>
      </c>
      <c r="E8" s="66">
        <v>6000000</v>
      </c>
      <c r="F8" s="66">
        <v>3000000</v>
      </c>
      <c r="G8" s="66">
        <v>0</v>
      </c>
      <c r="H8" s="66">
        <v>0</v>
      </c>
      <c r="I8" s="66">
        <v>0</v>
      </c>
      <c r="J8" s="66">
        <v>15000000</v>
      </c>
      <c r="K8" s="66">
        <v>0</v>
      </c>
      <c r="L8" s="106">
        <f>SUM(L4:L6)</f>
        <v>1534820800</v>
      </c>
      <c r="M8" s="106">
        <f>SUM(M4:M6)</f>
        <v>1607280000</v>
      </c>
      <c r="N8" s="106">
        <f>SUM(N4:N7)</f>
        <v>2022638400</v>
      </c>
      <c r="O8" s="106">
        <f>SUM(O4:O7)</f>
        <v>2436957600</v>
      </c>
      <c r="P8" s="106">
        <f>SUM(P4:P7)</f>
        <v>3666081600</v>
      </c>
      <c r="Q8" s="106">
        <f>SUM(Q4:Q7)</f>
        <v>4065773760</v>
      </c>
      <c r="R8" s="106">
        <f t="shared" si="0"/>
        <v>399692160</v>
      </c>
    </row>
    <row r="9" spans="1:18" ht="24" customHeight="1">
      <c r="A9" s="249">
        <v>220</v>
      </c>
      <c r="B9" s="106" t="s">
        <v>159</v>
      </c>
      <c r="C9" s="66"/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/>
      <c r="M9" s="66"/>
      <c r="N9" s="66"/>
      <c r="O9" s="66"/>
      <c r="P9" s="66"/>
      <c r="Q9" s="66"/>
      <c r="R9" s="66">
        <f t="shared" si="0"/>
        <v>0</v>
      </c>
    </row>
    <row r="10" spans="1:18" ht="24" customHeight="1">
      <c r="A10" s="249">
        <v>2210</v>
      </c>
      <c r="B10" s="106" t="s">
        <v>160</v>
      </c>
      <c r="C10" s="66"/>
      <c r="D10" s="66">
        <v>20000000</v>
      </c>
      <c r="E10" s="66">
        <v>56000000</v>
      </c>
      <c r="F10" s="66">
        <v>0</v>
      </c>
      <c r="G10" s="66">
        <v>0</v>
      </c>
      <c r="H10" s="66">
        <v>149500000</v>
      </c>
      <c r="I10" s="66">
        <v>0</v>
      </c>
      <c r="J10" s="66">
        <v>0</v>
      </c>
      <c r="K10" s="66">
        <v>14896000</v>
      </c>
      <c r="L10" s="66"/>
      <c r="M10" s="66"/>
      <c r="N10" s="66"/>
      <c r="O10" s="66"/>
      <c r="P10" s="66"/>
      <c r="Q10" s="66"/>
      <c r="R10" s="66">
        <f t="shared" si="0"/>
        <v>0</v>
      </c>
    </row>
    <row r="11" spans="1:18" ht="24" customHeight="1">
      <c r="A11" s="169">
        <v>22101</v>
      </c>
      <c r="B11" s="66" t="s">
        <v>14</v>
      </c>
      <c r="C11" s="66">
        <v>0</v>
      </c>
      <c r="D11" s="66">
        <v>2000000</v>
      </c>
      <c r="E11" s="66">
        <v>2000000</v>
      </c>
      <c r="F11" s="66">
        <v>1000000</v>
      </c>
      <c r="G11" s="66">
        <v>3200000</v>
      </c>
      <c r="H11" s="66">
        <v>4000000</v>
      </c>
      <c r="I11" s="66">
        <v>2979200</v>
      </c>
      <c r="J11" s="66">
        <v>4000000</v>
      </c>
      <c r="K11" s="66">
        <v>8937600</v>
      </c>
      <c r="L11" s="66">
        <f>32344000+20258560</f>
        <v>52602560</v>
      </c>
      <c r="M11" s="66">
        <v>22642800</v>
      </c>
      <c r="N11" s="66">
        <f>M11</f>
        <v>22642800</v>
      </c>
      <c r="O11" s="66">
        <f>N11</f>
        <v>22642800</v>
      </c>
      <c r="P11" s="66">
        <v>27892800</v>
      </c>
      <c r="Q11" s="66">
        <v>27892800</v>
      </c>
      <c r="R11" s="66">
        <f t="shared" si="0"/>
        <v>0</v>
      </c>
    </row>
    <row r="12" spans="1:18" ht="24" customHeight="1">
      <c r="A12" s="169">
        <v>22102</v>
      </c>
      <c r="B12" s="66" t="s">
        <v>82</v>
      </c>
      <c r="C12" s="66"/>
      <c r="D12" s="66"/>
      <c r="E12" s="66"/>
      <c r="F12" s="66"/>
      <c r="G12" s="66"/>
      <c r="H12" s="66"/>
      <c r="I12" s="66"/>
      <c r="J12" s="66"/>
      <c r="K12" s="66">
        <v>18620000</v>
      </c>
      <c r="L12" s="66">
        <v>7500000</v>
      </c>
      <c r="M12" s="66">
        <f>7500000*70%</f>
        <v>5250000</v>
      </c>
      <c r="N12" s="66">
        <f>7500000*70%</f>
        <v>5250000</v>
      </c>
      <c r="O12" s="66">
        <f>7500000*70%</f>
        <v>5250000</v>
      </c>
      <c r="P12" s="66">
        <v>0</v>
      </c>
      <c r="Q12" s="66">
        <v>0</v>
      </c>
      <c r="R12" s="66">
        <f t="shared" si="0"/>
        <v>0</v>
      </c>
    </row>
    <row r="13" spans="1:18" s="306" customFormat="1" ht="24" customHeight="1">
      <c r="A13" s="169">
        <v>22103</v>
      </c>
      <c r="B13" s="66" t="s">
        <v>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f t="shared" si="0"/>
        <v>0</v>
      </c>
    </row>
    <row r="14" spans="1:18" ht="24" customHeight="1">
      <c r="A14" s="169">
        <v>22104</v>
      </c>
      <c r="B14" s="66" t="s">
        <v>116</v>
      </c>
      <c r="C14" s="66"/>
      <c r="D14" s="66"/>
      <c r="E14" s="66"/>
      <c r="F14" s="66"/>
      <c r="G14" s="66"/>
      <c r="H14" s="66"/>
      <c r="I14" s="66"/>
      <c r="J14" s="66"/>
      <c r="K14" s="66">
        <v>208212162</v>
      </c>
      <c r="L14" s="66">
        <f>29896000+77240000</f>
        <v>107136000</v>
      </c>
      <c r="M14" s="66">
        <v>20927200</v>
      </c>
      <c r="N14" s="66">
        <f>M14</f>
        <v>20927200</v>
      </c>
      <c r="O14" s="66">
        <v>50927200</v>
      </c>
      <c r="P14" s="66">
        <v>50927200</v>
      </c>
      <c r="Q14" s="66">
        <v>50927200</v>
      </c>
      <c r="R14" s="66">
        <f t="shared" si="0"/>
        <v>0</v>
      </c>
    </row>
    <row r="15" spans="1:18" ht="24" customHeight="1">
      <c r="A15" s="169">
        <v>22105</v>
      </c>
      <c r="B15" s="66" t="s">
        <v>93</v>
      </c>
      <c r="C15" s="66"/>
      <c r="D15" s="66"/>
      <c r="E15" s="66"/>
      <c r="F15" s="66"/>
      <c r="G15" s="66"/>
      <c r="H15" s="66"/>
      <c r="I15" s="66"/>
      <c r="J15" s="66"/>
      <c r="K15" s="66">
        <v>7448000</v>
      </c>
      <c r="L15" s="66">
        <f>11172000+27065760</f>
        <v>38237760</v>
      </c>
      <c r="M15" s="66">
        <v>7820400</v>
      </c>
      <c r="N15" s="66">
        <f>M15</f>
        <v>7820400</v>
      </c>
      <c r="O15" s="66">
        <f>N15</f>
        <v>7820400</v>
      </c>
      <c r="P15" s="66">
        <f>O15</f>
        <v>7820400</v>
      </c>
      <c r="Q15" s="66">
        <f>P15</f>
        <v>7820400</v>
      </c>
      <c r="R15" s="66">
        <f t="shared" si="0"/>
        <v>0</v>
      </c>
    </row>
    <row r="16" spans="1:18" ht="24" customHeight="1">
      <c r="A16" s="169">
        <v>22106</v>
      </c>
      <c r="B16" s="66" t="s">
        <v>84</v>
      </c>
      <c r="C16" s="66">
        <v>6000000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106">
        <f>SUM(K8:K15)</f>
        <v>258113762</v>
      </c>
      <c r="L16" s="66">
        <v>9228496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f t="shared" si="0"/>
        <v>0</v>
      </c>
    </row>
    <row r="17" spans="1:18" ht="24" customHeight="1">
      <c r="A17" s="169">
        <v>22107</v>
      </c>
      <c r="B17" s="66" t="s">
        <v>30</v>
      </c>
      <c r="C17" s="66">
        <v>0</v>
      </c>
      <c r="D17" s="66">
        <v>6000000</v>
      </c>
      <c r="E17" s="66">
        <v>8000000</v>
      </c>
      <c r="F17" s="66">
        <v>16000000</v>
      </c>
      <c r="G17" s="66">
        <v>20217600</v>
      </c>
      <c r="H17" s="66">
        <v>25272000</v>
      </c>
      <c r="I17" s="66">
        <v>37442586</v>
      </c>
      <c r="J17" s="66">
        <v>55000000</v>
      </c>
      <c r="K17" s="66"/>
      <c r="L17" s="66">
        <f>11172000+32448000</f>
        <v>43620000</v>
      </c>
      <c r="M17" s="66">
        <v>7820400</v>
      </c>
      <c r="N17" s="66">
        <f>M17*70%</f>
        <v>5474280</v>
      </c>
      <c r="O17" s="66">
        <v>35474280</v>
      </c>
      <c r="P17" s="66">
        <v>35474280</v>
      </c>
      <c r="Q17" s="66">
        <v>55474280</v>
      </c>
      <c r="R17" s="66">
        <f t="shared" si="0"/>
        <v>20000000</v>
      </c>
    </row>
    <row r="18" spans="1:18" ht="24" customHeight="1">
      <c r="A18" s="169">
        <v>22108</v>
      </c>
      <c r="B18" s="66" t="s">
        <v>60</v>
      </c>
      <c r="C18" s="66">
        <v>12000000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f t="shared" si="0"/>
        <v>0</v>
      </c>
    </row>
    <row r="19" spans="1:18" ht="24" customHeight="1">
      <c r="A19" s="169">
        <v>22109</v>
      </c>
      <c r="B19" s="66" t="s">
        <v>94</v>
      </c>
      <c r="C19" s="66">
        <v>7000000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15000000</v>
      </c>
      <c r="K19" s="66">
        <v>201406000</v>
      </c>
      <c r="L19" s="66">
        <f>13937600+7871000</f>
        <v>21808600</v>
      </c>
      <c r="M19" s="66">
        <v>9756320</v>
      </c>
      <c r="N19" s="66">
        <f t="shared" ref="N19:Q20" si="1">M19</f>
        <v>9756320</v>
      </c>
      <c r="O19" s="66">
        <f t="shared" si="1"/>
        <v>9756320</v>
      </c>
      <c r="P19" s="66">
        <f t="shared" si="1"/>
        <v>9756320</v>
      </c>
      <c r="Q19" s="66">
        <f t="shared" si="1"/>
        <v>9756320</v>
      </c>
      <c r="R19" s="66">
        <f t="shared" si="0"/>
        <v>0</v>
      </c>
    </row>
    <row r="20" spans="1:18" ht="24" customHeight="1">
      <c r="A20" s="169">
        <v>22112</v>
      </c>
      <c r="B20" s="66" t="s">
        <v>16</v>
      </c>
      <c r="C20" s="66">
        <v>0</v>
      </c>
      <c r="D20" s="66">
        <v>0</v>
      </c>
      <c r="E20" s="66">
        <v>0</v>
      </c>
      <c r="F20" s="66">
        <v>0</v>
      </c>
      <c r="G20" s="66">
        <v>4000000</v>
      </c>
      <c r="H20" s="66">
        <v>5000000</v>
      </c>
      <c r="I20" s="66">
        <v>14896000</v>
      </c>
      <c r="J20" s="66">
        <v>45000000</v>
      </c>
      <c r="K20" s="66">
        <v>26812800</v>
      </c>
      <c r="L20" s="66">
        <f>33516000+25854400</f>
        <v>59370400</v>
      </c>
      <c r="M20" s="66">
        <v>23461200</v>
      </c>
      <c r="N20" s="66">
        <f t="shared" si="1"/>
        <v>23461200</v>
      </c>
      <c r="O20" s="66">
        <f t="shared" si="1"/>
        <v>23461200</v>
      </c>
      <c r="P20" s="66">
        <v>83461200</v>
      </c>
      <c r="Q20" s="66">
        <v>133461200</v>
      </c>
      <c r="R20" s="66">
        <f t="shared" si="0"/>
        <v>50000000</v>
      </c>
    </row>
    <row r="21" spans="1:18" ht="24" customHeight="1">
      <c r="A21" s="169">
        <v>22132</v>
      </c>
      <c r="B21" s="66" t="s">
        <v>144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7448000</v>
      </c>
      <c r="L21" s="66">
        <f>250200000+156297280</f>
        <v>406497280</v>
      </c>
      <c r="M21" s="66">
        <v>175140000</v>
      </c>
      <c r="N21" s="66">
        <v>0</v>
      </c>
      <c r="O21" s="66">
        <v>0</v>
      </c>
      <c r="P21" s="66">
        <v>0</v>
      </c>
      <c r="Q21" s="66">
        <v>0</v>
      </c>
      <c r="R21" s="66">
        <f t="shared" si="0"/>
        <v>0</v>
      </c>
    </row>
    <row r="22" spans="1:18" ht="24" customHeight="1">
      <c r="A22" s="169">
        <v>22134</v>
      </c>
      <c r="B22" s="66" t="s">
        <v>100</v>
      </c>
      <c r="C22" s="66">
        <v>5000000</v>
      </c>
      <c r="D22" s="66">
        <v>5000000</v>
      </c>
      <c r="E22" s="66">
        <v>5000000</v>
      </c>
      <c r="F22" s="66">
        <v>5000000</v>
      </c>
      <c r="G22" s="66">
        <v>8000000</v>
      </c>
      <c r="H22" s="66">
        <v>10000000</v>
      </c>
      <c r="I22" s="66">
        <v>18620000</v>
      </c>
      <c r="J22" s="66">
        <v>48000000</v>
      </c>
      <c r="K22" s="106">
        <f>SUM(K18:K21)</f>
        <v>235666800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f t="shared" si="0"/>
        <v>0</v>
      </c>
    </row>
    <row r="23" spans="1:18" ht="24" customHeight="1">
      <c r="A23" s="169">
        <v>22137</v>
      </c>
      <c r="B23" s="66" t="s">
        <v>841</v>
      </c>
      <c r="C23" s="66"/>
      <c r="D23" s="66"/>
      <c r="E23" s="66"/>
      <c r="F23" s="66"/>
      <c r="G23" s="66"/>
      <c r="H23" s="66"/>
      <c r="I23" s="66"/>
      <c r="J23" s="66"/>
      <c r="K23" s="106"/>
      <c r="L23" s="66"/>
      <c r="M23" s="66"/>
      <c r="N23" s="66"/>
      <c r="O23" s="66"/>
      <c r="P23" s="66"/>
      <c r="Q23" s="66">
        <v>150000000</v>
      </c>
      <c r="R23" s="66"/>
    </row>
    <row r="24" spans="1:18" ht="24" customHeight="1">
      <c r="A24" s="169">
        <v>22141</v>
      </c>
      <c r="B24" s="66" t="s">
        <v>381</v>
      </c>
      <c r="C24" s="66"/>
      <c r="D24" s="66"/>
      <c r="E24" s="66"/>
      <c r="F24" s="66"/>
      <c r="G24" s="66"/>
      <c r="H24" s="66"/>
      <c r="I24" s="66"/>
      <c r="J24" s="66"/>
      <c r="K24" s="106"/>
      <c r="L24" s="66"/>
      <c r="M24" s="66"/>
      <c r="N24" s="66">
        <v>0</v>
      </c>
      <c r="O24" s="66">
        <v>120000000</v>
      </c>
      <c r="P24" s="66">
        <v>0</v>
      </c>
      <c r="Q24" s="66">
        <v>0</v>
      </c>
      <c r="R24" s="66">
        <f t="shared" si="0"/>
        <v>0</v>
      </c>
    </row>
    <row r="25" spans="1:18" ht="24" customHeight="1">
      <c r="A25" s="169">
        <v>22151</v>
      </c>
      <c r="B25" s="66" t="s">
        <v>371</v>
      </c>
      <c r="C25" s="66">
        <v>0</v>
      </c>
      <c r="D25" s="66">
        <v>0</v>
      </c>
      <c r="E25" s="66">
        <v>0</v>
      </c>
      <c r="F25" s="66">
        <v>0</v>
      </c>
      <c r="G25" s="66">
        <v>16000000</v>
      </c>
      <c r="H25" s="66">
        <v>360113000</v>
      </c>
      <c r="I25" s="66">
        <v>208212162</v>
      </c>
      <c r="J25" s="66">
        <v>330000000</v>
      </c>
      <c r="K25" s="66"/>
      <c r="L25" s="66">
        <v>0</v>
      </c>
      <c r="M25" s="66">
        <v>0</v>
      </c>
      <c r="N25" s="66">
        <v>941844000</v>
      </c>
      <c r="O25" s="66">
        <v>941844000</v>
      </c>
      <c r="P25" s="66">
        <v>1041844000</v>
      </c>
      <c r="Q25" s="66">
        <v>1071844000</v>
      </c>
      <c r="R25" s="66">
        <f t="shared" si="0"/>
        <v>30000000</v>
      </c>
    </row>
    <row r="26" spans="1:18" s="306" customFormat="1" ht="24" customHeight="1">
      <c r="A26" s="169"/>
      <c r="B26" s="106" t="s">
        <v>59</v>
      </c>
      <c r="C26" s="66"/>
      <c r="D26" s="66"/>
      <c r="E26" s="66"/>
      <c r="F26" s="66"/>
      <c r="G26" s="66"/>
      <c r="H26" s="66"/>
      <c r="I26" s="66">
        <v>0</v>
      </c>
      <c r="J26" s="66">
        <v>35000000</v>
      </c>
      <c r="K26" s="66"/>
      <c r="L26" s="106">
        <f t="shared" ref="L26:P26" si="2">SUM(L11:L25)</f>
        <v>746001096</v>
      </c>
      <c r="M26" s="106">
        <f t="shared" si="2"/>
        <v>272818320</v>
      </c>
      <c r="N26" s="106">
        <f t="shared" si="2"/>
        <v>1037176200</v>
      </c>
      <c r="O26" s="106">
        <f t="shared" si="2"/>
        <v>1217176200</v>
      </c>
      <c r="P26" s="106">
        <f t="shared" si="2"/>
        <v>1257176200</v>
      </c>
      <c r="Q26" s="106">
        <f>SUM(Q11:Q25)</f>
        <v>1507176200</v>
      </c>
      <c r="R26" s="106">
        <f t="shared" si="0"/>
        <v>250000000</v>
      </c>
    </row>
    <row r="27" spans="1:18" ht="24" customHeight="1">
      <c r="A27" s="249">
        <v>2220</v>
      </c>
      <c r="B27" s="106" t="s">
        <v>161</v>
      </c>
      <c r="C27" s="66"/>
      <c r="D27" s="66">
        <v>2577555</v>
      </c>
      <c r="E27" s="66">
        <v>11431000</v>
      </c>
      <c r="F27" s="66">
        <v>11446285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/>
      <c r="M27" s="66"/>
      <c r="N27" s="66"/>
      <c r="O27" s="66"/>
      <c r="P27" s="66"/>
      <c r="Q27" s="66"/>
      <c r="R27" s="66">
        <f t="shared" si="0"/>
        <v>0</v>
      </c>
    </row>
    <row r="28" spans="1:18" ht="24" customHeight="1">
      <c r="A28" s="169">
        <v>22201</v>
      </c>
      <c r="B28" s="66" t="s">
        <v>90</v>
      </c>
      <c r="C28" s="106">
        <f>SUM(C16:C25)</f>
        <v>30000000</v>
      </c>
      <c r="D28" s="106">
        <f t="shared" ref="D28:J28" si="3">SUM(D16:D27)</f>
        <v>13577555</v>
      </c>
      <c r="E28" s="106">
        <f t="shared" si="3"/>
        <v>24431000</v>
      </c>
      <c r="F28" s="106">
        <f t="shared" si="3"/>
        <v>32446285</v>
      </c>
      <c r="G28" s="106">
        <f t="shared" si="3"/>
        <v>48217600</v>
      </c>
      <c r="H28" s="106">
        <f t="shared" si="3"/>
        <v>400385000</v>
      </c>
      <c r="I28" s="106">
        <f t="shared" si="3"/>
        <v>279170748</v>
      </c>
      <c r="J28" s="106">
        <f t="shared" si="3"/>
        <v>528000000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f t="shared" si="0"/>
        <v>0</v>
      </c>
    </row>
    <row r="29" spans="1:18" ht="24" customHeight="1">
      <c r="A29" s="169">
        <v>22202</v>
      </c>
      <c r="B29" s="66" t="s">
        <v>91</v>
      </c>
      <c r="C29" s="106" t="e">
        <f>C28+#REF!+#REF!+#REF!+#REF!</f>
        <v>#REF!</v>
      </c>
      <c r="D29" s="106" t="e">
        <f>D28+#REF!+#REF!+#REF!+#REF!</f>
        <v>#REF!</v>
      </c>
      <c r="E29" s="106" t="e">
        <f>E28+#REF!+#REF!+#REF!+#REF!</f>
        <v>#REF!</v>
      </c>
      <c r="F29" s="106" t="e">
        <f>F28+#REF!+#REF!+#REF!+#REF!</f>
        <v>#REF!</v>
      </c>
      <c r="G29" s="106" t="e">
        <f>G28+#REF!+#REF!+#REF!+#REF!</f>
        <v>#REF!</v>
      </c>
      <c r="H29" s="106" t="e">
        <f>H28+#REF!+#REF!+#REF!+#REF!</f>
        <v>#REF!</v>
      </c>
      <c r="I29" s="106" t="e">
        <f>I28+#REF!+#REF!+#REF!+#REF!</f>
        <v>#REF!</v>
      </c>
      <c r="J29" s="106" t="e">
        <f>J28+#REF!+#REF!+#REF!+#REF!</f>
        <v>#REF!</v>
      </c>
      <c r="K29" s="66">
        <v>2979200</v>
      </c>
      <c r="L29" s="66">
        <f>300000000+310000000</f>
        <v>610000000</v>
      </c>
      <c r="M29" s="66">
        <v>210000000</v>
      </c>
      <c r="N29" s="66">
        <v>341600000</v>
      </c>
      <c r="O29" s="66">
        <v>341600000</v>
      </c>
      <c r="P29" s="66">
        <v>341600000</v>
      </c>
      <c r="Q29" s="66">
        <v>411600000</v>
      </c>
      <c r="R29" s="66">
        <f t="shared" si="0"/>
        <v>70000000</v>
      </c>
    </row>
    <row r="30" spans="1:18" ht="24" customHeight="1">
      <c r="A30" s="169">
        <v>22203</v>
      </c>
      <c r="B30" s="66" t="s">
        <v>85</v>
      </c>
      <c r="C30" s="118"/>
      <c r="D30" s="118"/>
      <c r="E30" s="118"/>
      <c r="F30" s="100">
        <v>0</v>
      </c>
      <c r="G30" s="100" t="s">
        <v>4</v>
      </c>
      <c r="H30" s="100"/>
      <c r="I30" s="100"/>
      <c r="J30" s="100"/>
      <c r="K30" s="100">
        <v>2234400</v>
      </c>
      <c r="L30" s="100">
        <f>23810144+32771200</f>
        <v>56581344</v>
      </c>
      <c r="M30" s="100">
        <v>17267101</v>
      </c>
      <c r="N30" s="100">
        <f t="shared" ref="N30:Q31" si="4">M30</f>
        <v>17267101</v>
      </c>
      <c r="O30" s="100">
        <f t="shared" si="4"/>
        <v>17267101</v>
      </c>
      <c r="P30" s="100">
        <f t="shared" si="4"/>
        <v>17267101</v>
      </c>
      <c r="Q30" s="100">
        <f t="shared" si="4"/>
        <v>17267101</v>
      </c>
      <c r="R30" s="66">
        <f t="shared" si="0"/>
        <v>0</v>
      </c>
    </row>
    <row r="31" spans="1:18" ht="24" customHeight="1">
      <c r="A31" s="169">
        <v>22204</v>
      </c>
      <c r="B31" s="66" t="s">
        <v>86</v>
      </c>
      <c r="C31" s="118"/>
      <c r="D31" s="100">
        <v>0</v>
      </c>
      <c r="E31" s="100"/>
      <c r="F31" s="100"/>
      <c r="G31" s="100"/>
      <c r="H31" s="100"/>
      <c r="I31" s="100"/>
      <c r="J31" s="100"/>
      <c r="K31" s="105">
        <f>SUM(K27:K30)</f>
        <v>5213600</v>
      </c>
      <c r="L31" s="100">
        <f>22344000+7448000</f>
        <v>29792000</v>
      </c>
      <c r="M31" s="100">
        <v>15640800</v>
      </c>
      <c r="N31" s="100">
        <f t="shared" si="4"/>
        <v>15640800</v>
      </c>
      <c r="O31" s="100">
        <f t="shared" si="4"/>
        <v>15640800</v>
      </c>
      <c r="P31" s="100">
        <f t="shared" si="4"/>
        <v>15640800</v>
      </c>
      <c r="Q31" s="100">
        <f t="shared" si="4"/>
        <v>15640800</v>
      </c>
      <c r="R31" s="66">
        <f t="shared" si="0"/>
        <v>0</v>
      </c>
    </row>
    <row r="32" spans="1:18" ht="24" customHeight="1">
      <c r="A32" s="169">
        <v>22216</v>
      </c>
      <c r="B32" s="66" t="s">
        <v>313</v>
      </c>
      <c r="C32" s="118"/>
      <c r="D32" s="100"/>
      <c r="E32" s="100"/>
      <c r="F32" s="100"/>
      <c r="G32" s="100"/>
      <c r="H32" s="100"/>
      <c r="I32" s="100"/>
      <c r="J32" s="100"/>
      <c r="K32" s="105"/>
      <c r="L32" s="100">
        <v>0</v>
      </c>
      <c r="M32" s="100">
        <v>200000000</v>
      </c>
      <c r="N32" s="100">
        <v>200000000</v>
      </c>
      <c r="O32" s="100">
        <v>300000000</v>
      </c>
      <c r="P32" s="100">
        <v>400000000</v>
      </c>
      <c r="Q32" s="100">
        <v>450000000</v>
      </c>
      <c r="R32" s="66">
        <f t="shared" si="0"/>
        <v>50000000</v>
      </c>
    </row>
    <row r="33" spans="1:18" ht="24" customHeight="1">
      <c r="A33" s="169"/>
      <c r="B33" s="106" t="s">
        <v>59</v>
      </c>
      <c r="C33" s="118"/>
      <c r="D33" s="118"/>
      <c r="E33" s="118"/>
      <c r="F33" s="118"/>
      <c r="G33" s="118"/>
      <c r="H33" s="118"/>
      <c r="I33" s="118"/>
      <c r="J33" s="118"/>
      <c r="K33" s="66">
        <v>0</v>
      </c>
      <c r="L33" s="106">
        <f>SUM(L28:L31)</f>
        <v>696373344</v>
      </c>
      <c r="M33" s="106">
        <f>SUM(M28:M32)</f>
        <v>442907901</v>
      </c>
      <c r="N33" s="106">
        <f>SUM(N28:N32)</f>
        <v>574507901</v>
      </c>
      <c r="O33" s="106">
        <f>SUM(O28:O32)</f>
        <v>674507901</v>
      </c>
      <c r="P33" s="106">
        <f>SUM(P28:P32)</f>
        <v>774507901</v>
      </c>
      <c r="Q33" s="106">
        <f>SUM(Q28:Q32)</f>
        <v>894507901</v>
      </c>
      <c r="R33" s="106">
        <f t="shared" si="0"/>
        <v>120000000</v>
      </c>
    </row>
    <row r="34" spans="1:18" ht="24" customHeight="1">
      <c r="A34" s="249">
        <v>2230</v>
      </c>
      <c r="B34" s="106" t="s">
        <v>88</v>
      </c>
      <c r="C34" s="118"/>
      <c r="D34" s="118"/>
      <c r="E34" s="118"/>
      <c r="F34" s="118"/>
      <c r="G34" s="118"/>
      <c r="H34" s="118"/>
      <c r="I34" s="118"/>
      <c r="J34" s="118"/>
      <c r="K34" s="66">
        <v>4468800</v>
      </c>
      <c r="L34" s="66"/>
      <c r="M34" s="66"/>
      <c r="N34" s="66"/>
      <c r="O34" s="66"/>
      <c r="P34" s="66"/>
      <c r="Q34" s="66"/>
      <c r="R34" s="66">
        <f t="shared" si="0"/>
        <v>0</v>
      </c>
    </row>
    <row r="35" spans="1:18" ht="24" customHeight="1">
      <c r="A35" s="169">
        <v>22301</v>
      </c>
      <c r="B35" s="66" t="s">
        <v>31</v>
      </c>
      <c r="C35" s="118"/>
      <c r="D35" s="118"/>
      <c r="E35" s="118"/>
      <c r="F35" s="118"/>
      <c r="G35" s="118"/>
      <c r="H35" s="118"/>
      <c r="I35" s="118"/>
      <c r="J35" s="118"/>
      <c r="K35" s="117">
        <f>SUM(K33:K34)</f>
        <v>4468800</v>
      </c>
      <c r="L35" s="107">
        <f>79792000+79584000</f>
        <v>159376000</v>
      </c>
      <c r="M35" s="107">
        <v>55854400</v>
      </c>
      <c r="N35" s="107">
        <f>M35</f>
        <v>55854400</v>
      </c>
      <c r="O35" s="107">
        <f>N35</f>
        <v>55854400</v>
      </c>
      <c r="P35" s="107">
        <v>155854400</v>
      </c>
      <c r="Q35" s="107">
        <v>155854400</v>
      </c>
      <c r="R35" s="66">
        <f t="shared" si="0"/>
        <v>0</v>
      </c>
    </row>
    <row r="36" spans="1:18" ht="24" customHeight="1">
      <c r="A36" s="169">
        <v>22302</v>
      </c>
      <c r="B36" s="66" t="s">
        <v>162</v>
      </c>
      <c r="C36" s="118"/>
      <c r="D36" s="118"/>
      <c r="E36" s="118"/>
      <c r="F36" s="118"/>
      <c r="G36" s="118"/>
      <c r="H36" s="118"/>
      <c r="I36" s="118"/>
      <c r="J36" s="118"/>
      <c r="K36" s="117" t="e">
        <f>K35+K31+K22+K16+#REF!</f>
        <v>#REF!</v>
      </c>
      <c r="L36" s="107">
        <v>2979200</v>
      </c>
      <c r="M36" s="107" t="s">
        <v>4</v>
      </c>
      <c r="N36" s="107">
        <v>0</v>
      </c>
      <c r="O36" s="107">
        <v>0</v>
      </c>
      <c r="P36" s="107">
        <v>0</v>
      </c>
      <c r="Q36" s="107">
        <v>0</v>
      </c>
      <c r="R36" s="66">
        <f t="shared" si="0"/>
        <v>0</v>
      </c>
    </row>
    <row r="37" spans="1:18" ht="24" customHeight="1">
      <c r="A37" s="169">
        <v>22304</v>
      </c>
      <c r="B37" s="66" t="s">
        <v>181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66">
        <f t="shared" si="0"/>
        <v>0</v>
      </c>
    </row>
    <row r="38" spans="1:18" ht="24" customHeight="1">
      <c r="A38" s="169">
        <v>22314</v>
      </c>
      <c r="B38" s="66" t="s">
        <v>163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07">
        <v>2979200</v>
      </c>
      <c r="M38" s="107" t="s">
        <v>4</v>
      </c>
      <c r="N38" s="107">
        <v>0</v>
      </c>
      <c r="O38" s="107">
        <v>0</v>
      </c>
      <c r="P38" s="107">
        <v>0</v>
      </c>
      <c r="Q38" s="107">
        <v>0</v>
      </c>
      <c r="R38" s="66">
        <f t="shared" si="0"/>
        <v>0</v>
      </c>
    </row>
    <row r="39" spans="1:18" ht="24" customHeight="1">
      <c r="A39" s="169"/>
      <c r="B39" s="106" t="s">
        <v>59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0">
        <f t="shared" ref="L39:P39" si="5">SUM(L35:L38)</f>
        <v>165334400</v>
      </c>
      <c r="M39" s="110">
        <f t="shared" si="5"/>
        <v>55854400</v>
      </c>
      <c r="N39" s="110">
        <f t="shared" si="5"/>
        <v>55854400</v>
      </c>
      <c r="O39" s="110">
        <f t="shared" si="5"/>
        <v>55854400</v>
      </c>
      <c r="P39" s="110">
        <f t="shared" si="5"/>
        <v>155854400</v>
      </c>
      <c r="Q39" s="110">
        <f>SUM(Q35:Q38)</f>
        <v>155854400</v>
      </c>
      <c r="R39" s="106">
        <f t="shared" si="0"/>
        <v>0</v>
      </c>
    </row>
    <row r="40" spans="1:18" s="306" customFormat="1" ht="24" customHeight="1">
      <c r="A40" s="249">
        <v>230</v>
      </c>
      <c r="B40" s="106" t="s">
        <v>165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07"/>
      <c r="M40" s="107"/>
      <c r="N40" s="107"/>
      <c r="O40" s="107"/>
      <c r="P40" s="107"/>
      <c r="Q40" s="107"/>
      <c r="R40" s="66">
        <f t="shared" si="0"/>
        <v>0</v>
      </c>
    </row>
    <row r="41" spans="1:18" s="306" customFormat="1" ht="24" customHeight="1">
      <c r="A41" s="249">
        <v>2310</v>
      </c>
      <c r="B41" s="106" t="s">
        <v>164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07"/>
      <c r="M41" s="107"/>
      <c r="N41" s="107"/>
      <c r="O41" s="107"/>
      <c r="P41" s="107"/>
      <c r="Q41" s="107"/>
      <c r="R41" s="66">
        <f t="shared" si="0"/>
        <v>0</v>
      </c>
    </row>
    <row r="42" spans="1:18" ht="24" customHeight="1">
      <c r="A42" s="169">
        <v>23101</v>
      </c>
      <c r="B42" s="66" t="s">
        <v>172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07">
        <f>7448000+16896000</f>
        <v>24344000</v>
      </c>
      <c r="M42" s="107">
        <v>5213600</v>
      </c>
      <c r="N42" s="107">
        <v>0</v>
      </c>
      <c r="O42" s="107">
        <v>0</v>
      </c>
      <c r="P42" s="107">
        <v>70000000</v>
      </c>
      <c r="Q42" s="107">
        <v>15000000</v>
      </c>
      <c r="R42" s="66">
        <f t="shared" si="0"/>
        <v>-55000000</v>
      </c>
    </row>
    <row r="43" spans="1:18" ht="24" customHeight="1">
      <c r="A43" s="169">
        <v>23102</v>
      </c>
      <c r="B43" s="66" t="s">
        <v>173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07">
        <v>0</v>
      </c>
      <c r="M43" s="107">
        <v>0</v>
      </c>
      <c r="N43" s="107">
        <v>0</v>
      </c>
      <c r="O43" s="107">
        <v>120000000</v>
      </c>
      <c r="P43" s="107">
        <v>120000000</v>
      </c>
      <c r="Q43" s="107">
        <v>150000000</v>
      </c>
      <c r="R43" s="66">
        <f t="shared" si="0"/>
        <v>30000000</v>
      </c>
    </row>
    <row r="44" spans="1:18" ht="24" customHeight="1">
      <c r="A44" s="169">
        <v>23103</v>
      </c>
      <c r="B44" s="66" t="s">
        <v>106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07">
        <f>3724000+2234400</f>
        <v>5958400</v>
      </c>
      <c r="M44" s="107">
        <v>2606800</v>
      </c>
      <c r="N44" s="107">
        <v>0</v>
      </c>
      <c r="O44" s="107">
        <v>0</v>
      </c>
      <c r="P44" s="107">
        <v>0</v>
      </c>
      <c r="Q44" s="107">
        <v>0</v>
      </c>
      <c r="R44" s="66">
        <f t="shared" si="0"/>
        <v>0</v>
      </c>
    </row>
    <row r="45" spans="1:18" ht="24" customHeight="1">
      <c r="A45" s="169">
        <v>23104</v>
      </c>
      <c r="B45" s="66" t="s">
        <v>107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07">
        <v>4468800</v>
      </c>
      <c r="M45" s="107" t="s">
        <v>4</v>
      </c>
      <c r="N45" s="107">
        <v>0</v>
      </c>
      <c r="O45" s="107">
        <v>0</v>
      </c>
      <c r="P45" s="107">
        <v>0</v>
      </c>
      <c r="Q45" s="107">
        <v>0</v>
      </c>
      <c r="R45" s="66">
        <f t="shared" si="0"/>
        <v>0</v>
      </c>
    </row>
    <row r="46" spans="1:18" ht="24" customHeight="1">
      <c r="A46" s="169"/>
      <c r="B46" s="106" t="s">
        <v>59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0">
        <f t="shared" ref="L46:P46" si="6">SUM(L42:L45)</f>
        <v>34771200</v>
      </c>
      <c r="M46" s="110">
        <f t="shared" si="6"/>
        <v>7820400</v>
      </c>
      <c r="N46" s="110">
        <f t="shared" si="6"/>
        <v>0</v>
      </c>
      <c r="O46" s="110">
        <f t="shared" si="6"/>
        <v>120000000</v>
      </c>
      <c r="P46" s="110">
        <f t="shared" si="6"/>
        <v>190000000</v>
      </c>
      <c r="Q46" s="110">
        <f>SUM(Q42:Q45)</f>
        <v>165000000</v>
      </c>
      <c r="R46" s="106">
        <f t="shared" si="0"/>
        <v>-25000000</v>
      </c>
    </row>
    <row r="47" spans="1:18" ht="24" customHeight="1">
      <c r="A47" s="249">
        <v>2320</v>
      </c>
      <c r="B47" s="106" t="s">
        <v>372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0"/>
      <c r="M47" s="110"/>
      <c r="N47" s="110"/>
      <c r="O47" s="110"/>
      <c r="P47" s="110"/>
      <c r="Q47" s="110"/>
      <c r="R47" s="66">
        <f t="shared" si="0"/>
        <v>0</v>
      </c>
    </row>
    <row r="48" spans="1:18" ht="24" customHeight="1">
      <c r="A48" s="169">
        <v>23201</v>
      </c>
      <c r="B48" s="66" t="s">
        <v>373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0"/>
      <c r="M48" s="110">
        <v>0</v>
      </c>
      <c r="N48" s="107">
        <v>855056000</v>
      </c>
      <c r="O48" s="107">
        <v>1200000000</v>
      </c>
      <c r="P48" s="107">
        <v>0</v>
      </c>
      <c r="Q48" s="107">
        <v>0</v>
      </c>
      <c r="R48" s="66">
        <f t="shared" si="0"/>
        <v>0</v>
      </c>
    </row>
    <row r="49" spans="1:18" ht="24" customHeight="1">
      <c r="A49" s="169"/>
      <c r="B49" s="106" t="s">
        <v>59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0"/>
      <c r="M49" s="110"/>
      <c r="N49" s="110">
        <f>SUM(N48)</f>
        <v>855056000</v>
      </c>
      <c r="O49" s="110">
        <f>SUM(O48)</f>
        <v>1200000000</v>
      </c>
      <c r="P49" s="110">
        <f>SUM(P48)</f>
        <v>0</v>
      </c>
      <c r="Q49" s="110">
        <f>SUM(Q48)</f>
        <v>0</v>
      </c>
      <c r="R49" s="66">
        <f t="shared" si="0"/>
        <v>0</v>
      </c>
    </row>
    <row r="50" spans="1:18" ht="24" customHeight="1">
      <c r="A50" s="249">
        <v>2630</v>
      </c>
      <c r="B50" s="106" t="s">
        <v>467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0"/>
      <c r="M50" s="110"/>
      <c r="N50" s="110"/>
      <c r="O50" s="110"/>
      <c r="P50" s="110"/>
      <c r="Q50" s="110"/>
      <c r="R50" s="66">
        <f t="shared" si="0"/>
        <v>0</v>
      </c>
    </row>
    <row r="51" spans="1:18" ht="24" customHeight="1">
      <c r="A51" s="169">
        <v>26301</v>
      </c>
      <c r="B51" s="66" t="s">
        <v>849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0"/>
      <c r="M51" s="110"/>
      <c r="N51" s="107">
        <v>60000000</v>
      </c>
      <c r="O51" s="107">
        <v>60000000</v>
      </c>
      <c r="P51" s="107">
        <v>60000000</v>
      </c>
      <c r="Q51" s="107">
        <v>100000000</v>
      </c>
      <c r="R51" s="66">
        <f t="shared" si="0"/>
        <v>40000000</v>
      </c>
    </row>
    <row r="52" spans="1:18" ht="24" customHeight="1">
      <c r="A52" s="169"/>
      <c r="B52" s="106" t="s">
        <v>59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0"/>
      <c r="M52" s="110"/>
      <c r="N52" s="110">
        <f>SUM(N51)</f>
        <v>60000000</v>
      </c>
      <c r="O52" s="110">
        <f>SUM(O51)</f>
        <v>60000000</v>
      </c>
      <c r="P52" s="110">
        <f>SUM(P51)</f>
        <v>60000000</v>
      </c>
      <c r="Q52" s="110">
        <f>SUM(Q51)</f>
        <v>100000000</v>
      </c>
      <c r="R52" s="106">
        <f t="shared" si="0"/>
        <v>40000000</v>
      </c>
    </row>
    <row r="53" spans="1:18" ht="30" customHeight="1">
      <c r="A53" s="169"/>
      <c r="B53" s="106" t="s">
        <v>18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0">
        <f>L46+L39+L33+L26+L8</f>
        <v>3177300840</v>
      </c>
      <c r="M53" s="110">
        <f>M46+M39+M33+M26+M8</f>
        <v>2386681021</v>
      </c>
      <c r="N53" s="110">
        <f>N49+N39+N33+N26+N8+N52</f>
        <v>4605232901</v>
      </c>
      <c r="O53" s="110">
        <f>O49+O39+O33+O26+O8+O52+O46</f>
        <v>5764496101</v>
      </c>
      <c r="P53" s="110">
        <f>P49+P39+P33+P26+P8+P52+P46</f>
        <v>6103620101</v>
      </c>
      <c r="Q53" s="110">
        <f>Q49+Q39+Q33+Q26+Q8+Q52+Q46</f>
        <v>6888312261</v>
      </c>
      <c r="R53" s="106">
        <f t="shared" si="0"/>
        <v>784692160</v>
      </c>
    </row>
  </sheetData>
  <phoneticPr fontId="0" type="noConversion"/>
  <printOptions gridLines="1"/>
  <pageMargins left="0.59" right="0.25" top="0.89" bottom="0.73" header="0.44" footer="0.44"/>
  <pageSetup scale="53" orientation="portrait" r:id="rId1"/>
  <headerFooter alignWithMargins="0">
    <oddHeader>&amp;C&amp;"Algerian,Bold"&amp;36WASAARADDA XANAANADDA XOOLAHA</oddHeader>
    <oddFooter>&amp;R&amp;"Times New Roman,Bold"&amp;14 35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1" zoomScaleSheetLayoutView="61" zoomScalePageLayoutView="70" workbookViewId="0">
      <selection activeCell="Q5" sqref="Q5"/>
    </sheetView>
  </sheetViews>
  <sheetFormatPr defaultRowHeight="12.75"/>
  <cols>
    <col min="1" max="1" width="18.1640625" style="376" bestFit="1" customWidth="1"/>
    <col min="2" max="2" width="79.33203125" style="181" customWidth="1"/>
    <col min="3" max="3" width="0.1640625" style="181" hidden="1" customWidth="1"/>
    <col min="4" max="10" width="9.33203125" style="181" hidden="1" customWidth="1"/>
    <col min="11" max="11" width="2.1640625" style="181" hidden="1" customWidth="1"/>
    <col min="12" max="12" width="17.1640625" style="181" hidden="1" customWidth="1"/>
    <col min="13" max="13" width="24" style="181" hidden="1" customWidth="1"/>
    <col min="14" max="14" width="27.6640625" style="181" hidden="1" customWidth="1"/>
    <col min="15" max="15" width="0.33203125" style="181" customWidth="1"/>
    <col min="16" max="17" width="28.83203125" style="181" customWidth="1"/>
    <col min="18" max="18" width="28.83203125" style="181" bestFit="1" customWidth="1"/>
    <col min="19" max="16384" width="9.33203125" style="181"/>
  </cols>
  <sheetData>
    <row r="1" spans="1:18" ht="27.6" customHeight="1">
      <c r="A1" s="353" t="s">
        <v>20</v>
      </c>
      <c r="B1" s="354" t="s">
        <v>792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66"/>
    </row>
    <row r="2" spans="1:18" ht="27.6" customHeight="1">
      <c r="A2" s="353" t="s">
        <v>6</v>
      </c>
      <c r="B2" s="251" t="s">
        <v>7</v>
      </c>
      <c r="C2" s="118" t="s">
        <v>19</v>
      </c>
      <c r="D2" s="416" t="s">
        <v>2</v>
      </c>
      <c r="E2" s="416" t="s">
        <v>24</v>
      </c>
      <c r="F2" s="416" t="s">
        <v>28</v>
      </c>
      <c r="G2" s="416" t="s">
        <v>33</v>
      </c>
      <c r="H2" s="413" t="s">
        <v>40</v>
      </c>
      <c r="I2" s="256" t="s">
        <v>64</v>
      </c>
      <c r="J2" s="256" t="s">
        <v>69</v>
      </c>
      <c r="K2" s="256" t="s">
        <v>78</v>
      </c>
      <c r="L2" s="256" t="s">
        <v>110</v>
      </c>
      <c r="M2" s="256" t="s">
        <v>166</v>
      </c>
      <c r="N2" s="256" t="s">
        <v>319</v>
      </c>
      <c r="O2" s="256" t="s">
        <v>538</v>
      </c>
      <c r="P2" s="256" t="s">
        <v>607</v>
      </c>
      <c r="Q2" s="256" t="s">
        <v>722</v>
      </c>
      <c r="R2" s="112" t="s">
        <v>34</v>
      </c>
    </row>
    <row r="3" spans="1:18" ht="27.6" customHeight="1">
      <c r="A3" s="249">
        <v>210</v>
      </c>
      <c r="B3" s="106" t="s">
        <v>95</v>
      </c>
      <c r="C3" s="118"/>
      <c r="D3" s="118"/>
      <c r="E3" s="118"/>
      <c r="F3" s="118"/>
      <c r="G3" s="118"/>
      <c r="H3" s="118"/>
      <c r="I3" s="118"/>
      <c r="J3" s="118"/>
      <c r="K3" s="118"/>
      <c r="L3" s="107"/>
      <c r="M3" s="107"/>
      <c r="N3" s="107"/>
      <c r="O3" s="107"/>
      <c r="P3" s="107"/>
      <c r="Q3" s="107"/>
      <c r="R3" s="266"/>
    </row>
    <row r="4" spans="1:18" ht="27.6" customHeight="1">
      <c r="A4" s="249">
        <v>2110</v>
      </c>
      <c r="B4" s="106" t="s">
        <v>155</v>
      </c>
      <c r="C4" s="66"/>
      <c r="D4" s="66"/>
      <c r="E4" s="66"/>
      <c r="F4" s="66"/>
      <c r="G4" s="66"/>
      <c r="H4" s="66"/>
      <c r="I4" s="66"/>
      <c r="J4" s="66"/>
      <c r="K4" s="66"/>
      <c r="L4" s="108"/>
      <c r="M4" s="107"/>
      <c r="N4" s="107"/>
      <c r="O4" s="107"/>
      <c r="P4" s="107"/>
      <c r="Q4" s="107"/>
      <c r="R4" s="118"/>
    </row>
    <row r="5" spans="1:18" ht="27.6" customHeight="1">
      <c r="A5" s="169">
        <v>21101</v>
      </c>
      <c r="B5" s="66" t="s">
        <v>9</v>
      </c>
      <c r="C5" s="66"/>
      <c r="D5" s="66"/>
      <c r="E5" s="66"/>
      <c r="F5" s="66"/>
      <c r="G5" s="66"/>
      <c r="H5" s="66"/>
      <c r="I5" s="66"/>
      <c r="J5" s="66"/>
      <c r="K5" s="66"/>
      <c r="L5" s="108">
        <v>458521200</v>
      </c>
      <c r="M5" s="108" t="e">
        <f>#REF!+36000000+262785600</f>
        <v>#REF!</v>
      </c>
      <c r="N5" s="108">
        <v>705868800</v>
      </c>
      <c r="O5" s="108">
        <v>696508800</v>
      </c>
      <c r="P5" s="108">
        <v>910391040</v>
      </c>
      <c r="Q5" s="108">
        <v>1173631680</v>
      </c>
      <c r="R5" s="107">
        <f>Q5-P5</f>
        <v>263240640</v>
      </c>
    </row>
    <row r="6" spans="1:18" ht="27.6" customHeight="1">
      <c r="A6" s="169">
        <v>21102</v>
      </c>
      <c r="B6" s="66" t="s">
        <v>418</v>
      </c>
      <c r="C6" s="66"/>
      <c r="D6" s="66"/>
      <c r="E6" s="66"/>
      <c r="F6" s="66"/>
      <c r="G6" s="66"/>
      <c r="H6" s="66"/>
      <c r="I6" s="66"/>
      <c r="J6" s="66"/>
      <c r="K6" s="66"/>
      <c r="L6" s="108">
        <v>0</v>
      </c>
      <c r="M6" s="108">
        <v>0</v>
      </c>
      <c r="N6" s="108">
        <v>97200000</v>
      </c>
      <c r="O6" s="108">
        <v>97200000</v>
      </c>
      <c r="P6" s="108">
        <v>97200000</v>
      </c>
      <c r="Q6" s="108">
        <v>157200000</v>
      </c>
      <c r="R6" s="107">
        <f t="shared" ref="R6:R44" si="0">Q6-P6</f>
        <v>60000000</v>
      </c>
    </row>
    <row r="7" spans="1:18" ht="27.6" customHeight="1">
      <c r="A7" s="169">
        <v>21103</v>
      </c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108">
        <v>79200000</v>
      </c>
      <c r="M7" s="108">
        <f>57600000</f>
        <v>57600000</v>
      </c>
      <c r="N7" s="108">
        <v>86400000</v>
      </c>
      <c r="O7" s="108">
        <v>158400000</v>
      </c>
      <c r="P7" s="108">
        <v>198000000</v>
      </c>
      <c r="Q7" s="108">
        <v>270000000</v>
      </c>
      <c r="R7" s="107">
        <f t="shared" si="0"/>
        <v>72000000</v>
      </c>
    </row>
    <row r="8" spans="1:18" ht="27.6" customHeight="1">
      <c r="A8" s="169">
        <v>21105</v>
      </c>
      <c r="B8" s="66" t="s">
        <v>425</v>
      </c>
      <c r="C8" s="66"/>
      <c r="D8" s="66"/>
      <c r="E8" s="66"/>
      <c r="F8" s="66"/>
      <c r="G8" s="66"/>
      <c r="H8" s="66"/>
      <c r="I8" s="66"/>
      <c r="J8" s="66"/>
      <c r="K8" s="66"/>
      <c r="L8" s="108"/>
      <c r="M8" s="108">
        <v>27600000</v>
      </c>
      <c r="N8" s="108">
        <v>24000000</v>
      </c>
      <c r="O8" s="108">
        <v>24000000</v>
      </c>
      <c r="P8" s="108">
        <v>42000000</v>
      </c>
      <c r="Q8" s="108">
        <v>42000000</v>
      </c>
      <c r="R8" s="107">
        <f t="shared" si="0"/>
        <v>0</v>
      </c>
    </row>
    <row r="9" spans="1:18" ht="27.6" customHeight="1">
      <c r="A9" s="169"/>
      <c r="B9" s="106" t="s">
        <v>59</v>
      </c>
      <c r="C9" s="66"/>
      <c r="D9" s="66"/>
      <c r="E9" s="66"/>
      <c r="F9" s="66"/>
      <c r="G9" s="66"/>
      <c r="H9" s="66"/>
      <c r="I9" s="66"/>
      <c r="J9" s="66"/>
      <c r="K9" s="66"/>
      <c r="L9" s="109">
        <f>SUM(L5:L7)</f>
        <v>537721200</v>
      </c>
      <c r="M9" s="109" t="e">
        <f>M8+M7+M5+M6</f>
        <v>#REF!</v>
      </c>
      <c r="N9" s="109">
        <f>N8+N7+N5+N6</f>
        <v>913468800</v>
      </c>
      <c r="O9" s="109">
        <f>SUM(O5:O8)</f>
        <v>976108800</v>
      </c>
      <c r="P9" s="109">
        <f>SUM(P5:P8)</f>
        <v>1247591040</v>
      </c>
      <c r="Q9" s="109">
        <f>SUM(Q5:Q8)</f>
        <v>1642831680</v>
      </c>
      <c r="R9" s="110">
        <f t="shared" si="0"/>
        <v>395240640</v>
      </c>
    </row>
    <row r="10" spans="1:18" ht="27.6" customHeight="1">
      <c r="A10" s="249">
        <v>220</v>
      </c>
      <c r="B10" s="106" t="s">
        <v>159</v>
      </c>
      <c r="C10" s="66"/>
      <c r="D10" s="66"/>
      <c r="E10" s="66"/>
      <c r="F10" s="66"/>
      <c r="G10" s="66"/>
      <c r="H10" s="66"/>
      <c r="I10" s="66"/>
      <c r="J10" s="66"/>
      <c r="K10" s="66"/>
      <c r="L10" s="108"/>
      <c r="M10" s="108"/>
      <c r="N10" s="108"/>
      <c r="O10" s="108"/>
      <c r="P10" s="108"/>
      <c r="Q10" s="108"/>
      <c r="R10" s="107">
        <f t="shared" si="0"/>
        <v>0</v>
      </c>
    </row>
    <row r="11" spans="1:18" ht="27.6" customHeight="1">
      <c r="A11" s="249">
        <v>2210</v>
      </c>
      <c r="B11" s="106" t="s">
        <v>160</v>
      </c>
      <c r="C11" s="66"/>
      <c r="D11" s="66"/>
      <c r="E11" s="66"/>
      <c r="F11" s="66"/>
      <c r="G11" s="66"/>
      <c r="H11" s="106"/>
      <c r="I11" s="106"/>
      <c r="J11" s="106"/>
      <c r="K11" s="66"/>
      <c r="L11" s="108"/>
      <c r="M11" s="108"/>
      <c r="N11" s="108"/>
      <c r="O11" s="108"/>
      <c r="P11" s="108"/>
      <c r="Q11" s="108"/>
      <c r="R11" s="107">
        <f t="shared" si="0"/>
        <v>0</v>
      </c>
    </row>
    <row r="12" spans="1:18" ht="27.6" customHeight="1">
      <c r="A12" s="169">
        <v>22101</v>
      </c>
      <c r="B12" s="66" t="s">
        <v>14</v>
      </c>
      <c r="C12" s="66"/>
      <c r="D12" s="66"/>
      <c r="E12" s="66"/>
      <c r="F12" s="66"/>
      <c r="G12" s="66"/>
      <c r="H12" s="66"/>
      <c r="I12" s="66"/>
      <c r="J12" s="66"/>
      <c r="K12" s="66"/>
      <c r="L12" s="108">
        <v>60000000</v>
      </c>
      <c r="M12" s="108">
        <f>60000000*70%</f>
        <v>42000000</v>
      </c>
      <c r="N12" s="108">
        <f>60000000*70%</f>
        <v>42000000</v>
      </c>
      <c r="O12" s="108">
        <f>60000000*70%</f>
        <v>42000000</v>
      </c>
      <c r="P12" s="108">
        <v>132000000</v>
      </c>
      <c r="Q12" s="108">
        <v>132000000</v>
      </c>
      <c r="R12" s="107">
        <f t="shared" si="0"/>
        <v>0</v>
      </c>
    </row>
    <row r="13" spans="1:18" ht="27.6" customHeight="1">
      <c r="A13" s="169">
        <v>22102</v>
      </c>
      <c r="B13" s="66" t="s">
        <v>82</v>
      </c>
      <c r="C13" s="66"/>
      <c r="D13" s="66"/>
      <c r="E13" s="66"/>
      <c r="F13" s="66"/>
      <c r="G13" s="66"/>
      <c r="H13" s="66"/>
      <c r="I13" s="66"/>
      <c r="J13" s="66"/>
      <c r="K13" s="66"/>
      <c r="L13" s="108">
        <v>0</v>
      </c>
      <c r="M13" s="108">
        <v>0</v>
      </c>
      <c r="N13" s="108">
        <v>90000000</v>
      </c>
      <c r="O13" s="108">
        <f>N13</f>
        <v>90000000</v>
      </c>
      <c r="P13" s="108">
        <v>30000000</v>
      </c>
      <c r="Q13" s="108">
        <v>30000000</v>
      </c>
      <c r="R13" s="107">
        <f t="shared" si="0"/>
        <v>0</v>
      </c>
    </row>
    <row r="14" spans="1:18" ht="27.6" customHeight="1">
      <c r="A14" s="169">
        <v>22103</v>
      </c>
      <c r="B14" s="66" t="s">
        <v>83</v>
      </c>
      <c r="C14" s="66"/>
      <c r="D14" s="66"/>
      <c r="E14" s="66"/>
      <c r="F14" s="66"/>
      <c r="G14" s="66"/>
      <c r="H14" s="66"/>
      <c r="I14" s="66"/>
      <c r="J14" s="66"/>
      <c r="K14" s="66"/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7">
        <f t="shared" si="0"/>
        <v>0</v>
      </c>
    </row>
    <row r="15" spans="1:18" ht="27.6" customHeight="1">
      <c r="A15" s="169">
        <v>22104</v>
      </c>
      <c r="B15" s="66" t="s">
        <v>116</v>
      </c>
      <c r="C15" s="66"/>
      <c r="D15" s="66"/>
      <c r="E15" s="66"/>
      <c r="F15" s="66"/>
      <c r="G15" s="66"/>
      <c r="H15" s="66"/>
      <c r="I15" s="66"/>
      <c r="J15" s="66"/>
      <c r="K15" s="66"/>
      <c r="L15" s="108">
        <v>50000000</v>
      </c>
      <c r="M15" s="108">
        <v>35000000</v>
      </c>
      <c r="N15" s="108">
        <v>50000000</v>
      </c>
      <c r="O15" s="108">
        <v>50000000</v>
      </c>
      <c r="P15" s="108">
        <v>50000000</v>
      </c>
      <c r="Q15" s="108">
        <v>100000000</v>
      </c>
      <c r="R15" s="107">
        <f t="shared" si="0"/>
        <v>50000000</v>
      </c>
    </row>
    <row r="16" spans="1:18" ht="27.6" customHeight="1">
      <c r="A16" s="169">
        <v>22105</v>
      </c>
      <c r="B16" s="66" t="s">
        <v>93</v>
      </c>
      <c r="C16" s="66"/>
      <c r="D16" s="66"/>
      <c r="E16" s="66"/>
      <c r="F16" s="66"/>
      <c r="G16" s="66"/>
      <c r="H16" s="66"/>
      <c r="I16" s="66"/>
      <c r="J16" s="66"/>
      <c r="K16" s="66"/>
      <c r="L16" s="108">
        <v>0</v>
      </c>
      <c r="M16" s="108">
        <v>43200000</v>
      </c>
      <c r="N16" s="108">
        <v>43200000</v>
      </c>
      <c r="O16" s="108">
        <v>43200000</v>
      </c>
      <c r="P16" s="108">
        <v>43200000</v>
      </c>
      <c r="Q16" s="108">
        <v>43200000</v>
      </c>
      <c r="R16" s="107">
        <f t="shared" si="0"/>
        <v>0</v>
      </c>
    </row>
    <row r="17" spans="1:18" ht="27.6" customHeight="1">
      <c r="A17" s="169">
        <v>22106</v>
      </c>
      <c r="B17" s="66" t="s">
        <v>84</v>
      </c>
      <c r="C17" s="66"/>
      <c r="D17" s="66"/>
      <c r="E17" s="66"/>
      <c r="F17" s="66"/>
      <c r="G17" s="66"/>
      <c r="H17" s="66"/>
      <c r="I17" s="66"/>
      <c r="J17" s="66"/>
      <c r="K17" s="66"/>
      <c r="L17" s="108">
        <v>8937600</v>
      </c>
      <c r="M17" s="108">
        <f>8937600*70%</f>
        <v>6256320</v>
      </c>
      <c r="N17" s="108">
        <v>0</v>
      </c>
      <c r="O17" s="108">
        <v>0</v>
      </c>
      <c r="P17" s="108">
        <v>0</v>
      </c>
      <c r="Q17" s="108">
        <v>0</v>
      </c>
      <c r="R17" s="107">
        <f t="shared" si="0"/>
        <v>0</v>
      </c>
    </row>
    <row r="18" spans="1:18" ht="27.6" customHeight="1">
      <c r="A18" s="169">
        <v>22107</v>
      </c>
      <c r="B18" s="66" t="s">
        <v>30</v>
      </c>
      <c r="C18" s="66"/>
      <c r="D18" s="66"/>
      <c r="E18" s="66"/>
      <c r="F18" s="66"/>
      <c r="G18" s="66"/>
      <c r="H18" s="66"/>
      <c r="I18" s="66"/>
      <c r="J18" s="66"/>
      <c r="K18" s="66"/>
      <c r="L18" s="108">
        <v>45000000</v>
      </c>
      <c r="M18" s="108">
        <f>45000000*70%</f>
        <v>31499999.999999996</v>
      </c>
      <c r="N18" s="108">
        <v>40000000</v>
      </c>
      <c r="O18" s="108">
        <v>50000000</v>
      </c>
      <c r="P18" s="108">
        <v>50000000</v>
      </c>
      <c r="Q18" s="108">
        <v>100000000</v>
      </c>
      <c r="R18" s="107">
        <f t="shared" si="0"/>
        <v>50000000</v>
      </c>
    </row>
    <row r="19" spans="1:18" ht="27.6" customHeight="1">
      <c r="A19" s="169">
        <v>22108</v>
      </c>
      <c r="B19" s="66" t="s">
        <v>60</v>
      </c>
      <c r="C19" s="66"/>
      <c r="D19" s="66"/>
      <c r="E19" s="66"/>
      <c r="F19" s="66"/>
      <c r="G19" s="66"/>
      <c r="H19" s="66"/>
      <c r="I19" s="66"/>
      <c r="J19" s="66"/>
      <c r="K19" s="66"/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7">
        <f t="shared" si="0"/>
        <v>0</v>
      </c>
    </row>
    <row r="20" spans="1:18" ht="27.6" customHeight="1">
      <c r="A20" s="169">
        <v>22109</v>
      </c>
      <c r="B20" s="66" t="s">
        <v>94</v>
      </c>
      <c r="C20" s="66"/>
      <c r="D20" s="66"/>
      <c r="E20" s="66"/>
      <c r="F20" s="66"/>
      <c r="G20" s="66"/>
      <c r="H20" s="66"/>
      <c r="I20" s="66"/>
      <c r="J20" s="66"/>
      <c r="K20" s="106"/>
      <c r="L20" s="108">
        <v>10427200</v>
      </c>
      <c r="M20" s="108">
        <f>10427200*70%</f>
        <v>7299040</v>
      </c>
      <c r="N20" s="108">
        <f>10427200*70%</f>
        <v>7299040</v>
      </c>
      <c r="O20" s="108">
        <v>12299040</v>
      </c>
      <c r="P20" s="108">
        <v>12299040</v>
      </c>
      <c r="Q20" s="108">
        <v>25000000</v>
      </c>
      <c r="R20" s="107">
        <f t="shared" si="0"/>
        <v>12700960</v>
      </c>
    </row>
    <row r="21" spans="1:18" ht="27.6" customHeight="1">
      <c r="A21" s="169">
        <v>22112</v>
      </c>
      <c r="B21" s="66" t="s">
        <v>16</v>
      </c>
      <c r="C21" s="66"/>
      <c r="D21" s="66"/>
      <c r="E21" s="66"/>
      <c r="F21" s="66"/>
      <c r="G21" s="66"/>
      <c r="H21" s="106"/>
      <c r="I21" s="106"/>
      <c r="J21" s="106"/>
      <c r="K21" s="106"/>
      <c r="L21" s="108">
        <v>45000000</v>
      </c>
      <c r="M21" s="108">
        <f>45000000*70%</f>
        <v>31499999.999999996</v>
      </c>
      <c r="N21" s="108">
        <v>40000000</v>
      </c>
      <c r="O21" s="108">
        <v>50000000</v>
      </c>
      <c r="P21" s="108">
        <v>50000000</v>
      </c>
      <c r="Q21" s="108">
        <v>100000000</v>
      </c>
      <c r="R21" s="107">
        <f t="shared" si="0"/>
        <v>50000000</v>
      </c>
    </row>
    <row r="22" spans="1:18" ht="27.6" customHeight="1">
      <c r="A22" s="169">
        <v>22132</v>
      </c>
      <c r="B22" s="66" t="s">
        <v>885</v>
      </c>
      <c r="C22" s="66"/>
      <c r="D22" s="66"/>
      <c r="E22" s="66"/>
      <c r="F22" s="66"/>
      <c r="G22" s="66"/>
      <c r="H22" s="66"/>
      <c r="I22" s="66"/>
      <c r="J22" s="66"/>
      <c r="K22" s="66"/>
      <c r="L22" s="108">
        <v>135000000</v>
      </c>
      <c r="M22" s="108">
        <f>135000000*70%</f>
        <v>94500000</v>
      </c>
      <c r="N22" s="108">
        <v>0</v>
      </c>
      <c r="O22" s="108">
        <v>0</v>
      </c>
      <c r="P22" s="108">
        <v>0</v>
      </c>
      <c r="Q22" s="108">
        <v>249120000</v>
      </c>
      <c r="R22" s="107">
        <f t="shared" si="0"/>
        <v>249120000</v>
      </c>
    </row>
    <row r="23" spans="1:18" ht="27.6" customHeight="1">
      <c r="A23" s="169"/>
      <c r="B23" s="106" t="s">
        <v>59</v>
      </c>
      <c r="C23" s="66"/>
      <c r="D23" s="66"/>
      <c r="E23" s="66"/>
      <c r="F23" s="66"/>
      <c r="G23" s="66"/>
      <c r="H23" s="66"/>
      <c r="I23" s="66"/>
      <c r="J23" s="66"/>
      <c r="K23" s="66"/>
      <c r="L23" s="109">
        <f t="shared" ref="L23:P23" si="1">SUM(L12:L22)</f>
        <v>354364800</v>
      </c>
      <c r="M23" s="109">
        <f t="shared" si="1"/>
        <v>291255360</v>
      </c>
      <c r="N23" s="109">
        <f t="shared" si="1"/>
        <v>312499040</v>
      </c>
      <c r="O23" s="109">
        <f t="shared" si="1"/>
        <v>337499040</v>
      </c>
      <c r="P23" s="109">
        <f t="shared" si="1"/>
        <v>367499040</v>
      </c>
      <c r="Q23" s="109">
        <f>SUM(Q12:Q22)</f>
        <v>779320000</v>
      </c>
      <c r="R23" s="110">
        <f t="shared" si="0"/>
        <v>411820960</v>
      </c>
    </row>
    <row r="24" spans="1:18" ht="27.6" customHeight="1">
      <c r="A24" s="249">
        <v>2220</v>
      </c>
      <c r="B24" s="106" t="s">
        <v>161</v>
      </c>
      <c r="C24" s="66"/>
      <c r="D24" s="66"/>
      <c r="E24" s="66"/>
      <c r="F24" s="66"/>
      <c r="G24" s="66"/>
      <c r="H24" s="66"/>
      <c r="I24" s="66"/>
      <c r="J24" s="66"/>
      <c r="K24" s="66"/>
      <c r="L24" s="108"/>
      <c r="M24" s="108"/>
      <c r="N24" s="108"/>
      <c r="O24" s="108"/>
      <c r="P24" s="108"/>
      <c r="Q24" s="108"/>
      <c r="R24" s="107">
        <f t="shared" si="0"/>
        <v>0</v>
      </c>
    </row>
    <row r="25" spans="1:18" ht="27.6" customHeight="1">
      <c r="A25" s="169">
        <v>22201</v>
      </c>
      <c r="B25" s="66" t="s">
        <v>90</v>
      </c>
      <c r="C25" s="66"/>
      <c r="D25" s="66"/>
      <c r="E25" s="66"/>
      <c r="F25" s="66"/>
      <c r="G25" s="66"/>
      <c r="H25" s="66"/>
      <c r="I25" s="66"/>
      <c r="J25" s="66"/>
      <c r="K25" s="106"/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7">
        <f t="shared" si="0"/>
        <v>0</v>
      </c>
    </row>
    <row r="26" spans="1:18" ht="27.6" customHeight="1">
      <c r="A26" s="169">
        <v>22202</v>
      </c>
      <c r="B26" s="66" t="s">
        <v>91</v>
      </c>
      <c r="C26" s="66"/>
      <c r="D26" s="66"/>
      <c r="E26" s="66"/>
      <c r="F26" s="66"/>
      <c r="G26" s="66"/>
      <c r="H26" s="66"/>
      <c r="I26" s="66"/>
      <c r="J26" s="66"/>
      <c r="K26" s="66"/>
      <c r="L26" s="108">
        <v>360000000</v>
      </c>
      <c r="M26" s="108">
        <f>L26*70%</f>
        <v>251999999.99999997</v>
      </c>
      <c r="N26" s="108">
        <v>201600000</v>
      </c>
      <c r="O26" s="108">
        <v>201600000</v>
      </c>
      <c r="P26" s="108">
        <v>201600000</v>
      </c>
      <c r="Q26" s="108">
        <v>251600000</v>
      </c>
      <c r="R26" s="107">
        <f t="shared" si="0"/>
        <v>50000000</v>
      </c>
    </row>
    <row r="27" spans="1:18" ht="27.6" customHeight="1">
      <c r="A27" s="169">
        <v>22203</v>
      </c>
      <c r="B27" s="66" t="s">
        <v>85</v>
      </c>
      <c r="C27" s="66"/>
      <c r="D27" s="66"/>
      <c r="E27" s="66"/>
      <c r="F27" s="66"/>
      <c r="G27" s="66"/>
      <c r="H27" s="66"/>
      <c r="I27" s="66"/>
      <c r="J27" s="66"/>
      <c r="K27" s="66"/>
      <c r="L27" s="108">
        <v>30000000</v>
      </c>
      <c r="M27" s="108">
        <v>21000000</v>
      </c>
      <c r="N27" s="108">
        <v>30000000</v>
      </c>
      <c r="O27" s="108">
        <v>30000000</v>
      </c>
      <c r="P27" s="108">
        <v>30000000</v>
      </c>
      <c r="Q27" s="108">
        <v>30000000</v>
      </c>
      <c r="R27" s="107">
        <f t="shared" si="0"/>
        <v>0</v>
      </c>
    </row>
    <row r="28" spans="1:18" ht="27.6" customHeight="1">
      <c r="A28" s="169">
        <v>22204</v>
      </c>
      <c r="B28" s="66" t="s">
        <v>86</v>
      </c>
      <c r="C28" s="66"/>
      <c r="D28" s="66"/>
      <c r="E28" s="66"/>
      <c r="F28" s="66"/>
      <c r="G28" s="66"/>
      <c r="H28" s="66"/>
      <c r="I28" s="66"/>
      <c r="J28" s="66"/>
      <c r="K28" s="66"/>
      <c r="L28" s="108">
        <v>6703200</v>
      </c>
      <c r="M28" s="108">
        <f>6703200*70%</f>
        <v>4692240</v>
      </c>
      <c r="N28" s="108">
        <f>6703200*70%</f>
        <v>4692240</v>
      </c>
      <c r="O28" s="108">
        <f>6703200*70%</f>
        <v>4692240</v>
      </c>
      <c r="P28" s="108">
        <f>6703200*70%</f>
        <v>4692240</v>
      </c>
      <c r="Q28" s="108">
        <f>6703200*70%</f>
        <v>4692240</v>
      </c>
      <c r="R28" s="107">
        <f t="shared" si="0"/>
        <v>0</v>
      </c>
    </row>
    <row r="29" spans="1:18" ht="27.6" customHeight="1">
      <c r="A29" s="169">
        <v>22205</v>
      </c>
      <c r="B29" s="66" t="s">
        <v>92</v>
      </c>
      <c r="C29" s="66"/>
      <c r="D29" s="66"/>
      <c r="E29" s="66"/>
      <c r="F29" s="66"/>
      <c r="G29" s="66"/>
      <c r="H29" s="66"/>
      <c r="I29" s="66"/>
      <c r="J29" s="66"/>
      <c r="K29" s="66"/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7">
        <f t="shared" si="0"/>
        <v>0</v>
      </c>
    </row>
    <row r="30" spans="1:18" ht="27.6" customHeight="1">
      <c r="A30" s="169">
        <v>22209</v>
      </c>
      <c r="B30" s="66" t="s">
        <v>145</v>
      </c>
      <c r="C30" s="66"/>
      <c r="D30" s="66"/>
      <c r="E30" s="66"/>
      <c r="F30" s="66"/>
      <c r="G30" s="66"/>
      <c r="H30" s="66"/>
      <c r="I30" s="66"/>
      <c r="J30" s="66"/>
      <c r="K30" s="66"/>
      <c r="L30" s="108">
        <v>12000000</v>
      </c>
      <c r="M30" s="108">
        <f>12000000*70%</f>
        <v>8400000</v>
      </c>
      <c r="N30" s="108">
        <v>0</v>
      </c>
      <c r="O30" s="108">
        <v>0</v>
      </c>
      <c r="P30" s="108">
        <v>0</v>
      </c>
      <c r="Q30" s="108">
        <v>0</v>
      </c>
      <c r="R30" s="107">
        <f t="shared" si="0"/>
        <v>0</v>
      </c>
    </row>
    <row r="31" spans="1:18" ht="27.6" customHeight="1">
      <c r="A31" s="169"/>
      <c r="B31" s="106" t="s">
        <v>59</v>
      </c>
      <c r="C31" s="66"/>
      <c r="D31" s="66"/>
      <c r="E31" s="66"/>
      <c r="F31" s="66"/>
      <c r="G31" s="66"/>
      <c r="H31" s="66"/>
      <c r="I31" s="66"/>
      <c r="J31" s="66"/>
      <c r="K31" s="106"/>
      <c r="L31" s="109">
        <f t="shared" ref="L31:P31" si="2">SUM(L25:L30)</f>
        <v>408703200</v>
      </c>
      <c r="M31" s="109">
        <f t="shared" si="2"/>
        <v>286092240</v>
      </c>
      <c r="N31" s="109">
        <f t="shared" si="2"/>
        <v>236292240</v>
      </c>
      <c r="O31" s="109">
        <f t="shared" si="2"/>
        <v>236292240</v>
      </c>
      <c r="P31" s="109">
        <f t="shared" si="2"/>
        <v>236292240</v>
      </c>
      <c r="Q31" s="109">
        <f>SUM(Q25:Q30)</f>
        <v>286292240</v>
      </c>
      <c r="R31" s="110">
        <f t="shared" si="0"/>
        <v>50000000</v>
      </c>
    </row>
    <row r="32" spans="1:18" ht="27.6" customHeight="1">
      <c r="A32" s="249">
        <v>2230</v>
      </c>
      <c r="B32" s="106" t="s">
        <v>88</v>
      </c>
      <c r="C32" s="66"/>
      <c r="D32" s="66"/>
      <c r="E32" s="66"/>
      <c r="F32" s="66"/>
      <c r="G32" s="66"/>
      <c r="H32" s="66"/>
      <c r="I32" s="66"/>
      <c r="J32" s="66"/>
      <c r="K32" s="66"/>
      <c r="L32" s="108"/>
      <c r="M32" s="108"/>
      <c r="N32" s="108"/>
      <c r="O32" s="108"/>
      <c r="P32" s="108"/>
      <c r="Q32" s="108"/>
      <c r="R32" s="107">
        <f t="shared" si="0"/>
        <v>0</v>
      </c>
    </row>
    <row r="33" spans="1:18" ht="27.6" customHeight="1">
      <c r="A33" s="169">
        <v>22301</v>
      </c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  <c r="L33" s="108">
        <v>45000000</v>
      </c>
      <c r="M33" s="108">
        <v>31500000</v>
      </c>
      <c r="N33" s="108">
        <v>40000000</v>
      </c>
      <c r="O33" s="108">
        <v>40000000</v>
      </c>
      <c r="P33" s="108">
        <v>40000000</v>
      </c>
      <c r="Q33" s="108">
        <v>50000000</v>
      </c>
      <c r="R33" s="107">
        <f t="shared" si="0"/>
        <v>10000000</v>
      </c>
    </row>
    <row r="34" spans="1:18" ht="27.6" customHeight="1">
      <c r="A34" s="169">
        <v>22302</v>
      </c>
      <c r="B34" s="66" t="s">
        <v>162</v>
      </c>
      <c r="C34" s="66"/>
      <c r="D34" s="66"/>
      <c r="E34" s="66"/>
      <c r="F34" s="66"/>
      <c r="G34" s="66"/>
      <c r="H34" s="66"/>
      <c r="I34" s="66"/>
      <c r="J34" s="66"/>
      <c r="K34" s="66"/>
      <c r="L34" s="108">
        <v>3724000</v>
      </c>
      <c r="M34" s="108">
        <f>3724000*70%</f>
        <v>2606800</v>
      </c>
      <c r="N34" s="108">
        <f>3724000*70%</f>
        <v>2606800</v>
      </c>
      <c r="O34" s="108">
        <v>120000000</v>
      </c>
      <c r="P34" s="108">
        <v>0</v>
      </c>
      <c r="Q34" s="108">
        <v>0</v>
      </c>
      <c r="R34" s="107">
        <f t="shared" si="0"/>
        <v>0</v>
      </c>
    </row>
    <row r="35" spans="1:18" ht="27.6" customHeight="1">
      <c r="A35" s="169">
        <v>22303</v>
      </c>
      <c r="B35" s="66" t="s">
        <v>163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7">
        <f t="shared" si="0"/>
        <v>0</v>
      </c>
    </row>
    <row r="36" spans="1:18" ht="27.6" customHeight="1">
      <c r="A36" s="169"/>
      <c r="B36" s="106" t="s">
        <v>59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9">
        <f t="shared" ref="L36:P36" si="3">SUM(L33:L35)</f>
        <v>48724000</v>
      </c>
      <c r="M36" s="109">
        <f t="shared" si="3"/>
        <v>34106800</v>
      </c>
      <c r="N36" s="109">
        <f t="shared" si="3"/>
        <v>42606800</v>
      </c>
      <c r="O36" s="109">
        <f t="shared" si="3"/>
        <v>160000000</v>
      </c>
      <c r="P36" s="109">
        <f t="shared" si="3"/>
        <v>40000000</v>
      </c>
      <c r="Q36" s="109">
        <f>SUM(Q33:Q35)</f>
        <v>50000000</v>
      </c>
      <c r="R36" s="110">
        <f t="shared" si="0"/>
        <v>10000000</v>
      </c>
    </row>
    <row r="37" spans="1:18" ht="27.6" customHeight="1">
      <c r="A37" s="249">
        <v>230</v>
      </c>
      <c r="B37" s="106" t="s">
        <v>165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9"/>
      <c r="M37" s="109"/>
      <c r="N37" s="109"/>
      <c r="O37" s="109"/>
      <c r="P37" s="109"/>
      <c r="Q37" s="109"/>
      <c r="R37" s="107">
        <f t="shared" si="0"/>
        <v>0</v>
      </c>
    </row>
    <row r="38" spans="1:18" ht="27.6" customHeight="1">
      <c r="A38" s="249">
        <v>2310</v>
      </c>
      <c r="B38" s="106" t="s">
        <v>164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9"/>
      <c r="M38" s="109"/>
      <c r="N38" s="109"/>
      <c r="O38" s="109"/>
      <c r="P38" s="109"/>
      <c r="Q38" s="109"/>
      <c r="R38" s="107">
        <f t="shared" si="0"/>
        <v>0</v>
      </c>
    </row>
    <row r="39" spans="1:18" ht="27.6" customHeight="1">
      <c r="A39" s="169">
        <v>23101</v>
      </c>
      <c r="B39" s="66" t="s">
        <v>172</v>
      </c>
      <c r="C39" s="66"/>
      <c r="D39" s="66"/>
      <c r="E39" s="66"/>
      <c r="F39" s="66"/>
      <c r="G39" s="66"/>
      <c r="H39" s="66"/>
      <c r="I39" s="66"/>
      <c r="J39" s="66"/>
      <c r="K39" s="66"/>
      <c r="L39" s="108">
        <v>0</v>
      </c>
      <c r="M39" s="108">
        <v>0</v>
      </c>
      <c r="N39" s="108">
        <v>0</v>
      </c>
      <c r="O39" s="108">
        <v>0</v>
      </c>
      <c r="P39" s="108">
        <v>120000000</v>
      </c>
      <c r="Q39" s="108">
        <v>180000000</v>
      </c>
      <c r="R39" s="107">
        <f t="shared" si="0"/>
        <v>60000000</v>
      </c>
    </row>
    <row r="40" spans="1:18" ht="27.6" customHeight="1">
      <c r="A40" s="169">
        <v>23102</v>
      </c>
      <c r="B40" s="66" t="s">
        <v>173</v>
      </c>
      <c r="C40" s="118"/>
      <c r="D40" s="100">
        <v>0</v>
      </c>
      <c r="E40" s="100"/>
      <c r="F40" s="100" t="s">
        <v>4</v>
      </c>
      <c r="G40" s="100"/>
      <c r="H40" s="100"/>
      <c r="I40" s="100"/>
      <c r="J40" s="100"/>
      <c r="K40" s="100"/>
      <c r="L40" s="107">
        <v>0</v>
      </c>
      <c r="M40" s="107">
        <v>108000000</v>
      </c>
      <c r="N40" s="107">
        <f>M40</f>
        <v>108000000</v>
      </c>
      <c r="O40" s="107">
        <v>0</v>
      </c>
      <c r="P40" s="107">
        <v>120000000</v>
      </c>
      <c r="Q40" s="107">
        <v>0</v>
      </c>
      <c r="R40" s="107">
        <f t="shared" si="0"/>
        <v>-120000000</v>
      </c>
    </row>
    <row r="41" spans="1:18" ht="27.6" customHeight="1">
      <c r="A41" s="169">
        <v>32103</v>
      </c>
      <c r="B41" s="66" t="s">
        <v>106</v>
      </c>
      <c r="C41" s="118"/>
      <c r="D41" s="100" t="s">
        <v>4</v>
      </c>
      <c r="E41" s="100"/>
      <c r="F41" s="100" t="s">
        <v>4</v>
      </c>
      <c r="G41" s="100"/>
      <c r="H41" s="100"/>
      <c r="I41" s="100"/>
      <c r="J41" s="100"/>
      <c r="K41" s="100"/>
      <c r="L41" s="107">
        <v>5586000</v>
      </c>
      <c r="M41" s="107">
        <f>5586000*70%</f>
        <v>3910199.9999999995</v>
      </c>
      <c r="N41" s="107">
        <f>M41</f>
        <v>3910199.9999999995</v>
      </c>
      <c r="O41" s="107">
        <f>N41</f>
        <v>3910199.9999999995</v>
      </c>
      <c r="P41" s="107">
        <f>O41</f>
        <v>3910199.9999999995</v>
      </c>
      <c r="Q41" s="107">
        <f>P41</f>
        <v>3910199.9999999995</v>
      </c>
      <c r="R41" s="107">
        <f t="shared" si="0"/>
        <v>0</v>
      </c>
    </row>
    <row r="42" spans="1:18" ht="27.6" customHeight="1">
      <c r="A42" s="169">
        <v>23104</v>
      </c>
      <c r="B42" s="66" t="s">
        <v>624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07">
        <v>1981000000</v>
      </c>
      <c r="M42" s="107">
        <f>3840000000*70%</f>
        <v>2688000000</v>
      </c>
      <c r="N42" s="107">
        <f>M42</f>
        <v>2688000000</v>
      </c>
      <c r="O42" s="107">
        <f>N42</f>
        <v>2688000000</v>
      </c>
      <c r="P42" s="107">
        <v>3000000000</v>
      </c>
      <c r="Q42" s="107">
        <v>4000000000</v>
      </c>
      <c r="R42" s="107">
        <f t="shared" si="0"/>
        <v>1000000000</v>
      </c>
    </row>
    <row r="43" spans="1:18" ht="27.6" customHeight="1">
      <c r="A43" s="169"/>
      <c r="B43" s="106" t="s">
        <v>59</v>
      </c>
      <c r="C43" s="118"/>
      <c r="D43" s="118"/>
      <c r="E43" s="118"/>
      <c r="F43" s="118">
        <f>1386274192-71600000-798000-176160000-12600000</f>
        <v>1125116192</v>
      </c>
      <c r="G43" s="118"/>
      <c r="H43" s="118"/>
      <c r="I43" s="118"/>
      <c r="J43" s="118"/>
      <c r="K43" s="118"/>
      <c r="L43" s="110">
        <f t="shared" ref="L43:P43" si="4">SUM(L39:L42)</f>
        <v>1986586000</v>
      </c>
      <c r="M43" s="110">
        <f t="shared" si="4"/>
        <v>2799910200</v>
      </c>
      <c r="N43" s="110">
        <f t="shared" si="4"/>
        <v>2799910200</v>
      </c>
      <c r="O43" s="110">
        <f t="shared" si="4"/>
        <v>2691910200</v>
      </c>
      <c r="P43" s="110">
        <f t="shared" si="4"/>
        <v>3243910200</v>
      </c>
      <c r="Q43" s="110">
        <f>SUM(Q39:Q42)</f>
        <v>4183910200</v>
      </c>
      <c r="R43" s="110">
        <f t="shared" si="0"/>
        <v>940000000</v>
      </c>
    </row>
    <row r="44" spans="1:18" ht="27.6" customHeight="1">
      <c r="A44" s="169"/>
      <c r="B44" s="106" t="s">
        <v>18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0" t="e">
        <f>L43+L36+L31+L23+L9+#REF!</f>
        <v>#REF!</v>
      </c>
      <c r="M44" s="110" t="e">
        <f>M43+M36+M31+M23+M9</f>
        <v>#REF!</v>
      </c>
      <c r="N44" s="110">
        <f>N43+N36+N31+N23+N9</f>
        <v>4304777080</v>
      </c>
      <c r="O44" s="110">
        <f>O43+O36+O31+O23+O9</f>
        <v>4401810280</v>
      </c>
      <c r="P44" s="110">
        <f>P43+P36+P31+P23+P9</f>
        <v>5135292520</v>
      </c>
      <c r="Q44" s="110">
        <f>Q43+Q36+Q31+Q23+Q9</f>
        <v>6942354120</v>
      </c>
      <c r="R44" s="110">
        <f t="shared" si="0"/>
        <v>1807061600</v>
      </c>
    </row>
  </sheetData>
  <pageMargins left="0.7" right="0.48" top="0.87" bottom="0.54" header="0.3" footer="0.3"/>
  <pageSetup scale="55" orientation="portrait" r:id="rId1"/>
  <headerFooter>
    <oddHeader>&amp;C&amp;"Algerian,Bold"&amp;36WASAARAdDA BOOSAHA IYO ISGAADHSIINTA</oddHeader>
    <oddFooter>&amp;R&amp;"Times New Roman,Bold"&amp;14 36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topLeftCell="A40" zoomScale="61" zoomScaleSheetLayoutView="61" workbookViewId="0">
      <selection activeCell="B56" sqref="B56"/>
    </sheetView>
  </sheetViews>
  <sheetFormatPr defaultRowHeight="15.95" customHeight="1"/>
  <cols>
    <col min="1" max="1" width="18.1640625" style="429" bestFit="1" customWidth="1"/>
    <col min="2" max="2" width="77.6640625" style="393" customWidth="1"/>
    <col min="3" max="10" width="9.33203125" style="393" hidden="1" customWidth="1"/>
    <col min="11" max="11" width="22.33203125" style="393" hidden="1" customWidth="1"/>
    <col min="12" max="12" width="26" style="393" hidden="1" customWidth="1"/>
    <col min="13" max="13" width="29.83203125" style="393" hidden="1" customWidth="1"/>
    <col min="14" max="15" width="29.83203125" style="393" customWidth="1"/>
    <col min="16" max="16" width="29.83203125" style="393" bestFit="1" customWidth="1"/>
    <col min="17" max="17" width="9.33203125" style="393" customWidth="1"/>
    <col min="18" max="16384" width="9.33203125" style="393"/>
  </cols>
  <sheetData>
    <row r="1" spans="1:17" ht="15.95" customHeight="1">
      <c r="A1" s="417" t="s">
        <v>20</v>
      </c>
      <c r="B1" s="418" t="s">
        <v>793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7" ht="15.95" customHeight="1">
      <c r="A2" s="417" t="s">
        <v>6</v>
      </c>
      <c r="B2" s="418" t="s">
        <v>7</v>
      </c>
      <c r="C2" s="419" t="s">
        <v>19</v>
      </c>
      <c r="D2" s="420" t="s">
        <v>2</v>
      </c>
      <c r="E2" s="420" t="s">
        <v>24</v>
      </c>
      <c r="F2" s="420" t="s">
        <v>28</v>
      </c>
      <c r="G2" s="420" t="s">
        <v>33</v>
      </c>
      <c r="H2" s="420" t="s">
        <v>40</v>
      </c>
      <c r="I2" s="420" t="s">
        <v>66</v>
      </c>
      <c r="J2" s="420" t="s">
        <v>71</v>
      </c>
      <c r="K2" s="420" t="s">
        <v>110</v>
      </c>
      <c r="L2" s="420" t="s">
        <v>166</v>
      </c>
      <c r="M2" s="420" t="s">
        <v>538</v>
      </c>
      <c r="N2" s="420" t="s">
        <v>607</v>
      </c>
      <c r="O2" s="420" t="s">
        <v>722</v>
      </c>
      <c r="P2" s="420" t="s">
        <v>34</v>
      </c>
      <c r="Q2" s="421"/>
    </row>
    <row r="3" spans="1:17" ht="15.95" customHeight="1">
      <c r="A3" s="422">
        <v>210</v>
      </c>
      <c r="B3" s="138" t="s">
        <v>95</v>
      </c>
      <c r="C3" s="103"/>
      <c r="D3" s="103"/>
      <c r="E3" s="103"/>
      <c r="F3" s="103"/>
      <c r="G3" s="103"/>
      <c r="H3" s="103"/>
      <c r="I3" s="103"/>
      <c r="J3" s="103"/>
      <c r="K3" s="102"/>
      <c r="L3" s="102"/>
      <c r="M3" s="126"/>
      <c r="N3" s="126"/>
      <c r="O3" s="126"/>
      <c r="P3" s="126"/>
    </row>
    <row r="4" spans="1:17" ht="15.95" customHeight="1">
      <c r="A4" s="422">
        <v>2110</v>
      </c>
      <c r="B4" s="138" t="s">
        <v>155</v>
      </c>
      <c r="C4" s="103"/>
      <c r="D4" s="103"/>
      <c r="E4" s="103"/>
      <c r="F4" s="103"/>
      <c r="G4" s="103"/>
      <c r="H4" s="103"/>
      <c r="I4" s="103"/>
      <c r="J4" s="103"/>
      <c r="K4" s="102"/>
      <c r="L4" s="102"/>
      <c r="M4" s="102"/>
      <c r="N4" s="102"/>
      <c r="O4" s="102"/>
      <c r="P4" s="102"/>
    </row>
    <row r="5" spans="1:17" ht="15.95" customHeight="1">
      <c r="A5" s="173">
        <v>21101</v>
      </c>
      <c r="B5" s="103" t="s">
        <v>9</v>
      </c>
      <c r="C5" s="103"/>
      <c r="D5" s="103"/>
      <c r="E5" s="103"/>
      <c r="F5" s="103"/>
      <c r="G5" s="103"/>
      <c r="H5" s="103"/>
      <c r="I5" s="103"/>
      <c r="J5" s="103"/>
      <c r="K5" s="102">
        <v>11746908400</v>
      </c>
      <c r="L5" s="102" t="e">
        <f>#REF!+72000000</f>
        <v>#REF!</v>
      </c>
      <c r="M5" s="102">
        <v>47317857600</v>
      </c>
      <c r="N5" s="102">
        <v>60402326400</v>
      </c>
      <c r="O5" s="102">
        <v>61024504320</v>
      </c>
      <c r="P5" s="102">
        <f>O5-N5</f>
        <v>622177920</v>
      </c>
    </row>
    <row r="6" spans="1:17" ht="15.95" customHeight="1">
      <c r="A6" s="173">
        <v>21102</v>
      </c>
      <c r="B6" s="103" t="s">
        <v>452</v>
      </c>
      <c r="C6" s="103"/>
      <c r="D6" s="103"/>
      <c r="E6" s="103"/>
      <c r="F6" s="103"/>
      <c r="G6" s="103"/>
      <c r="H6" s="103"/>
      <c r="I6" s="103"/>
      <c r="J6" s="103"/>
      <c r="K6" s="102">
        <v>0</v>
      </c>
      <c r="L6" s="102">
        <v>0</v>
      </c>
      <c r="M6" s="102">
        <v>591022000</v>
      </c>
      <c r="N6" s="102">
        <v>194400000</v>
      </c>
      <c r="O6" s="102">
        <v>194400000</v>
      </c>
      <c r="P6" s="102">
        <f t="shared" ref="P6:P71" si="0">O6-N6</f>
        <v>0</v>
      </c>
    </row>
    <row r="7" spans="1:17" ht="15.95" customHeight="1">
      <c r="A7" s="173">
        <v>21103</v>
      </c>
      <c r="B7" s="103" t="s">
        <v>11</v>
      </c>
      <c r="C7" s="138"/>
      <c r="D7" s="138"/>
      <c r="E7" s="138"/>
      <c r="F7" s="138"/>
      <c r="G7" s="138"/>
      <c r="H7" s="138"/>
      <c r="I7" s="138"/>
      <c r="J7" s="138"/>
      <c r="K7" s="102">
        <v>105600000</v>
      </c>
      <c r="L7" s="102">
        <f>K7+10800000</f>
        <v>116400000</v>
      </c>
      <c r="M7" s="102">
        <v>298800000</v>
      </c>
      <c r="N7" s="102">
        <v>432000000</v>
      </c>
      <c r="O7" s="102">
        <v>432000000</v>
      </c>
      <c r="P7" s="102">
        <f t="shared" si="0"/>
        <v>0</v>
      </c>
    </row>
    <row r="8" spans="1:17" ht="15.95" customHeight="1">
      <c r="A8" s="173">
        <v>21105</v>
      </c>
      <c r="B8" s="103" t="s">
        <v>339</v>
      </c>
      <c r="C8" s="138"/>
      <c r="D8" s="138"/>
      <c r="E8" s="138"/>
      <c r="F8" s="138"/>
      <c r="G8" s="138"/>
      <c r="H8" s="138"/>
      <c r="I8" s="138"/>
      <c r="J8" s="138"/>
      <c r="K8" s="102"/>
      <c r="L8" s="102">
        <v>18000000</v>
      </c>
      <c r="M8" s="102">
        <f>L8</f>
        <v>18000000</v>
      </c>
      <c r="N8" s="102">
        <f>M8</f>
        <v>18000000</v>
      </c>
      <c r="O8" s="102">
        <f>N8</f>
        <v>18000000</v>
      </c>
      <c r="P8" s="102">
        <f t="shared" si="0"/>
        <v>0</v>
      </c>
    </row>
    <row r="9" spans="1:17" ht="15.95" customHeight="1">
      <c r="A9" s="173"/>
      <c r="B9" s="138" t="s">
        <v>59</v>
      </c>
      <c r="C9" s="103"/>
      <c r="D9" s="103"/>
      <c r="E9" s="103"/>
      <c r="F9" s="103"/>
      <c r="G9" s="103"/>
      <c r="H9" s="103"/>
      <c r="I9" s="103"/>
      <c r="J9" s="103"/>
      <c r="K9" s="104">
        <f>SUM(K5:K7)</f>
        <v>11852508400</v>
      </c>
      <c r="L9" s="104" t="e">
        <f>L8+L7+L5+L6</f>
        <v>#REF!</v>
      </c>
      <c r="M9" s="104">
        <f>SUM(M5:M8)</f>
        <v>48225679600</v>
      </c>
      <c r="N9" s="104">
        <f>SUM(N5:N8)</f>
        <v>61046726400</v>
      </c>
      <c r="O9" s="104">
        <f>SUM(O5:O8)</f>
        <v>61668904320</v>
      </c>
      <c r="P9" s="104">
        <f t="shared" si="0"/>
        <v>622177920</v>
      </c>
    </row>
    <row r="10" spans="1:17" ht="15.95" customHeight="1">
      <c r="A10" s="422">
        <v>220</v>
      </c>
      <c r="B10" s="138" t="s">
        <v>159</v>
      </c>
      <c r="C10" s="138"/>
      <c r="D10" s="138"/>
      <c r="E10" s="138"/>
      <c r="F10" s="138"/>
      <c r="G10" s="138"/>
      <c r="H10" s="138"/>
      <c r="I10" s="138"/>
      <c r="J10" s="138"/>
      <c r="K10" s="102"/>
      <c r="L10" s="102"/>
      <c r="M10" s="102"/>
      <c r="N10" s="102"/>
      <c r="O10" s="102"/>
      <c r="P10" s="102">
        <f t="shared" si="0"/>
        <v>0</v>
      </c>
    </row>
    <row r="11" spans="1:17" ht="15.95" customHeight="1">
      <c r="A11" s="422">
        <v>2210</v>
      </c>
      <c r="B11" s="138" t="s">
        <v>160</v>
      </c>
      <c r="C11" s="103"/>
      <c r="D11" s="103"/>
      <c r="E11" s="103"/>
      <c r="F11" s="103"/>
      <c r="G11" s="103"/>
      <c r="H11" s="103"/>
      <c r="I11" s="103"/>
      <c r="J11" s="103"/>
      <c r="K11" s="102"/>
      <c r="L11" s="102"/>
      <c r="M11" s="102"/>
      <c r="N11" s="102"/>
      <c r="O11" s="102"/>
      <c r="P11" s="102">
        <f t="shared" si="0"/>
        <v>0</v>
      </c>
    </row>
    <row r="12" spans="1:17" ht="15.95" customHeight="1">
      <c r="A12" s="173">
        <v>22101</v>
      </c>
      <c r="B12" s="103" t="s">
        <v>14</v>
      </c>
      <c r="C12" s="103"/>
      <c r="D12" s="103"/>
      <c r="E12" s="103"/>
      <c r="F12" s="103"/>
      <c r="G12" s="103"/>
      <c r="H12" s="103"/>
      <c r="I12" s="103"/>
      <c r="J12" s="103"/>
      <c r="K12" s="102">
        <v>33516000</v>
      </c>
      <c r="L12" s="102">
        <f>33516000*70%</f>
        <v>23461200</v>
      </c>
      <c r="M12" s="102">
        <f>33516000*70%</f>
        <v>23461200</v>
      </c>
      <c r="N12" s="102">
        <f>33516000*70%</f>
        <v>23461200</v>
      </c>
      <c r="O12" s="102">
        <f>33516000*70%</f>
        <v>23461200</v>
      </c>
      <c r="P12" s="102">
        <f t="shared" si="0"/>
        <v>0</v>
      </c>
    </row>
    <row r="13" spans="1:17" ht="15.95" customHeight="1">
      <c r="A13" s="173">
        <v>22104</v>
      </c>
      <c r="B13" s="103" t="s">
        <v>116</v>
      </c>
      <c r="C13" s="103"/>
      <c r="D13" s="103"/>
      <c r="E13" s="103"/>
      <c r="F13" s="103"/>
      <c r="G13" s="103"/>
      <c r="H13" s="103"/>
      <c r="I13" s="103"/>
      <c r="J13" s="103"/>
      <c r="K13" s="102">
        <v>71894940</v>
      </c>
      <c r="L13" s="102">
        <f>K13*70%</f>
        <v>50326458</v>
      </c>
      <c r="M13" s="102">
        <v>70326458</v>
      </c>
      <c r="N13" s="102">
        <v>70326458</v>
      </c>
      <c r="O13" s="102">
        <v>70326458</v>
      </c>
      <c r="P13" s="102">
        <f t="shared" si="0"/>
        <v>0</v>
      </c>
    </row>
    <row r="14" spans="1:17" ht="15.95" customHeight="1">
      <c r="A14" s="173">
        <v>22105</v>
      </c>
      <c r="B14" s="103" t="s">
        <v>332</v>
      </c>
      <c r="C14" s="103"/>
      <c r="D14" s="103"/>
      <c r="E14" s="103"/>
      <c r="F14" s="103"/>
      <c r="G14" s="103"/>
      <c r="H14" s="103"/>
      <c r="I14" s="103"/>
      <c r="J14" s="103"/>
      <c r="K14" s="102"/>
      <c r="L14" s="102">
        <v>0</v>
      </c>
      <c r="M14" s="102">
        <v>32400000</v>
      </c>
      <c r="N14" s="102">
        <v>32400000</v>
      </c>
      <c r="O14" s="102">
        <v>32400000</v>
      </c>
      <c r="P14" s="102">
        <f t="shared" si="0"/>
        <v>0</v>
      </c>
    </row>
    <row r="15" spans="1:17" ht="15.95" customHeight="1">
      <c r="A15" s="173">
        <v>22106</v>
      </c>
      <c r="B15" s="103" t="s">
        <v>439</v>
      </c>
      <c r="C15" s="103"/>
      <c r="D15" s="103"/>
      <c r="E15" s="103"/>
      <c r="F15" s="103"/>
      <c r="G15" s="103"/>
      <c r="H15" s="103"/>
      <c r="I15" s="103"/>
      <c r="J15" s="103"/>
      <c r="K15" s="102">
        <v>111720000</v>
      </c>
      <c r="L15" s="102">
        <f>111720000*70%</f>
        <v>78204000</v>
      </c>
      <c r="M15" s="102">
        <v>113000000</v>
      </c>
      <c r="N15" s="102">
        <v>1313000000</v>
      </c>
      <c r="O15" s="102">
        <v>2313000000</v>
      </c>
      <c r="P15" s="102">
        <f t="shared" si="0"/>
        <v>1000000000</v>
      </c>
    </row>
    <row r="16" spans="1:17" ht="15.95" customHeight="1">
      <c r="A16" s="173">
        <v>22107</v>
      </c>
      <c r="B16" s="103" t="s">
        <v>30</v>
      </c>
      <c r="C16" s="103"/>
      <c r="D16" s="103"/>
      <c r="E16" s="103"/>
      <c r="F16" s="103"/>
      <c r="G16" s="103"/>
      <c r="H16" s="103"/>
      <c r="I16" s="103"/>
      <c r="J16" s="103"/>
      <c r="K16" s="102">
        <v>50000000</v>
      </c>
      <c r="L16" s="102">
        <v>35000000</v>
      </c>
      <c r="M16" s="102">
        <v>24500000</v>
      </c>
      <c r="N16" s="102">
        <f>M16</f>
        <v>24500000</v>
      </c>
      <c r="O16" s="102">
        <f>N16</f>
        <v>24500000</v>
      </c>
      <c r="P16" s="102">
        <f t="shared" si="0"/>
        <v>0</v>
      </c>
    </row>
    <row r="17" spans="1:16" ht="15.95" customHeight="1">
      <c r="A17" s="173">
        <v>22108</v>
      </c>
      <c r="B17" s="103" t="s">
        <v>870</v>
      </c>
      <c r="C17" s="103"/>
      <c r="D17" s="103"/>
      <c r="E17" s="103"/>
      <c r="F17" s="103"/>
      <c r="G17" s="103"/>
      <c r="H17" s="103"/>
      <c r="I17" s="103"/>
      <c r="J17" s="103"/>
      <c r="K17" s="102"/>
      <c r="L17" s="102"/>
      <c r="M17" s="102"/>
      <c r="N17" s="102">
        <v>0</v>
      </c>
      <c r="O17" s="102">
        <v>36000000</v>
      </c>
      <c r="P17" s="102">
        <f t="shared" si="0"/>
        <v>36000000</v>
      </c>
    </row>
    <row r="18" spans="1:16" ht="15.95" customHeight="1">
      <c r="A18" s="173">
        <v>22109</v>
      </c>
      <c r="B18" s="103" t="s">
        <v>94</v>
      </c>
      <c r="C18" s="103"/>
      <c r="D18" s="103"/>
      <c r="E18" s="103"/>
      <c r="F18" s="103"/>
      <c r="G18" s="103"/>
      <c r="H18" s="103"/>
      <c r="I18" s="103"/>
      <c r="J18" s="103"/>
      <c r="K18" s="102">
        <v>10000000</v>
      </c>
      <c r="L18" s="102">
        <f>10000000*70%</f>
        <v>7000000</v>
      </c>
      <c r="M18" s="102">
        <v>17000000</v>
      </c>
      <c r="N18" s="102">
        <v>17000000</v>
      </c>
      <c r="O18" s="102">
        <v>17000000</v>
      </c>
      <c r="P18" s="102">
        <f t="shared" si="0"/>
        <v>0</v>
      </c>
    </row>
    <row r="19" spans="1:16" ht="15.95" customHeight="1">
      <c r="A19" s="173">
        <v>22112</v>
      </c>
      <c r="B19" s="103" t="s">
        <v>16</v>
      </c>
      <c r="C19" s="138"/>
      <c r="D19" s="138"/>
      <c r="E19" s="138"/>
      <c r="F19" s="138"/>
      <c r="G19" s="138"/>
      <c r="H19" s="138"/>
      <c r="I19" s="138"/>
      <c r="J19" s="138"/>
      <c r="K19" s="102">
        <v>75000000</v>
      </c>
      <c r="L19" s="102">
        <v>52500000</v>
      </c>
      <c r="M19" s="102">
        <v>300000000</v>
      </c>
      <c r="N19" s="102">
        <v>300000000</v>
      </c>
      <c r="O19" s="102">
        <v>300000000</v>
      </c>
      <c r="P19" s="102">
        <f t="shared" si="0"/>
        <v>0</v>
      </c>
    </row>
    <row r="20" spans="1:16" ht="15.95" customHeight="1">
      <c r="A20" s="173">
        <v>22129</v>
      </c>
      <c r="B20" s="103" t="s">
        <v>258</v>
      </c>
      <c r="C20" s="103"/>
      <c r="D20" s="103"/>
      <c r="E20" s="103"/>
      <c r="F20" s="103"/>
      <c r="G20" s="103"/>
      <c r="H20" s="103"/>
      <c r="I20" s="103"/>
      <c r="J20" s="103"/>
      <c r="K20" s="102">
        <v>10000000</v>
      </c>
      <c r="L20" s="102">
        <f>10000000*70%</f>
        <v>7000000</v>
      </c>
      <c r="M20" s="102">
        <f>L20</f>
        <v>7000000</v>
      </c>
      <c r="N20" s="102">
        <f>M20</f>
        <v>7000000</v>
      </c>
      <c r="O20" s="102">
        <f>N20</f>
        <v>7000000</v>
      </c>
      <c r="P20" s="102">
        <f t="shared" si="0"/>
        <v>0</v>
      </c>
    </row>
    <row r="21" spans="1:16" ht="15.95" customHeight="1">
      <c r="A21" s="173">
        <v>22132</v>
      </c>
      <c r="B21" s="103" t="s">
        <v>144</v>
      </c>
      <c r="C21" s="103"/>
      <c r="D21" s="103"/>
      <c r="E21" s="103"/>
      <c r="F21" s="103"/>
      <c r="G21" s="103"/>
      <c r="H21" s="103"/>
      <c r="I21" s="103"/>
      <c r="J21" s="103"/>
      <c r="K21" s="102">
        <v>37240000</v>
      </c>
      <c r="L21" s="102">
        <f>37240000*70%</f>
        <v>26068000</v>
      </c>
      <c r="M21" s="102">
        <v>0</v>
      </c>
      <c r="N21" s="102">
        <v>0</v>
      </c>
      <c r="O21" s="102">
        <v>0</v>
      </c>
      <c r="P21" s="102">
        <f t="shared" si="0"/>
        <v>0</v>
      </c>
    </row>
    <row r="22" spans="1:16" ht="15.95" customHeight="1">
      <c r="A22" s="173">
        <v>22134</v>
      </c>
      <c r="B22" s="103" t="s">
        <v>660</v>
      </c>
      <c r="C22" s="103"/>
      <c r="D22" s="103"/>
      <c r="E22" s="103"/>
      <c r="F22" s="103"/>
      <c r="G22" s="103"/>
      <c r="H22" s="103"/>
      <c r="I22" s="103"/>
      <c r="J22" s="103"/>
      <c r="K22" s="102"/>
      <c r="L22" s="102"/>
      <c r="M22" s="102">
        <v>0</v>
      </c>
      <c r="N22" s="102">
        <v>300000000</v>
      </c>
      <c r="O22" s="102">
        <v>300000000</v>
      </c>
      <c r="P22" s="102">
        <f t="shared" si="0"/>
        <v>0</v>
      </c>
    </row>
    <row r="23" spans="1:16" ht="15.95" customHeight="1">
      <c r="A23" s="173">
        <v>22137</v>
      </c>
      <c r="B23" s="103" t="s">
        <v>180</v>
      </c>
      <c r="C23" s="103"/>
      <c r="D23" s="103"/>
      <c r="E23" s="103"/>
      <c r="F23" s="103"/>
      <c r="G23" s="103"/>
      <c r="H23" s="103"/>
      <c r="I23" s="103"/>
      <c r="J23" s="103"/>
      <c r="K23" s="102">
        <v>10000000</v>
      </c>
      <c r="L23" s="102">
        <f>10000000*70%</f>
        <v>7000000</v>
      </c>
      <c r="M23" s="102">
        <f>10000000*70%</f>
        <v>7000000</v>
      </c>
      <c r="N23" s="102">
        <f>10000000*70%</f>
        <v>7000000</v>
      </c>
      <c r="O23" s="102">
        <f>10000000*70%</f>
        <v>7000000</v>
      </c>
      <c r="P23" s="102">
        <f t="shared" si="0"/>
        <v>0</v>
      </c>
    </row>
    <row r="24" spans="1:16" ht="15.95" customHeight="1">
      <c r="A24" s="173">
        <v>22141</v>
      </c>
      <c r="B24" s="103" t="s">
        <v>395</v>
      </c>
      <c r="C24" s="103"/>
      <c r="D24" s="103"/>
      <c r="E24" s="103"/>
      <c r="F24" s="103"/>
      <c r="G24" s="103"/>
      <c r="H24" s="103"/>
      <c r="I24" s="103"/>
      <c r="J24" s="103"/>
      <c r="K24" s="102"/>
      <c r="L24" s="102">
        <v>0</v>
      </c>
      <c r="M24" s="102"/>
      <c r="N24" s="102"/>
      <c r="O24" s="102"/>
      <c r="P24" s="102">
        <f t="shared" si="0"/>
        <v>0</v>
      </c>
    </row>
    <row r="25" spans="1:16" ht="15.95" customHeight="1">
      <c r="A25" s="173">
        <v>22166</v>
      </c>
      <c r="B25" s="103" t="s">
        <v>585</v>
      </c>
      <c r="C25" s="103"/>
      <c r="D25" s="103"/>
      <c r="E25" s="103"/>
      <c r="F25" s="103"/>
      <c r="G25" s="103"/>
      <c r="H25" s="103"/>
      <c r="I25" s="103"/>
      <c r="J25" s="103"/>
      <c r="K25" s="102"/>
      <c r="L25" s="102"/>
      <c r="M25" s="102">
        <v>60000000</v>
      </c>
      <c r="N25" s="102">
        <v>120000000</v>
      </c>
      <c r="O25" s="102">
        <v>180000000</v>
      </c>
      <c r="P25" s="102">
        <f t="shared" si="0"/>
        <v>60000000</v>
      </c>
    </row>
    <row r="26" spans="1:16" ht="15.95" customHeight="1">
      <c r="A26" s="173"/>
      <c r="B26" s="138" t="s">
        <v>59</v>
      </c>
      <c r="C26" s="103"/>
      <c r="D26" s="103"/>
      <c r="E26" s="103"/>
      <c r="F26" s="103"/>
      <c r="G26" s="103"/>
      <c r="H26" s="103"/>
      <c r="I26" s="103"/>
      <c r="J26" s="103"/>
      <c r="K26" s="104">
        <f>SUM(K12:K23)</f>
        <v>409370940</v>
      </c>
      <c r="L26" s="104">
        <f>SUM(L12:L23)</f>
        <v>286559658</v>
      </c>
      <c r="M26" s="104">
        <f>SUM(M12:M25)</f>
        <v>654687658</v>
      </c>
      <c r="N26" s="104">
        <f>SUM(N12:N25)</f>
        <v>2214687658</v>
      </c>
      <c r="O26" s="104">
        <f>SUM(O12:O25)</f>
        <v>3310687658</v>
      </c>
      <c r="P26" s="104">
        <f t="shared" si="0"/>
        <v>1096000000</v>
      </c>
    </row>
    <row r="27" spans="1:16" ht="15.95" customHeight="1">
      <c r="A27" s="422">
        <v>2220</v>
      </c>
      <c r="B27" s="138" t="s">
        <v>161</v>
      </c>
      <c r="C27" s="103"/>
      <c r="D27" s="103"/>
      <c r="E27" s="103"/>
      <c r="F27" s="103"/>
      <c r="G27" s="103"/>
      <c r="H27" s="103"/>
      <c r="I27" s="103"/>
      <c r="J27" s="103"/>
      <c r="K27" s="102"/>
      <c r="L27" s="102"/>
      <c r="M27" s="102"/>
      <c r="N27" s="102"/>
      <c r="O27" s="102"/>
      <c r="P27" s="102">
        <f t="shared" si="0"/>
        <v>0</v>
      </c>
    </row>
    <row r="28" spans="1:16" ht="15.95" customHeight="1">
      <c r="A28" s="173">
        <v>22202</v>
      </c>
      <c r="B28" s="103" t="s">
        <v>91</v>
      </c>
      <c r="C28" s="103"/>
      <c r="D28" s="103"/>
      <c r="E28" s="103"/>
      <c r="F28" s="103"/>
      <c r="G28" s="103"/>
      <c r="H28" s="103"/>
      <c r="I28" s="103"/>
      <c r="J28" s="103"/>
      <c r="K28" s="102">
        <v>720000000</v>
      </c>
      <c r="L28" s="102">
        <v>504000000</v>
      </c>
      <c r="M28" s="102">
        <f>L28</f>
        <v>504000000</v>
      </c>
      <c r="N28" s="102">
        <v>604000000</v>
      </c>
      <c r="O28" s="102">
        <v>704000000</v>
      </c>
      <c r="P28" s="102">
        <f t="shared" si="0"/>
        <v>100000000</v>
      </c>
    </row>
    <row r="29" spans="1:16" ht="15.95" customHeight="1">
      <c r="A29" s="173">
        <v>22203</v>
      </c>
      <c r="B29" s="103" t="s">
        <v>85</v>
      </c>
      <c r="C29" s="103"/>
      <c r="D29" s="103"/>
      <c r="E29" s="103"/>
      <c r="F29" s="103"/>
      <c r="G29" s="103"/>
      <c r="H29" s="103"/>
      <c r="I29" s="103"/>
      <c r="J29" s="103"/>
      <c r="K29" s="102">
        <v>40000000</v>
      </c>
      <c r="L29" s="102">
        <v>28000000</v>
      </c>
      <c r="M29" s="102">
        <v>28000000</v>
      </c>
      <c r="N29" s="102">
        <v>38000000</v>
      </c>
      <c r="O29" s="102">
        <v>38000000</v>
      </c>
      <c r="P29" s="102">
        <f t="shared" si="0"/>
        <v>0</v>
      </c>
    </row>
    <row r="30" spans="1:16" ht="15.95" customHeight="1">
      <c r="A30" s="173">
        <v>22204</v>
      </c>
      <c r="B30" s="103" t="s">
        <v>86</v>
      </c>
      <c r="C30" s="103"/>
      <c r="D30" s="103"/>
      <c r="E30" s="103"/>
      <c r="F30" s="103"/>
      <c r="G30" s="103"/>
      <c r="H30" s="103"/>
      <c r="I30" s="103"/>
      <c r="J30" s="103"/>
      <c r="K30" s="102">
        <v>14896000</v>
      </c>
      <c r="L30" s="102">
        <f>14896000*70%</f>
        <v>10427200</v>
      </c>
      <c r="M30" s="102">
        <f>14896000*70%</f>
        <v>10427200</v>
      </c>
      <c r="N30" s="102">
        <f>14896000*70%</f>
        <v>10427200</v>
      </c>
      <c r="O30" s="102">
        <f>14896000*70%</f>
        <v>10427200</v>
      </c>
      <c r="P30" s="102">
        <f t="shared" si="0"/>
        <v>0</v>
      </c>
    </row>
    <row r="31" spans="1:16" ht="15.95" customHeight="1">
      <c r="A31" s="173">
        <v>22208</v>
      </c>
      <c r="B31" s="103" t="s">
        <v>359</v>
      </c>
      <c r="C31" s="103"/>
      <c r="D31" s="103"/>
      <c r="E31" s="103"/>
      <c r="F31" s="103"/>
      <c r="G31" s="103"/>
      <c r="H31" s="103"/>
      <c r="I31" s="103"/>
      <c r="J31" s="103"/>
      <c r="K31" s="102"/>
      <c r="L31" s="102"/>
      <c r="M31" s="102">
        <v>0</v>
      </c>
      <c r="N31" s="102">
        <v>0</v>
      </c>
      <c r="O31" s="102">
        <v>0</v>
      </c>
      <c r="P31" s="102">
        <f t="shared" si="0"/>
        <v>0</v>
      </c>
    </row>
    <row r="32" spans="1:16" ht="15.95" customHeight="1">
      <c r="A32" s="173">
        <v>22208</v>
      </c>
      <c r="B32" s="103" t="s">
        <v>440</v>
      </c>
      <c r="C32" s="103"/>
      <c r="D32" s="103"/>
      <c r="E32" s="103"/>
      <c r="F32" s="103"/>
      <c r="G32" s="103"/>
      <c r="H32" s="103"/>
      <c r="I32" s="103"/>
      <c r="J32" s="103"/>
      <c r="K32" s="102"/>
      <c r="L32" s="102">
        <v>0</v>
      </c>
      <c r="M32" s="102">
        <v>60000000</v>
      </c>
      <c r="N32" s="102">
        <v>60000000</v>
      </c>
      <c r="O32" s="102">
        <v>60000000</v>
      </c>
      <c r="P32" s="102">
        <f t="shared" si="0"/>
        <v>0</v>
      </c>
    </row>
    <row r="33" spans="1:16" ht="15.95" customHeight="1">
      <c r="A33" s="173">
        <v>22208</v>
      </c>
      <c r="B33" s="103" t="s">
        <v>658</v>
      </c>
      <c r="C33" s="103"/>
      <c r="D33" s="103"/>
      <c r="E33" s="103"/>
      <c r="F33" s="103"/>
      <c r="G33" s="103"/>
      <c r="H33" s="103"/>
      <c r="I33" s="103"/>
      <c r="J33" s="103"/>
      <c r="K33" s="102"/>
      <c r="L33" s="102"/>
      <c r="M33" s="102">
        <v>0</v>
      </c>
      <c r="N33" s="102">
        <v>60000000</v>
      </c>
      <c r="O33" s="102">
        <v>60000000</v>
      </c>
      <c r="P33" s="102">
        <f t="shared" si="0"/>
        <v>0</v>
      </c>
    </row>
    <row r="34" spans="1:16" ht="15.95" customHeight="1">
      <c r="A34" s="173">
        <v>22208</v>
      </c>
      <c r="B34" s="103" t="s">
        <v>659</v>
      </c>
      <c r="C34" s="103"/>
      <c r="D34" s="103"/>
      <c r="E34" s="103"/>
      <c r="F34" s="103"/>
      <c r="G34" s="103"/>
      <c r="H34" s="103"/>
      <c r="I34" s="103"/>
      <c r="J34" s="103"/>
      <c r="K34" s="102"/>
      <c r="L34" s="102"/>
      <c r="M34" s="102"/>
      <c r="N34" s="102">
        <v>120000000</v>
      </c>
      <c r="O34" s="102">
        <v>120000000</v>
      </c>
      <c r="P34" s="102">
        <f t="shared" si="0"/>
        <v>0</v>
      </c>
    </row>
    <row r="35" spans="1:16" ht="15.95" customHeight="1">
      <c r="A35" s="173">
        <v>22209</v>
      </c>
      <c r="B35" s="103" t="s">
        <v>145</v>
      </c>
      <c r="C35" s="103"/>
      <c r="D35" s="103"/>
      <c r="E35" s="103"/>
      <c r="F35" s="103"/>
      <c r="G35" s="103"/>
      <c r="H35" s="103"/>
      <c r="I35" s="103"/>
      <c r="J35" s="103"/>
      <c r="K35" s="102">
        <v>50000000</v>
      </c>
      <c r="L35" s="102">
        <f>50000000*70%</f>
        <v>35000000</v>
      </c>
      <c r="M35" s="102">
        <v>0</v>
      </c>
      <c r="N35" s="102">
        <v>0</v>
      </c>
      <c r="O35" s="102">
        <v>0</v>
      </c>
      <c r="P35" s="102">
        <f t="shared" si="0"/>
        <v>0</v>
      </c>
    </row>
    <row r="36" spans="1:16" ht="15.95" customHeight="1">
      <c r="A36" s="173"/>
      <c r="B36" s="138" t="s">
        <v>59</v>
      </c>
      <c r="C36" s="103"/>
      <c r="D36" s="103"/>
      <c r="E36" s="103"/>
      <c r="F36" s="103"/>
      <c r="G36" s="103"/>
      <c r="H36" s="103"/>
      <c r="I36" s="103"/>
      <c r="J36" s="103"/>
      <c r="K36" s="104">
        <f>SUM(K28:K35)</f>
        <v>824896000</v>
      </c>
      <c r="L36" s="104">
        <f>SUM(L28:L35)</f>
        <v>577427200</v>
      </c>
      <c r="M36" s="104">
        <f>SUM(M28:M35)</f>
        <v>602427200</v>
      </c>
      <c r="N36" s="104">
        <f>SUM(N28:N35)</f>
        <v>892427200</v>
      </c>
      <c r="O36" s="104">
        <f>SUM(O28:O35)</f>
        <v>992427200</v>
      </c>
      <c r="P36" s="104">
        <f t="shared" si="0"/>
        <v>100000000</v>
      </c>
    </row>
    <row r="37" spans="1:16" ht="15.95" customHeight="1">
      <c r="A37" s="422">
        <v>2230</v>
      </c>
      <c r="B37" s="138" t="s">
        <v>88</v>
      </c>
      <c r="C37" s="103"/>
      <c r="D37" s="103"/>
      <c r="E37" s="103"/>
      <c r="F37" s="103"/>
      <c r="G37" s="103"/>
      <c r="H37" s="103"/>
      <c r="I37" s="103"/>
      <c r="J37" s="103"/>
      <c r="K37" s="102"/>
      <c r="L37" s="102"/>
      <c r="M37" s="102"/>
      <c r="N37" s="102"/>
      <c r="O37" s="102"/>
      <c r="P37" s="102">
        <f t="shared" si="0"/>
        <v>0</v>
      </c>
    </row>
    <row r="38" spans="1:16" ht="15.95" customHeight="1">
      <c r="A38" s="173">
        <v>22301</v>
      </c>
      <c r="B38" s="103" t="s">
        <v>31</v>
      </c>
      <c r="C38" s="103"/>
      <c r="D38" s="103"/>
      <c r="E38" s="103"/>
      <c r="F38" s="103"/>
      <c r="G38" s="103"/>
      <c r="H38" s="103"/>
      <c r="I38" s="103"/>
      <c r="J38" s="103"/>
      <c r="K38" s="102">
        <v>126000000</v>
      </c>
      <c r="L38" s="102">
        <v>88200000</v>
      </c>
      <c r="M38" s="102">
        <v>120000000</v>
      </c>
      <c r="N38" s="102">
        <v>136000000</v>
      </c>
      <c r="O38" s="102">
        <v>156000000</v>
      </c>
      <c r="P38" s="102">
        <f t="shared" si="0"/>
        <v>20000000</v>
      </c>
    </row>
    <row r="39" spans="1:16" ht="15.95" customHeight="1">
      <c r="A39" s="173">
        <v>22302</v>
      </c>
      <c r="B39" s="103" t="s">
        <v>162</v>
      </c>
      <c r="C39" s="103"/>
      <c r="D39" s="103"/>
      <c r="E39" s="103"/>
      <c r="F39" s="103"/>
      <c r="G39" s="103"/>
      <c r="H39" s="103"/>
      <c r="I39" s="103"/>
      <c r="J39" s="103"/>
      <c r="K39" s="102">
        <v>3724000</v>
      </c>
      <c r="L39" s="102">
        <f>3724000*70%</f>
        <v>2606800</v>
      </c>
      <c r="M39" s="102">
        <v>22606800</v>
      </c>
      <c r="N39" s="102">
        <v>22606800</v>
      </c>
      <c r="O39" s="102">
        <v>22606800</v>
      </c>
      <c r="P39" s="102">
        <f t="shared" si="0"/>
        <v>0</v>
      </c>
    </row>
    <row r="40" spans="1:16" ht="15.95" customHeight="1">
      <c r="A40" s="173">
        <v>22303</v>
      </c>
      <c r="B40" s="103" t="s">
        <v>753</v>
      </c>
      <c r="C40" s="103"/>
      <c r="D40" s="103"/>
      <c r="E40" s="103"/>
      <c r="F40" s="103"/>
      <c r="G40" s="103"/>
      <c r="H40" s="103"/>
      <c r="I40" s="103"/>
      <c r="J40" s="103"/>
      <c r="K40" s="102">
        <v>37240000</v>
      </c>
      <c r="L40" s="102">
        <f>115000000*70%</f>
        <v>80500000</v>
      </c>
      <c r="M40" s="102">
        <f>115000000*70%</f>
        <v>80500000</v>
      </c>
      <c r="N40" s="102">
        <f>115000000*70%</f>
        <v>80500000</v>
      </c>
      <c r="O40" s="102">
        <v>2420000000</v>
      </c>
      <c r="P40" s="102">
        <f t="shared" si="0"/>
        <v>2339500000</v>
      </c>
    </row>
    <row r="41" spans="1:16" ht="15.95" customHeight="1">
      <c r="A41" s="173">
        <v>22314</v>
      </c>
      <c r="B41" s="103" t="s">
        <v>163</v>
      </c>
      <c r="C41" s="103"/>
      <c r="D41" s="103"/>
      <c r="E41" s="103"/>
      <c r="F41" s="103"/>
      <c r="G41" s="103"/>
      <c r="H41" s="103"/>
      <c r="I41" s="103"/>
      <c r="J41" s="103"/>
      <c r="K41" s="102">
        <v>37240000</v>
      </c>
      <c r="L41" s="102">
        <f>37240000*70%</f>
        <v>26068000</v>
      </c>
      <c r="M41" s="102">
        <f>37240000*70%</f>
        <v>26068000</v>
      </c>
      <c r="N41" s="102">
        <v>26068000</v>
      </c>
      <c r="O41" s="102">
        <v>0</v>
      </c>
      <c r="P41" s="102">
        <f t="shared" si="0"/>
        <v>-26068000</v>
      </c>
    </row>
    <row r="42" spans="1:16" ht="15.95" customHeight="1">
      <c r="A42" s="173"/>
      <c r="B42" s="138" t="s">
        <v>59</v>
      </c>
      <c r="C42" s="103"/>
      <c r="D42" s="103"/>
      <c r="E42" s="103"/>
      <c r="F42" s="103"/>
      <c r="G42" s="103"/>
      <c r="H42" s="103"/>
      <c r="I42" s="103"/>
      <c r="J42" s="103"/>
      <c r="K42" s="104">
        <f>SUM(K38:K41)</f>
        <v>204204000</v>
      </c>
      <c r="L42" s="104">
        <f>SUM(L38:L41)</f>
        <v>197374800</v>
      </c>
      <c r="M42" s="104">
        <f>SUM(M38:M41)</f>
        <v>249174800</v>
      </c>
      <c r="N42" s="104">
        <f>SUM(N38:N41)</f>
        <v>265174800</v>
      </c>
      <c r="O42" s="104">
        <f>SUM(O38:O41)</f>
        <v>2598606800</v>
      </c>
      <c r="P42" s="104">
        <f t="shared" si="0"/>
        <v>2333432000</v>
      </c>
    </row>
    <row r="43" spans="1:16" ht="15.95" customHeight="1">
      <c r="A43" s="422">
        <v>230</v>
      </c>
      <c r="B43" s="138" t="s">
        <v>165</v>
      </c>
      <c r="C43" s="103"/>
      <c r="D43" s="103"/>
      <c r="E43" s="103"/>
      <c r="F43" s="103"/>
      <c r="G43" s="103"/>
      <c r="H43" s="103"/>
      <c r="I43" s="103"/>
      <c r="J43" s="103"/>
      <c r="K43" s="102"/>
      <c r="L43" s="102"/>
      <c r="M43" s="102"/>
      <c r="N43" s="102"/>
      <c r="O43" s="102"/>
      <c r="P43" s="102">
        <f t="shared" si="0"/>
        <v>0</v>
      </c>
    </row>
    <row r="44" spans="1:16" ht="15.95" customHeight="1">
      <c r="A44" s="422">
        <v>2310</v>
      </c>
      <c r="B44" s="138" t="s">
        <v>164</v>
      </c>
      <c r="C44" s="103"/>
      <c r="D44" s="103"/>
      <c r="E44" s="103"/>
      <c r="F44" s="103"/>
      <c r="G44" s="103"/>
      <c r="H44" s="103"/>
      <c r="I44" s="103"/>
      <c r="J44" s="103"/>
      <c r="K44" s="102"/>
      <c r="L44" s="102"/>
      <c r="M44" s="102"/>
      <c r="N44" s="102"/>
      <c r="O44" s="102"/>
      <c r="P44" s="102">
        <f t="shared" si="0"/>
        <v>0</v>
      </c>
    </row>
    <row r="45" spans="1:16" s="101" customFormat="1" ht="15.95" customHeight="1">
      <c r="A45" s="173">
        <v>23101</v>
      </c>
      <c r="B45" s="103" t="s">
        <v>662</v>
      </c>
      <c r="C45" s="103"/>
      <c r="D45" s="103"/>
      <c r="E45" s="103"/>
      <c r="F45" s="103"/>
      <c r="G45" s="103"/>
      <c r="H45" s="103"/>
      <c r="I45" s="103"/>
      <c r="J45" s="103"/>
      <c r="K45" s="102"/>
      <c r="L45" s="102"/>
      <c r="M45" s="102">
        <v>0</v>
      </c>
      <c r="N45" s="102">
        <v>60000000</v>
      </c>
      <c r="O45" s="102">
        <v>60000000</v>
      </c>
      <c r="P45" s="102">
        <f t="shared" si="0"/>
        <v>0</v>
      </c>
    </row>
    <row r="46" spans="1:16" ht="15.95" customHeight="1">
      <c r="A46" s="173">
        <v>23103</v>
      </c>
      <c r="B46" s="103" t="s">
        <v>106</v>
      </c>
      <c r="C46" s="419"/>
      <c r="D46" s="138">
        <v>5020564000</v>
      </c>
      <c r="E46" s="419"/>
      <c r="F46" s="140">
        <v>0</v>
      </c>
      <c r="G46" s="140"/>
      <c r="H46" s="140"/>
      <c r="I46" s="140"/>
      <c r="J46" s="140"/>
      <c r="K46" s="126">
        <v>2234400</v>
      </c>
      <c r="L46" s="126">
        <f>2234400*70%</f>
        <v>1564080</v>
      </c>
      <c r="M46" s="126">
        <v>21564080</v>
      </c>
      <c r="N46" s="126">
        <v>21564080</v>
      </c>
      <c r="O46" s="126">
        <v>21564080</v>
      </c>
      <c r="P46" s="102">
        <f t="shared" si="0"/>
        <v>0</v>
      </c>
    </row>
    <row r="47" spans="1:16" ht="15.95" customHeight="1">
      <c r="A47" s="173">
        <v>23104</v>
      </c>
      <c r="B47" s="103" t="s">
        <v>107</v>
      </c>
      <c r="C47" s="423"/>
      <c r="D47" s="139" t="e">
        <f>#REF!-D46</f>
        <v>#REF!</v>
      </c>
      <c r="E47" s="423"/>
      <c r="F47" s="423"/>
      <c r="G47" s="424">
        <v>8831235000</v>
      </c>
      <c r="H47" s="423"/>
      <c r="I47" s="423"/>
      <c r="J47" s="423"/>
      <c r="K47" s="126">
        <v>3000000</v>
      </c>
      <c r="L47" s="126">
        <f>3000000*70%</f>
        <v>2100000</v>
      </c>
      <c r="M47" s="126">
        <v>0</v>
      </c>
      <c r="N47" s="126">
        <v>0</v>
      </c>
      <c r="O47" s="126">
        <v>0</v>
      </c>
      <c r="P47" s="102">
        <f t="shared" si="0"/>
        <v>0</v>
      </c>
    </row>
    <row r="48" spans="1:16" ht="15.95" customHeight="1">
      <c r="A48" s="173">
        <v>23104</v>
      </c>
      <c r="B48" s="103" t="s">
        <v>626</v>
      </c>
      <c r="C48" s="423"/>
      <c r="D48" s="139"/>
      <c r="E48" s="423"/>
      <c r="F48" s="423"/>
      <c r="G48" s="424"/>
      <c r="H48" s="423"/>
      <c r="I48" s="423"/>
      <c r="J48" s="423"/>
      <c r="K48" s="126"/>
      <c r="L48" s="126"/>
      <c r="M48" s="126">
        <v>0</v>
      </c>
      <c r="N48" s="126">
        <v>300000000</v>
      </c>
      <c r="O48" s="126">
        <v>0</v>
      </c>
      <c r="P48" s="102">
        <f t="shared" si="0"/>
        <v>-300000000</v>
      </c>
    </row>
    <row r="49" spans="1:17" ht="15.95" customHeight="1">
      <c r="A49" s="173"/>
      <c r="B49" s="138" t="s">
        <v>59</v>
      </c>
      <c r="C49" s="423"/>
      <c r="D49" s="423"/>
      <c r="E49" s="423"/>
      <c r="F49" s="423">
        <f>1386274192-71600000-798000-176160000-12600000</f>
        <v>1125116192</v>
      </c>
      <c r="G49" s="423"/>
      <c r="H49" s="423"/>
      <c r="I49" s="423"/>
      <c r="J49" s="423"/>
      <c r="K49" s="127">
        <f>SUM(K46:K47)</f>
        <v>5234400</v>
      </c>
      <c r="L49" s="127">
        <f>SUM(L46:L47)</f>
        <v>3664080</v>
      </c>
      <c r="M49" s="127">
        <f>SUM(M46:M47)</f>
        <v>21564080</v>
      </c>
      <c r="N49" s="127">
        <f>SUM(N45:N48)</f>
        <v>381564080</v>
      </c>
      <c r="O49" s="127">
        <f>SUM(O45:O48)</f>
        <v>81564080</v>
      </c>
      <c r="P49" s="104">
        <f t="shared" si="0"/>
        <v>-300000000</v>
      </c>
    </row>
    <row r="50" spans="1:17" ht="15.95" customHeight="1">
      <c r="A50" s="422">
        <v>2320</v>
      </c>
      <c r="B50" s="138" t="s">
        <v>342</v>
      </c>
      <c r="C50" s="423"/>
      <c r="D50" s="423"/>
      <c r="E50" s="423"/>
      <c r="F50" s="423"/>
      <c r="G50" s="423"/>
      <c r="H50" s="423"/>
      <c r="I50" s="423"/>
      <c r="J50" s="423"/>
      <c r="K50" s="127"/>
      <c r="L50" s="127"/>
      <c r="M50" s="127"/>
      <c r="N50" s="127"/>
      <c r="O50" s="127"/>
      <c r="P50" s="102">
        <f t="shared" si="0"/>
        <v>0</v>
      </c>
    </row>
    <row r="51" spans="1:17" ht="15.95" customHeight="1">
      <c r="A51" s="173">
        <v>23201</v>
      </c>
      <c r="B51" s="103" t="s">
        <v>669</v>
      </c>
      <c r="C51" s="423"/>
      <c r="D51" s="423"/>
      <c r="E51" s="423"/>
      <c r="F51" s="423"/>
      <c r="G51" s="423"/>
      <c r="H51" s="423"/>
      <c r="I51" s="423"/>
      <c r="J51" s="423"/>
      <c r="K51" s="127"/>
      <c r="L51" s="127">
        <v>0</v>
      </c>
      <c r="M51" s="126">
        <v>0</v>
      </c>
      <c r="N51" s="126">
        <v>300000000</v>
      </c>
      <c r="O51" s="126">
        <v>0</v>
      </c>
      <c r="P51" s="102">
        <f t="shared" si="0"/>
        <v>-300000000</v>
      </c>
    </row>
    <row r="52" spans="1:17" ht="15.95" customHeight="1">
      <c r="A52" s="173">
        <v>23202</v>
      </c>
      <c r="B52" s="103" t="s">
        <v>442</v>
      </c>
      <c r="C52" s="423"/>
      <c r="D52" s="423"/>
      <c r="E52" s="423"/>
      <c r="F52" s="423"/>
      <c r="G52" s="423"/>
      <c r="H52" s="423"/>
      <c r="I52" s="423"/>
      <c r="J52" s="423"/>
      <c r="K52" s="127"/>
      <c r="L52" s="127">
        <v>0</v>
      </c>
      <c r="M52" s="126">
        <v>0</v>
      </c>
      <c r="N52" s="126">
        <v>0</v>
      </c>
      <c r="O52" s="126">
        <v>0</v>
      </c>
      <c r="P52" s="102">
        <f t="shared" si="0"/>
        <v>0</v>
      </c>
    </row>
    <row r="53" spans="1:17" ht="15.95" customHeight="1">
      <c r="A53" s="173">
        <v>23203</v>
      </c>
      <c r="B53" s="103" t="s">
        <v>581</v>
      </c>
      <c r="C53" s="423"/>
      <c r="D53" s="423"/>
      <c r="E53" s="423"/>
      <c r="F53" s="423"/>
      <c r="G53" s="423"/>
      <c r="H53" s="423"/>
      <c r="I53" s="423"/>
      <c r="J53" s="423"/>
      <c r="K53" s="127"/>
      <c r="L53" s="127"/>
      <c r="M53" s="126">
        <v>600000000</v>
      </c>
      <c r="N53" s="126">
        <v>0</v>
      </c>
      <c r="O53" s="126">
        <v>0</v>
      </c>
      <c r="P53" s="102">
        <f t="shared" si="0"/>
        <v>0</v>
      </c>
    </row>
    <row r="54" spans="1:17" ht="15.95" customHeight="1">
      <c r="A54" s="173">
        <v>23204</v>
      </c>
      <c r="B54" s="103" t="s">
        <v>625</v>
      </c>
      <c r="C54" s="423"/>
      <c r="D54" s="423"/>
      <c r="E54" s="423"/>
      <c r="F54" s="423"/>
      <c r="G54" s="423"/>
      <c r="H54" s="423"/>
      <c r="I54" s="423"/>
      <c r="J54" s="423"/>
      <c r="K54" s="127"/>
      <c r="L54" s="127"/>
      <c r="M54" s="126">
        <v>0</v>
      </c>
      <c r="N54" s="126">
        <v>600000000</v>
      </c>
      <c r="O54" s="126">
        <v>0</v>
      </c>
      <c r="P54" s="102">
        <f t="shared" si="0"/>
        <v>-600000000</v>
      </c>
    </row>
    <row r="55" spans="1:17" ht="15.95" customHeight="1">
      <c r="A55" s="173">
        <v>23205</v>
      </c>
      <c r="B55" s="103" t="s">
        <v>871</v>
      </c>
      <c r="C55" s="423"/>
      <c r="D55" s="423"/>
      <c r="E55" s="423"/>
      <c r="F55" s="423"/>
      <c r="G55" s="423"/>
      <c r="H55" s="423"/>
      <c r="I55" s="423"/>
      <c r="J55" s="423"/>
      <c r="K55" s="127"/>
      <c r="L55" s="127"/>
      <c r="M55" s="126">
        <v>0</v>
      </c>
      <c r="N55" s="126">
        <v>600000000</v>
      </c>
      <c r="O55" s="126">
        <v>480000000</v>
      </c>
      <c r="P55" s="102">
        <f t="shared" si="0"/>
        <v>-120000000</v>
      </c>
    </row>
    <row r="56" spans="1:17" ht="15.95" customHeight="1">
      <c r="A56" s="173">
        <v>23206</v>
      </c>
      <c r="B56" s="103" t="s">
        <v>666</v>
      </c>
      <c r="C56" s="423"/>
      <c r="D56" s="423"/>
      <c r="E56" s="423"/>
      <c r="F56" s="423"/>
      <c r="G56" s="423"/>
      <c r="H56" s="423"/>
      <c r="I56" s="423"/>
      <c r="J56" s="423"/>
      <c r="K56" s="127"/>
      <c r="L56" s="127"/>
      <c r="M56" s="126">
        <v>0</v>
      </c>
      <c r="N56" s="126">
        <v>720000000</v>
      </c>
      <c r="O56" s="126">
        <v>0</v>
      </c>
      <c r="P56" s="102">
        <f t="shared" si="0"/>
        <v>-720000000</v>
      </c>
    </row>
    <row r="57" spans="1:17" ht="15.95" customHeight="1">
      <c r="A57" s="173">
        <v>23207</v>
      </c>
      <c r="B57" s="103" t="s">
        <v>667</v>
      </c>
      <c r="C57" s="423"/>
      <c r="D57" s="423"/>
      <c r="E57" s="423"/>
      <c r="F57" s="423"/>
      <c r="G57" s="423"/>
      <c r="H57" s="423"/>
      <c r="I57" s="423"/>
      <c r="J57" s="423"/>
      <c r="K57" s="127"/>
      <c r="L57" s="127"/>
      <c r="M57" s="126">
        <v>0</v>
      </c>
      <c r="N57" s="126">
        <v>600000000</v>
      </c>
      <c r="O57" s="126">
        <v>0</v>
      </c>
      <c r="P57" s="102">
        <f t="shared" si="0"/>
        <v>-600000000</v>
      </c>
    </row>
    <row r="58" spans="1:17" ht="15.95" customHeight="1">
      <c r="A58" s="173">
        <v>23208</v>
      </c>
      <c r="B58" s="103" t="s">
        <v>661</v>
      </c>
      <c r="C58" s="423"/>
      <c r="D58" s="423"/>
      <c r="E58" s="423"/>
      <c r="F58" s="423"/>
      <c r="G58" s="423"/>
      <c r="H58" s="423"/>
      <c r="I58" s="423"/>
      <c r="J58" s="423"/>
      <c r="K58" s="127"/>
      <c r="L58" s="127"/>
      <c r="M58" s="126">
        <v>0</v>
      </c>
      <c r="N58" s="126">
        <v>300000000</v>
      </c>
      <c r="O58" s="126">
        <v>0</v>
      </c>
      <c r="P58" s="102">
        <f t="shared" si="0"/>
        <v>-300000000</v>
      </c>
    </row>
    <row r="59" spans="1:17" ht="15.95" customHeight="1">
      <c r="A59" s="173">
        <v>23209</v>
      </c>
      <c r="B59" s="103" t="s">
        <v>668</v>
      </c>
      <c r="C59" s="423"/>
      <c r="D59" s="423"/>
      <c r="E59" s="423"/>
      <c r="F59" s="423"/>
      <c r="G59" s="423"/>
      <c r="H59" s="423"/>
      <c r="I59" s="423"/>
      <c r="J59" s="423"/>
      <c r="K59" s="127"/>
      <c r="L59" s="127"/>
      <c r="M59" s="126"/>
      <c r="N59" s="126">
        <v>300000000</v>
      </c>
      <c r="O59" s="126">
        <v>0</v>
      </c>
      <c r="P59" s="102">
        <f t="shared" si="0"/>
        <v>-300000000</v>
      </c>
    </row>
    <row r="60" spans="1:17" ht="15.95" customHeight="1">
      <c r="A60" s="173">
        <v>23210</v>
      </c>
      <c r="B60" s="103" t="s">
        <v>684</v>
      </c>
      <c r="C60" s="423"/>
      <c r="D60" s="423"/>
      <c r="E60" s="423"/>
      <c r="F60" s="423"/>
      <c r="G60" s="423"/>
      <c r="H60" s="423"/>
      <c r="I60" s="423"/>
      <c r="J60" s="423"/>
      <c r="K60" s="127"/>
      <c r="L60" s="127"/>
      <c r="M60" s="126"/>
      <c r="N60" s="126">
        <v>300000000</v>
      </c>
      <c r="O60" s="126">
        <v>0</v>
      </c>
      <c r="P60" s="102">
        <f t="shared" si="0"/>
        <v>-300000000</v>
      </c>
    </row>
    <row r="61" spans="1:17" ht="15.95" customHeight="1">
      <c r="A61" s="173">
        <v>23211</v>
      </c>
      <c r="B61" s="103" t="s">
        <v>685</v>
      </c>
      <c r="C61" s="423"/>
      <c r="D61" s="423"/>
      <c r="E61" s="423"/>
      <c r="F61" s="423"/>
      <c r="G61" s="423"/>
      <c r="H61" s="423"/>
      <c r="I61" s="423"/>
      <c r="J61" s="423"/>
      <c r="K61" s="127"/>
      <c r="L61" s="127"/>
      <c r="M61" s="126"/>
      <c r="N61" s="126">
        <v>200000000</v>
      </c>
      <c r="O61" s="126">
        <v>0</v>
      </c>
      <c r="P61" s="102">
        <f t="shared" si="0"/>
        <v>-200000000</v>
      </c>
    </row>
    <row r="62" spans="1:17" ht="15.95" customHeight="1">
      <c r="A62" s="173">
        <v>23212</v>
      </c>
      <c r="B62" s="103" t="s">
        <v>688</v>
      </c>
      <c r="C62" s="423"/>
      <c r="D62" s="423"/>
      <c r="E62" s="423"/>
      <c r="F62" s="423"/>
      <c r="G62" s="423"/>
      <c r="H62" s="423"/>
      <c r="I62" s="423"/>
      <c r="J62" s="423"/>
      <c r="K62" s="127"/>
      <c r="L62" s="127"/>
      <c r="M62" s="126"/>
      <c r="N62" s="126">
        <v>600000000</v>
      </c>
      <c r="O62" s="126">
        <v>0</v>
      </c>
      <c r="P62" s="102">
        <f t="shared" si="0"/>
        <v>-600000000</v>
      </c>
    </row>
    <row r="63" spans="1:17" ht="15.95" customHeight="1">
      <c r="A63" s="173"/>
      <c r="B63" s="138" t="s">
        <v>59</v>
      </c>
      <c r="C63" s="423"/>
      <c r="D63" s="423"/>
      <c r="E63" s="423"/>
      <c r="F63" s="423"/>
      <c r="G63" s="423"/>
      <c r="H63" s="423"/>
      <c r="I63" s="423"/>
      <c r="J63" s="423"/>
      <c r="K63" s="127"/>
      <c r="L63" s="127"/>
      <c r="M63" s="127">
        <f>SUM(M51:M58)</f>
        <v>600000000</v>
      </c>
      <c r="N63" s="127">
        <f>SUM(N51:N62)</f>
        <v>4520000000</v>
      </c>
      <c r="O63" s="127">
        <f>SUM(O51:O62)</f>
        <v>480000000</v>
      </c>
      <c r="P63" s="104">
        <f>O63-N63</f>
        <v>-4040000000</v>
      </c>
    </row>
    <row r="64" spans="1:17" ht="15.95" customHeight="1">
      <c r="A64" s="425">
        <v>2630</v>
      </c>
      <c r="B64" s="426" t="s">
        <v>306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>
        <v>0</v>
      </c>
      <c r="M64" s="103"/>
      <c r="N64" s="103"/>
      <c r="O64" s="103"/>
      <c r="P64" s="102">
        <f t="shared" si="0"/>
        <v>0</v>
      </c>
      <c r="Q64" s="427"/>
    </row>
    <row r="65" spans="1:17" ht="15.95" customHeight="1">
      <c r="A65" s="173">
        <v>26301</v>
      </c>
      <c r="B65" s="428" t="s">
        <v>687</v>
      </c>
      <c r="C65" s="138"/>
      <c r="D65" s="138"/>
      <c r="E65" s="138"/>
      <c r="F65" s="138"/>
      <c r="G65" s="138"/>
      <c r="H65" s="138"/>
      <c r="I65" s="138"/>
      <c r="J65" s="138"/>
      <c r="K65" s="102"/>
      <c r="L65" s="102"/>
      <c r="M65" s="102"/>
      <c r="N65" s="102">
        <v>545714286</v>
      </c>
      <c r="O65" s="102">
        <v>1000000000</v>
      </c>
      <c r="P65" s="102">
        <f t="shared" si="0"/>
        <v>454285714</v>
      </c>
      <c r="Q65" s="427"/>
    </row>
    <row r="66" spans="1:17" ht="15.95" customHeight="1">
      <c r="A66" s="173">
        <v>26302</v>
      </c>
      <c r="B66" s="428" t="s">
        <v>690</v>
      </c>
      <c r="C66" s="138"/>
      <c r="D66" s="138"/>
      <c r="E66" s="138"/>
      <c r="F66" s="138"/>
      <c r="G66" s="138"/>
      <c r="H66" s="138"/>
      <c r="I66" s="138"/>
      <c r="J66" s="138"/>
      <c r="K66" s="102"/>
      <c r="L66" s="102"/>
      <c r="M66" s="102"/>
      <c r="N66" s="102">
        <v>700000000</v>
      </c>
      <c r="O66" s="102">
        <v>1170000000</v>
      </c>
      <c r="P66" s="102">
        <f t="shared" si="0"/>
        <v>470000000</v>
      </c>
      <c r="Q66" s="427"/>
    </row>
    <row r="67" spans="1:17" ht="15.95" customHeight="1">
      <c r="A67" s="173">
        <v>26303</v>
      </c>
      <c r="B67" s="428" t="s">
        <v>850</v>
      </c>
      <c r="C67" s="138"/>
      <c r="D67" s="138"/>
      <c r="E67" s="138"/>
      <c r="F67" s="138"/>
      <c r="G67" s="138"/>
      <c r="H67" s="138"/>
      <c r="I67" s="138"/>
      <c r="J67" s="138"/>
      <c r="K67" s="102"/>
      <c r="L67" s="102"/>
      <c r="M67" s="102"/>
      <c r="N67" s="102"/>
      <c r="O67" s="102">
        <v>100000000</v>
      </c>
      <c r="P67" s="102">
        <f t="shared" si="0"/>
        <v>100000000</v>
      </c>
      <c r="Q67" s="427"/>
    </row>
    <row r="68" spans="1:17" ht="15.95" customHeight="1">
      <c r="A68" s="173">
        <v>26304</v>
      </c>
      <c r="B68" s="428" t="s">
        <v>851</v>
      </c>
      <c r="C68" s="138"/>
      <c r="D68" s="138"/>
      <c r="E68" s="138"/>
      <c r="F68" s="138"/>
      <c r="G68" s="138"/>
      <c r="H68" s="138"/>
      <c r="I68" s="138"/>
      <c r="J68" s="138"/>
      <c r="K68" s="102"/>
      <c r="L68" s="102"/>
      <c r="M68" s="102"/>
      <c r="N68" s="102"/>
      <c r="O68" s="102">
        <v>100000000</v>
      </c>
      <c r="P68" s="102">
        <f t="shared" si="0"/>
        <v>100000000</v>
      </c>
      <c r="Q68" s="427"/>
    </row>
    <row r="69" spans="1:17" ht="15.95" customHeight="1">
      <c r="A69" s="173">
        <v>26305</v>
      </c>
      <c r="B69" s="103" t="s">
        <v>863</v>
      </c>
      <c r="C69" s="138"/>
      <c r="D69" s="138"/>
      <c r="E69" s="138"/>
      <c r="F69" s="138"/>
      <c r="G69" s="138"/>
      <c r="H69" s="138"/>
      <c r="I69" s="138"/>
      <c r="J69" s="138"/>
      <c r="K69" s="102"/>
      <c r="L69" s="102"/>
      <c r="M69" s="102"/>
      <c r="N69" s="102"/>
      <c r="O69" s="102">
        <v>300000000</v>
      </c>
      <c r="P69" s="102">
        <f t="shared" si="0"/>
        <v>300000000</v>
      </c>
      <c r="Q69" s="427"/>
    </row>
    <row r="70" spans="1:17" ht="15.95" customHeight="1">
      <c r="A70" s="173">
        <v>26306</v>
      </c>
      <c r="B70" s="103" t="s">
        <v>895</v>
      </c>
      <c r="C70" s="138"/>
      <c r="D70" s="138"/>
      <c r="E70" s="138"/>
      <c r="F70" s="138"/>
      <c r="G70" s="138"/>
      <c r="H70" s="138"/>
      <c r="I70" s="138"/>
      <c r="J70" s="138"/>
      <c r="K70" s="102"/>
      <c r="L70" s="102"/>
      <c r="M70" s="102"/>
      <c r="N70" s="102"/>
      <c r="O70" s="102">
        <v>800000000</v>
      </c>
      <c r="P70" s="102">
        <f t="shared" si="0"/>
        <v>800000000</v>
      </c>
      <c r="Q70" s="427"/>
    </row>
    <row r="71" spans="1:17" ht="15.95" customHeight="1">
      <c r="A71" s="173"/>
      <c r="B71" s="138" t="s">
        <v>59</v>
      </c>
      <c r="C71" s="103"/>
      <c r="D71" s="103"/>
      <c r="E71" s="103"/>
      <c r="F71" s="103"/>
      <c r="G71" s="103"/>
      <c r="H71" s="103"/>
      <c r="I71" s="103"/>
      <c r="J71" s="138" t="e">
        <f>SUM(#REF!)</f>
        <v>#REF!</v>
      </c>
      <c r="K71" s="138" t="e">
        <f>SUM(#REF!)</f>
        <v>#REF!</v>
      </c>
      <c r="L71" s="138" t="e">
        <f>SUM(#REF!)</f>
        <v>#REF!</v>
      </c>
      <c r="M71" s="138" t="e">
        <f>SUM(#REF!)</f>
        <v>#REF!</v>
      </c>
      <c r="N71" s="138">
        <f>SUM(N65:N66)</f>
        <v>1245714286</v>
      </c>
      <c r="O71" s="138">
        <f>SUM(O65:O70)</f>
        <v>3470000000</v>
      </c>
      <c r="P71" s="102">
        <f t="shared" si="0"/>
        <v>2224285714</v>
      </c>
      <c r="Q71" s="427"/>
    </row>
    <row r="72" spans="1:17" ht="15.95" customHeight="1">
      <c r="A72" s="173"/>
      <c r="B72" s="138" t="s">
        <v>18</v>
      </c>
      <c r="C72" s="423"/>
      <c r="D72" s="423"/>
      <c r="E72" s="423"/>
      <c r="F72" s="423"/>
      <c r="G72" s="423"/>
      <c r="H72" s="423"/>
      <c r="I72" s="423"/>
      <c r="J72" s="423"/>
      <c r="K72" s="127">
        <f>K49+K42+K36+K26+K9</f>
        <v>13296213740</v>
      </c>
      <c r="L72" s="127" t="e">
        <f>L71+L49+L42+L36+L26+L9</f>
        <v>#REF!</v>
      </c>
      <c r="M72" s="127" t="e">
        <f>M63+M49+M42+M36+M26+M9+M71</f>
        <v>#REF!</v>
      </c>
      <c r="N72" s="127">
        <f>N63+N49+N42+N36+N26+N9+N71</f>
        <v>70566294424</v>
      </c>
      <c r="O72" s="127">
        <f>O63+O49+O42+O36+O26+O9+O71</f>
        <v>72602190058</v>
      </c>
      <c r="P72" s="104">
        <f>O72-N72</f>
        <v>2035895634</v>
      </c>
    </row>
  </sheetData>
  <pageMargins left="0.45" right="0.26" top="1.07" bottom="0.52" header="0.53" footer="0.17"/>
  <pageSetup scale="58" orientation="portrait" r:id="rId1"/>
  <headerFooter>
    <oddHeader>&amp;C&amp;"Algerian,Bold"&amp;28WASAARADA WAXBARASHADA IYO TACLIINTA SARRE</oddHeader>
    <oddFooter>&amp;CN.B 2.1.1.1 waxaaku jira 250101800 oo ah Advance M/hawlgab ah &amp;R&amp;"Times New Roman,Bold"&amp;14 37</oddFooter>
  </headerFooter>
  <colBreaks count="1" manualBreakCount="1">
    <brk id="16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60" workbookViewId="0">
      <selection activeCell="AH19" sqref="AH19"/>
    </sheetView>
  </sheetViews>
  <sheetFormatPr defaultRowHeight="24.95" customHeight="1"/>
  <cols>
    <col min="1" max="1" width="18.1640625" style="376" bestFit="1" customWidth="1"/>
    <col min="2" max="2" width="78.83203125" style="181" customWidth="1"/>
    <col min="3" max="3" width="23.5" style="181" hidden="1" customWidth="1"/>
    <col min="4" max="4" width="27.6640625" style="181" hidden="1" customWidth="1"/>
    <col min="5" max="5" width="27.6640625" style="181" bestFit="1" customWidth="1"/>
    <col min="6" max="6" width="27.6640625" style="181" customWidth="1"/>
    <col min="7" max="7" width="27.6640625" style="181" bestFit="1" customWidth="1"/>
    <col min="8" max="16384" width="9.33203125" style="181"/>
  </cols>
  <sheetData>
    <row r="1" spans="1:7" ht="24.95" customHeight="1">
      <c r="A1" s="430" t="s">
        <v>20</v>
      </c>
      <c r="B1" s="354" t="s">
        <v>794</v>
      </c>
      <c r="C1" s="251"/>
      <c r="D1" s="251"/>
      <c r="E1" s="251"/>
      <c r="F1" s="251"/>
      <c r="G1" s="251"/>
    </row>
    <row r="2" spans="1:7" ht="24.95" customHeight="1">
      <c r="A2" s="430" t="s">
        <v>6</v>
      </c>
      <c r="B2" s="354" t="s">
        <v>7</v>
      </c>
      <c r="C2" s="256" t="s">
        <v>166</v>
      </c>
      <c r="D2" s="256" t="s">
        <v>538</v>
      </c>
      <c r="E2" s="256" t="s">
        <v>607</v>
      </c>
      <c r="F2" s="256" t="s">
        <v>722</v>
      </c>
      <c r="G2" s="256" t="s">
        <v>34</v>
      </c>
    </row>
    <row r="3" spans="1:7" ht="24.95" customHeight="1">
      <c r="A3" s="249">
        <v>210</v>
      </c>
      <c r="B3" s="106" t="s">
        <v>95</v>
      </c>
      <c r="C3" s="108"/>
      <c r="D3" s="108"/>
      <c r="E3" s="108"/>
      <c r="F3" s="108"/>
      <c r="G3" s="108"/>
    </row>
    <row r="4" spans="1:7" ht="24.95" customHeight="1">
      <c r="A4" s="249">
        <v>2110</v>
      </c>
      <c r="B4" s="106" t="s">
        <v>155</v>
      </c>
      <c r="C4" s="108"/>
      <c r="D4" s="108"/>
      <c r="E4" s="108"/>
      <c r="F4" s="108"/>
      <c r="G4" s="108"/>
    </row>
    <row r="5" spans="1:7" ht="24.95" customHeight="1">
      <c r="A5" s="169">
        <v>21101</v>
      </c>
      <c r="B5" s="66" t="s">
        <v>9</v>
      </c>
      <c r="C5" s="108">
        <v>0</v>
      </c>
      <c r="D5" s="108">
        <v>30513600</v>
      </c>
      <c r="E5" s="108">
        <v>164136960</v>
      </c>
      <c r="F5" s="108">
        <v>178588800</v>
      </c>
      <c r="G5" s="108">
        <f>F5-E5</f>
        <v>14451840</v>
      </c>
    </row>
    <row r="6" spans="1:7" ht="24.95" customHeight="1">
      <c r="A6" s="169">
        <v>21102</v>
      </c>
      <c r="B6" s="66" t="s">
        <v>10</v>
      </c>
      <c r="C6" s="108">
        <v>0</v>
      </c>
      <c r="D6" s="108"/>
      <c r="E6" s="108"/>
      <c r="F6" s="108"/>
      <c r="G6" s="108">
        <f t="shared" ref="G6:G47" si="0">F6-E6</f>
        <v>0</v>
      </c>
    </row>
    <row r="7" spans="1:7" ht="24.95" customHeight="1">
      <c r="A7" s="169">
        <v>21103</v>
      </c>
      <c r="B7" s="66" t="s">
        <v>444</v>
      </c>
      <c r="C7" s="108"/>
      <c r="D7" s="108">
        <v>36000000</v>
      </c>
      <c r="E7" s="108">
        <v>90000000</v>
      </c>
      <c r="F7" s="108">
        <v>108000000</v>
      </c>
      <c r="G7" s="108">
        <f t="shared" si="0"/>
        <v>18000000</v>
      </c>
    </row>
    <row r="8" spans="1:7" ht="24.95" customHeight="1">
      <c r="A8" s="169">
        <v>21105</v>
      </c>
      <c r="B8" s="66" t="s">
        <v>699</v>
      </c>
      <c r="C8" s="108"/>
      <c r="D8" s="108">
        <v>0</v>
      </c>
      <c r="E8" s="108">
        <v>50000000</v>
      </c>
      <c r="F8" s="108">
        <v>50000000</v>
      </c>
      <c r="G8" s="108">
        <f t="shared" si="0"/>
        <v>0</v>
      </c>
    </row>
    <row r="9" spans="1:7" ht="24.95" customHeight="1">
      <c r="A9" s="169"/>
      <c r="B9" s="106" t="s">
        <v>59</v>
      </c>
      <c r="C9" s="109">
        <f>SUM(C5:C7)</f>
        <v>0</v>
      </c>
      <c r="D9" s="109">
        <f>SUM(D5:D7)</f>
        <v>66513600</v>
      </c>
      <c r="E9" s="109">
        <f>SUM(E5:E8)</f>
        <v>304136960</v>
      </c>
      <c r="F9" s="109">
        <f>SUM(F5:F8)</f>
        <v>336588800</v>
      </c>
      <c r="G9" s="109">
        <f t="shared" si="0"/>
        <v>32451840</v>
      </c>
    </row>
    <row r="10" spans="1:7" ht="24.95" customHeight="1">
      <c r="A10" s="249">
        <v>220</v>
      </c>
      <c r="B10" s="106" t="s">
        <v>159</v>
      </c>
      <c r="C10" s="108"/>
      <c r="D10" s="108"/>
      <c r="E10" s="108"/>
      <c r="F10" s="108"/>
      <c r="G10" s="108">
        <f t="shared" si="0"/>
        <v>0</v>
      </c>
    </row>
    <row r="11" spans="1:7" ht="24.95" customHeight="1">
      <c r="A11" s="249">
        <v>2210</v>
      </c>
      <c r="B11" s="106" t="s">
        <v>160</v>
      </c>
      <c r="C11" s="108"/>
      <c r="D11" s="108"/>
      <c r="E11" s="108"/>
      <c r="F11" s="108"/>
      <c r="G11" s="108">
        <f t="shared" si="0"/>
        <v>0</v>
      </c>
    </row>
    <row r="12" spans="1:7" ht="24.95" customHeight="1">
      <c r="A12" s="169">
        <v>22101</v>
      </c>
      <c r="B12" s="66" t="s">
        <v>14</v>
      </c>
      <c r="C12" s="108">
        <v>121024000</v>
      </c>
      <c r="D12" s="108">
        <v>26000000</v>
      </c>
      <c r="E12" s="108">
        <v>76000000</v>
      </c>
      <c r="F12" s="108">
        <v>76000000</v>
      </c>
      <c r="G12" s="108">
        <f t="shared" si="0"/>
        <v>0</v>
      </c>
    </row>
    <row r="13" spans="1:7" ht="24.95" customHeight="1">
      <c r="A13" s="169">
        <v>22102</v>
      </c>
      <c r="B13" s="66" t="s">
        <v>235</v>
      </c>
      <c r="C13" s="108"/>
      <c r="D13" s="108">
        <v>50000000</v>
      </c>
      <c r="E13" s="108">
        <v>0</v>
      </c>
      <c r="F13" s="108">
        <v>0</v>
      </c>
      <c r="G13" s="108">
        <f t="shared" si="0"/>
        <v>0</v>
      </c>
    </row>
    <row r="14" spans="1:7" ht="24.95" customHeight="1">
      <c r="A14" s="169">
        <v>22104</v>
      </c>
      <c r="B14" s="66" t="s">
        <v>116</v>
      </c>
      <c r="C14" s="108">
        <v>20300000</v>
      </c>
      <c r="D14" s="108">
        <v>6800000</v>
      </c>
      <c r="E14" s="108">
        <v>11800000</v>
      </c>
      <c r="F14" s="108">
        <v>11800000</v>
      </c>
      <c r="G14" s="108">
        <f t="shared" si="0"/>
        <v>0</v>
      </c>
    </row>
    <row r="15" spans="1:7" ht="24.95" customHeight="1">
      <c r="A15" s="169">
        <v>22106</v>
      </c>
      <c r="B15" s="66" t="s">
        <v>84</v>
      </c>
      <c r="C15" s="108">
        <v>140000000</v>
      </c>
      <c r="D15" s="108"/>
      <c r="E15" s="108"/>
      <c r="F15" s="108"/>
      <c r="G15" s="108">
        <f t="shared" si="0"/>
        <v>0</v>
      </c>
    </row>
    <row r="16" spans="1:7" ht="24.95" customHeight="1">
      <c r="A16" s="169">
        <v>22107</v>
      </c>
      <c r="B16" s="66" t="s">
        <v>30</v>
      </c>
      <c r="C16" s="108">
        <v>50000000</v>
      </c>
      <c r="D16" s="108">
        <v>10000000</v>
      </c>
      <c r="E16" s="108">
        <v>10000000</v>
      </c>
      <c r="F16" s="108">
        <v>10000000</v>
      </c>
      <c r="G16" s="108">
        <f t="shared" si="0"/>
        <v>0</v>
      </c>
    </row>
    <row r="17" spans="1:7" ht="24.95" customHeight="1">
      <c r="A17" s="169">
        <v>22109</v>
      </c>
      <c r="B17" s="66" t="s">
        <v>94</v>
      </c>
      <c r="C17" s="108">
        <v>3976000</v>
      </c>
      <c r="D17" s="108">
        <v>6500000</v>
      </c>
      <c r="E17" s="108">
        <v>6500000</v>
      </c>
      <c r="F17" s="108">
        <v>6500000</v>
      </c>
      <c r="G17" s="108">
        <f t="shared" si="0"/>
        <v>0</v>
      </c>
    </row>
    <row r="18" spans="1:7" ht="24.95" customHeight="1">
      <c r="A18" s="169">
        <v>22112</v>
      </c>
      <c r="B18" s="66" t="s">
        <v>16</v>
      </c>
      <c r="C18" s="108">
        <v>0</v>
      </c>
      <c r="D18" s="108"/>
      <c r="E18" s="108"/>
      <c r="F18" s="108"/>
      <c r="G18" s="108">
        <f t="shared" si="0"/>
        <v>0</v>
      </c>
    </row>
    <row r="19" spans="1:7" ht="24.95" customHeight="1">
      <c r="A19" s="169">
        <v>22129</v>
      </c>
      <c r="B19" s="66" t="s">
        <v>258</v>
      </c>
      <c r="C19" s="108">
        <v>10000000</v>
      </c>
      <c r="D19" s="108"/>
      <c r="E19" s="108"/>
      <c r="F19" s="108"/>
      <c r="G19" s="108">
        <f t="shared" si="0"/>
        <v>0</v>
      </c>
    </row>
    <row r="20" spans="1:7" ht="24.95" customHeight="1">
      <c r="A20" s="169">
        <v>22132</v>
      </c>
      <c r="B20" s="66" t="s">
        <v>144</v>
      </c>
      <c r="C20" s="108">
        <v>9500000</v>
      </c>
      <c r="D20" s="108"/>
      <c r="E20" s="108"/>
      <c r="F20" s="108"/>
      <c r="G20" s="108">
        <f t="shared" si="0"/>
        <v>0</v>
      </c>
    </row>
    <row r="21" spans="1:7" ht="24.95" customHeight="1">
      <c r="A21" s="169">
        <v>22137</v>
      </c>
      <c r="B21" s="66" t="s">
        <v>180</v>
      </c>
      <c r="C21" s="108">
        <v>0</v>
      </c>
      <c r="D21" s="108"/>
      <c r="E21" s="108">
        <v>0</v>
      </c>
      <c r="F21" s="108">
        <v>0</v>
      </c>
      <c r="G21" s="108">
        <f t="shared" si="0"/>
        <v>0</v>
      </c>
    </row>
    <row r="22" spans="1:7" ht="24.95" customHeight="1">
      <c r="A22" s="169"/>
      <c r="B22" s="106" t="s">
        <v>59</v>
      </c>
      <c r="C22" s="109">
        <f>SUM(C12:C21)</f>
        <v>354800000</v>
      </c>
      <c r="D22" s="109">
        <f>SUM(D12:D21)</f>
        <v>99300000</v>
      </c>
      <c r="E22" s="109">
        <f>SUM(E12:E21)</f>
        <v>104300000</v>
      </c>
      <c r="F22" s="109">
        <f>SUM(F12:F21)</f>
        <v>104300000</v>
      </c>
      <c r="G22" s="109">
        <f t="shared" si="0"/>
        <v>0</v>
      </c>
    </row>
    <row r="23" spans="1:7" ht="24.95" customHeight="1">
      <c r="A23" s="249">
        <v>2220</v>
      </c>
      <c r="B23" s="106" t="s">
        <v>161</v>
      </c>
      <c r="C23" s="108"/>
      <c r="D23" s="108"/>
      <c r="E23" s="108"/>
      <c r="F23" s="108"/>
      <c r="G23" s="108">
        <f t="shared" si="0"/>
        <v>0</v>
      </c>
    </row>
    <row r="24" spans="1:7" ht="24.95" customHeight="1">
      <c r="A24" s="169">
        <v>22202</v>
      </c>
      <c r="B24" s="66" t="s">
        <v>91</v>
      </c>
      <c r="C24" s="108">
        <v>90000000</v>
      </c>
      <c r="D24" s="108">
        <v>80000000</v>
      </c>
      <c r="E24" s="108">
        <v>80000000</v>
      </c>
      <c r="F24" s="108">
        <v>80000000</v>
      </c>
      <c r="G24" s="108">
        <f t="shared" si="0"/>
        <v>0</v>
      </c>
    </row>
    <row r="25" spans="1:7" ht="24.95" customHeight="1">
      <c r="A25" s="169">
        <v>22203</v>
      </c>
      <c r="B25" s="66" t="s">
        <v>85</v>
      </c>
      <c r="C25" s="108">
        <v>57000000</v>
      </c>
      <c r="D25" s="108">
        <v>50000000</v>
      </c>
      <c r="E25" s="108">
        <v>50000000</v>
      </c>
      <c r="F25" s="108">
        <v>50000000</v>
      </c>
      <c r="G25" s="108">
        <f t="shared" si="0"/>
        <v>0</v>
      </c>
    </row>
    <row r="26" spans="1:7" ht="24.95" customHeight="1">
      <c r="A26" s="169">
        <v>22204</v>
      </c>
      <c r="B26" s="66" t="s">
        <v>86</v>
      </c>
      <c r="C26" s="108">
        <v>10000000</v>
      </c>
      <c r="D26" s="108">
        <v>1000000</v>
      </c>
      <c r="E26" s="108">
        <v>1000000</v>
      </c>
      <c r="F26" s="108">
        <v>1000000</v>
      </c>
      <c r="G26" s="108">
        <f t="shared" si="0"/>
        <v>0</v>
      </c>
    </row>
    <row r="27" spans="1:7" ht="24.95" customHeight="1">
      <c r="A27" s="169">
        <v>22207</v>
      </c>
      <c r="B27" s="66" t="s">
        <v>445</v>
      </c>
      <c r="C27" s="108">
        <v>0</v>
      </c>
      <c r="D27" s="108"/>
      <c r="E27" s="108"/>
      <c r="F27" s="108"/>
      <c r="G27" s="108">
        <f t="shared" si="0"/>
        <v>0</v>
      </c>
    </row>
    <row r="28" spans="1:7" ht="24.95" customHeight="1">
      <c r="A28" s="169">
        <v>22209</v>
      </c>
      <c r="B28" s="66" t="s">
        <v>145</v>
      </c>
      <c r="C28" s="108">
        <v>0</v>
      </c>
      <c r="D28" s="108"/>
      <c r="E28" s="108"/>
      <c r="F28" s="108"/>
      <c r="G28" s="108">
        <f t="shared" si="0"/>
        <v>0</v>
      </c>
    </row>
    <row r="29" spans="1:7" ht="24.95" customHeight="1">
      <c r="A29" s="169"/>
      <c r="B29" s="106" t="s">
        <v>59</v>
      </c>
      <c r="C29" s="109">
        <f>SUM(C24:C28)</f>
        <v>157000000</v>
      </c>
      <c r="D29" s="109">
        <f>SUM(D24:D28)</f>
        <v>131000000</v>
      </c>
      <c r="E29" s="109">
        <f>SUM(E24:E28)</f>
        <v>131000000</v>
      </c>
      <c r="F29" s="109">
        <f>SUM(F24:F28)</f>
        <v>131000000</v>
      </c>
      <c r="G29" s="109">
        <f t="shared" si="0"/>
        <v>0</v>
      </c>
    </row>
    <row r="30" spans="1:7" ht="24.95" customHeight="1">
      <c r="A30" s="249">
        <v>2230</v>
      </c>
      <c r="B30" s="106" t="s">
        <v>88</v>
      </c>
      <c r="C30" s="108"/>
      <c r="D30" s="108"/>
      <c r="E30" s="108"/>
      <c r="F30" s="108"/>
      <c r="G30" s="108">
        <f t="shared" si="0"/>
        <v>0</v>
      </c>
    </row>
    <row r="31" spans="1:7" ht="24.95" customHeight="1">
      <c r="A31" s="169">
        <v>22301</v>
      </c>
      <c r="B31" s="66" t="s">
        <v>31</v>
      </c>
      <c r="C31" s="108">
        <v>60000000</v>
      </c>
      <c r="D31" s="108">
        <f>C31</f>
        <v>60000000</v>
      </c>
      <c r="E31" s="108">
        <f>D31</f>
        <v>60000000</v>
      </c>
      <c r="F31" s="108">
        <f>E31</f>
        <v>60000000</v>
      </c>
      <c r="G31" s="108">
        <f t="shared" si="0"/>
        <v>0</v>
      </c>
    </row>
    <row r="32" spans="1:7" ht="24.95" customHeight="1">
      <c r="A32" s="169">
        <v>22302</v>
      </c>
      <c r="B32" s="66" t="s">
        <v>162</v>
      </c>
      <c r="C32" s="108">
        <v>5000000</v>
      </c>
      <c r="D32" s="108">
        <f>C32</f>
        <v>5000000</v>
      </c>
      <c r="E32" s="108">
        <v>0</v>
      </c>
      <c r="F32" s="108">
        <v>0</v>
      </c>
      <c r="G32" s="108">
        <f t="shared" si="0"/>
        <v>0</v>
      </c>
    </row>
    <row r="33" spans="1:13" ht="24.95" customHeight="1">
      <c r="A33" s="169">
        <v>22303</v>
      </c>
      <c r="B33" s="66" t="s">
        <v>163</v>
      </c>
      <c r="C33" s="108">
        <v>0</v>
      </c>
      <c r="D33" s="108"/>
      <c r="E33" s="108"/>
      <c r="F33" s="108"/>
      <c r="G33" s="108">
        <f t="shared" si="0"/>
        <v>0</v>
      </c>
    </row>
    <row r="34" spans="1:13" ht="24.95" customHeight="1">
      <c r="A34" s="169"/>
      <c r="B34" s="106" t="s">
        <v>59</v>
      </c>
      <c r="C34" s="109">
        <f>SUM(C31:C33)</f>
        <v>65000000</v>
      </c>
      <c r="D34" s="109">
        <f>SUM(D31:D33)</f>
        <v>65000000</v>
      </c>
      <c r="E34" s="109">
        <f>SUM(E31:E33)</f>
        <v>60000000</v>
      </c>
      <c r="F34" s="109">
        <f>SUM(F31:F33)</f>
        <v>60000000</v>
      </c>
      <c r="G34" s="109">
        <f t="shared" si="0"/>
        <v>0</v>
      </c>
    </row>
    <row r="35" spans="1:13" ht="24.95" customHeight="1">
      <c r="A35" s="249">
        <v>230</v>
      </c>
      <c r="B35" s="106" t="s">
        <v>165</v>
      </c>
      <c r="C35" s="108"/>
      <c r="D35" s="108"/>
      <c r="E35" s="108"/>
      <c r="F35" s="108"/>
      <c r="G35" s="108">
        <f t="shared" si="0"/>
        <v>0</v>
      </c>
    </row>
    <row r="36" spans="1:13" ht="24.95" customHeight="1">
      <c r="A36" s="249">
        <v>2310</v>
      </c>
      <c r="B36" s="106" t="s">
        <v>164</v>
      </c>
      <c r="C36" s="108"/>
      <c r="D36" s="108"/>
      <c r="E36" s="108"/>
      <c r="F36" s="108"/>
      <c r="G36" s="108">
        <f t="shared" si="0"/>
        <v>0</v>
      </c>
    </row>
    <row r="37" spans="1:13" ht="24.95" customHeight="1">
      <c r="A37" s="169">
        <v>23101</v>
      </c>
      <c r="B37" s="66" t="s">
        <v>344</v>
      </c>
      <c r="C37" s="108">
        <v>60000000</v>
      </c>
      <c r="D37" s="108">
        <v>0</v>
      </c>
      <c r="E37" s="108">
        <v>0</v>
      </c>
      <c r="F37" s="108">
        <v>0</v>
      </c>
      <c r="G37" s="108">
        <f t="shared" si="0"/>
        <v>0</v>
      </c>
    </row>
    <row r="38" spans="1:13" ht="24.95" customHeight="1">
      <c r="A38" s="169">
        <v>23102</v>
      </c>
      <c r="B38" s="66" t="s">
        <v>446</v>
      </c>
      <c r="C38" s="108">
        <v>100000000</v>
      </c>
      <c r="D38" s="108">
        <v>0</v>
      </c>
      <c r="E38" s="108">
        <v>0</v>
      </c>
      <c r="F38" s="108">
        <v>0</v>
      </c>
      <c r="G38" s="108">
        <f t="shared" si="0"/>
        <v>0</v>
      </c>
    </row>
    <row r="39" spans="1:13" ht="24.95" customHeight="1">
      <c r="A39" s="169">
        <v>23103</v>
      </c>
      <c r="B39" s="66" t="s">
        <v>106</v>
      </c>
      <c r="C39" s="107">
        <v>0</v>
      </c>
      <c r="D39" s="107">
        <v>0</v>
      </c>
      <c r="E39" s="107">
        <v>0</v>
      </c>
      <c r="F39" s="107">
        <v>0</v>
      </c>
      <c r="G39" s="108">
        <f t="shared" si="0"/>
        <v>0</v>
      </c>
    </row>
    <row r="40" spans="1:13" ht="24.95" customHeight="1">
      <c r="A40" s="169">
        <v>23104</v>
      </c>
      <c r="B40" s="66" t="s">
        <v>107</v>
      </c>
      <c r="C40" s="107">
        <v>6000000</v>
      </c>
      <c r="D40" s="107">
        <v>0</v>
      </c>
      <c r="E40" s="107">
        <v>0</v>
      </c>
      <c r="F40" s="107">
        <v>0</v>
      </c>
      <c r="G40" s="108">
        <f t="shared" si="0"/>
        <v>0</v>
      </c>
    </row>
    <row r="41" spans="1:13" ht="24.95" customHeight="1">
      <c r="A41" s="169"/>
      <c r="B41" s="106" t="s">
        <v>59</v>
      </c>
      <c r="C41" s="110">
        <f>SUM(C37:C40)</f>
        <v>166000000</v>
      </c>
      <c r="D41" s="110">
        <f>SUM(D37:D40)</f>
        <v>0</v>
      </c>
      <c r="E41" s="110">
        <f>SUM(E37:E40)</f>
        <v>0</v>
      </c>
      <c r="F41" s="110">
        <f>SUM(F37:F40)</f>
        <v>0</v>
      </c>
      <c r="G41" s="108">
        <f t="shared" si="0"/>
        <v>0</v>
      </c>
    </row>
    <row r="42" spans="1:13" s="378" customFormat="1" ht="24.95" customHeight="1">
      <c r="A42" s="368">
        <v>2630</v>
      </c>
      <c r="B42" s="297" t="s">
        <v>306</v>
      </c>
      <c r="C42" s="66"/>
      <c r="D42" s="66"/>
      <c r="E42" s="66"/>
      <c r="F42" s="66"/>
      <c r="G42" s="108">
        <f t="shared" si="0"/>
        <v>0</v>
      </c>
    </row>
    <row r="43" spans="1:13" ht="24.95" customHeight="1">
      <c r="A43" s="169">
        <v>26301</v>
      </c>
      <c r="B43" s="66" t="s">
        <v>345</v>
      </c>
      <c r="C43" s="108">
        <v>1280000000</v>
      </c>
      <c r="D43" s="108">
        <v>1560000000</v>
      </c>
      <c r="E43" s="108">
        <v>2300000000</v>
      </c>
      <c r="F43" s="108">
        <v>2480000000</v>
      </c>
      <c r="G43" s="108">
        <f t="shared" si="0"/>
        <v>180000000</v>
      </c>
    </row>
    <row r="44" spans="1:13" ht="24.95" customHeight="1">
      <c r="A44" s="169">
        <v>26302</v>
      </c>
      <c r="B44" s="108" t="s">
        <v>687</v>
      </c>
      <c r="C44" s="108"/>
      <c r="D44" s="108">
        <f>260000000/3500*6000</f>
        <v>445714285.71428573</v>
      </c>
      <c r="E44" s="108">
        <v>0</v>
      </c>
      <c r="F44" s="108">
        <v>0</v>
      </c>
      <c r="G44" s="108">
        <f t="shared" si="0"/>
        <v>0</v>
      </c>
      <c r="H44" s="431"/>
      <c r="I44" s="431"/>
      <c r="J44" s="431"/>
      <c r="K44" s="431"/>
      <c r="L44" s="431"/>
      <c r="M44" s="431"/>
    </row>
    <row r="45" spans="1:13" ht="24.95" customHeight="1">
      <c r="A45" s="169">
        <v>26303</v>
      </c>
      <c r="B45" s="108" t="s">
        <v>689</v>
      </c>
      <c r="C45" s="108"/>
      <c r="D45" s="108"/>
      <c r="E45" s="108">
        <v>120000000</v>
      </c>
      <c r="F45" s="108">
        <v>120000000</v>
      </c>
      <c r="G45" s="108">
        <f t="shared" si="0"/>
        <v>0</v>
      </c>
      <c r="H45" s="431"/>
      <c r="I45" s="431"/>
      <c r="J45" s="431"/>
      <c r="K45" s="431"/>
      <c r="L45" s="431"/>
      <c r="M45" s="431"/>
    </row>
    <row r="46" spans="1:13" ht="24.95" customHeight="1">
      <c r="A46" s="169"/>
      <c r="B46" s="106" t="s">
        <v>59</v>
      </c>
      <c r="C46" s="106">
        <f>SUM(C43)</f>
        <v>1280000000</v>
      </c>
      <c r="D46" s="106">
        <f>SUM(D43:D44)</f>
        <v>2005714285.7142859</v>
      </c>
      <c r="E46" s="106">
        <f>SUM(E43:E45)</f>
        <v>2420000000</v>
      </c>
      <c r="F46" s="106">
        <f>SUM(F43:F45)</f>
        <v>2600000000</v>
      </c>
      <c r="G46" s="109">
        <f t="shared" si="0"/>
        <v>180000000</v>
      </c>
    </row>
    <row r="47" spans="1:13" ht="24.95" customHeight="1">
      <c r="A47" s="169"/>
      <c r="B47" s="106" t="s">
        <v>18</v>
      </c>
      <c r="C47" s="110" t="e">
        <f>#REF!+C46+C41+C34+C29+C22</f>
        <v>#REF!</v>
      </c>
      <c r="D47" s="110">
        <f>D46+D34+D29+D22+D9+D41</f>
        <v>2367527885.7142859</v>
      </c>
      <c r="E47" s="110">
        <f>E46+E34+E29+E22+E9+E41</f>
        <v>3019436960</v>
      </c>
      <c r="F47" s="110">
        <f>F46+F34+F29+F22+F9+F41</f>
        <v>3231888800</v>
      </c>
      <c r="G47" s="109">
        <f t="shared" si="0"/>
        <v>212451840</v>
      </c>
    </row>
  </sheetData>
  <pageMargins left="0.7" right="0.7" top="0.75" bottom="0.75" header="0.3" footer="0.3"/>
  <pageSetup scale="54" orientation="portrait" r:id="rId1"/>
  <headerFooter>
    <oddHeader xml:space="preserve">&amp;C&amp;"Algerian,Regular"&amp;36AGAASINKA TACLIINTA SARE </oddHeader>
    <oddFooter>&amp;R&amp;"Times New Roman,Bold"&amp;12 38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topLeftCell="A31" zoomScale="60" zoomScalePageLayoutView="70" workbookViewId="0">
      <selection sqref="A1:XFD1048576"/>
    </sheetView>
  </sheetViews>
  <sheetFormatPr defaultRowHeight="24.95" customHeight="1"/>
  <cols>
    <col min="1" max="1" width="18.1640625" style="376" bestFit="1" customWidth="1"/>
    <col min="2" max="2" width="79" style="181" customWidth="1"/>
    <col min="3" max="3" width="17.83203125" style="181" hidden="1" customWidth="1"/>
    <col min="4" max="4" width="24.5" style="181" hidden="1" customWidth="1"/>
    <col min="5" max="5" width="24.5" style="181" customWidth="1"/>
    <col min="6" max="6" width="28.33203125" style="181" customWidth="1"/>
    <col min="7" max="7" width="24.5" style="181" customWidth="1"/>
    <col min="8" max="16384" width="9.33203125" style="181"/>
  </cols>
  <sheetData>
    <row r="1" spans="1:7" ht="24.95" customHeight="1">
      <c r="A1" s="396" t="s">
        <v>20</v>
      </c>
      <c r="B1" s="146" t="s">
        <v>795</v>
      </c>
      <c r="C1" s="146"/>
      <c r="D1" s="146"/>
      <c r="E1" s="146"/>
      <c r="F1" s="146"/>
      <c r="G1" s="146"/>
    </row>
    <row r="2" spans="1:7" ht="24.95" customHeight="1">
      <c r="A2" s="396" t="s">
        <v>6</v>
      </c>
      <c r="B2" s="146" t="s">
        <v>7</v>
      </c>
      <c r="C2" s="146" t="s">
        <v>201</v>
      </c>
      <c r="D2" s="146" t="s">
        <v>538</v>
      </c>
      <c r="E2" s="146" t="s">
        <v>607</v>
      </c>
      <c r="F2" s="146" t="s">
        <v>722</v>
      </c>
      <c r="G2" s="146" t="s">
        <v>34</v>
      </c>
    </row>
    <row r="3" spans="1:7" ht="24.95" customHeight="1">
      <c r="A3" s="385">
        <v>210</v>
      </c>
      <c r="B3" s="125" t="s">
        <v>95</v>
      </c>
      <c r="C3" s="125"/>
      <c r="D3" s="125"/>
      <c r="E3" s="125"/>
      <c r="F3" s="125"/>
      <c r="G3" s="125"/>
    </row>
    <row r="4" spans="1:7" ht="24.95" customHeight="1">
      <c r="A4" s="385">
        <v>2110</v>
      </c>
      <c r="B4" s="125" t="s">
        <v>155</v>
      </c>
      <c r="C4" s="125"/>
      <c r="D4" s="125"/>
      <c r="E4" s="125"/>
      <c r="F4" s="125"/>
      <c r="G4" s="125"/>
    </row>
    <row r="5" spans="1:7" ht="24.95" customHeight="1">
      <c r="A5" s="386">
        <v>21101</v>
      </c>
      <c r="B5" s="99" t="s">
        <v>9</v>
      </c>
      <c r="C5" s="99"/>
      <c r="D5" s="99">
        <v>137810400</v>
      </c>
      <c r="E5" s="99">
        <v>165372480</v>
      </c>
      <c r="F5" s="99">
        <v>160842240</v>
      </c>
      <c r="G5" s="99">
        <f>F5-E5</f>
        <v>-4530240</v>
      </c>
    </row>
    <row r="6" spans="1:7" ht="24.95" customHeight="1">
      <c r="A6" s="386">
        <v>21102</v>
      </c>
      <c r="B6" s="99" t="s">
        <v>461</v>
      </c>
      <c r="C6" s="99">
        <v>0</v>
      </c>
      <c r="D6" s="99">
        <v>0</v>
      </c>
      <c r="E6" s="99">
        <v>0</v>
      </c>
      <c r="F6" s="99">
        <v>0</v>
      </c>
      <c r="G6" s="99">
        <f t="shared" ref="G6:G44" si="0">F6-E6</f>
        <v>0</v>
      </c>
    </row>
    <row r="7" spans="1:7" ht="24.95" customHeight="1">
      <c r="A7" s="386">
        <v>21103</v>
      </c>
      <c r="B7" s="99" t="s">
        <v>11</v>
      </c>
      <c r="C7" s="99">
        <v>0</v>
      </c>
      <c r="D7" s="99">
        <v>288800000</v>
      </c>
      <c r="E7" s="99">
        <v>384800000</v>
      </c>
      <c r="F7" s="99">
        <v>474000000</v>
      </c>
      <c r="G7" s="99">
        <f t="shared" si="0"/>
        <v>89200000</v>
      </c>
    </row>
    <row r="8" spans="1:7" ht="24.95" customHeight="1">
      <c r="A8" s="386">
        <v>21105</v>
      </c>
      <c r="B8" s="99" t="s">
        <v>399</v>
      </c>
      <c r="C8" s="99"/>
      <c r="D8" s="99">
        <v>0</v>
      </c>
      <c r="E8" s="99">
        <v>200000000</v>
      </c>
      <c r="F8" s="99">
        <v>205200000</v>
      </c>
      <c r="G8" s="99">
        <f t="shared" si="0"/>
        <v>5200000</v>
      </c>
    </row>
    <row r="9" spans="1:7" ht="24.95" customHeight="1">
      <c r="A9" s="386"/>
      <c r="B9" s="125" t="s">
        <v>59</v>
      </c>
      <c r="C9" s="99">
        <v>0</v>
      </c>
      <c r="D9" s="125">
        <f>SUM(D5:D8)</f>
        <v>426610400</v>
      </c>
      <c r="E9" s="125">
        <f>SUM(E5:E8)</f>
        <v>750172480</v>
      </c>
      <c r="F9" s="125">
        <f>SUM(F5:F8)</f>
        <v>840042240</v>
      </c>
      <c r="G9" s="125">
        <f t="shared" si="0"/>
        <v>89869760</v>
      </c>
    </row>
    <row r="10" spans="1:7" ht="24.95" customHeight="1">
      <c r="A10" s="385">
        <v>220</v>
      </c>
      <c r="B10" s="125" t="s">
        <v>159</v>
      </c>
      <c r="C10" s="99">
        <v>0</v>
      </c>
      <c r="D10" s="125"/>
      <c r="E10" s="125"/>
      <c r="F10" s="125"/>
      <c r="G10" s="99">
        <f t="shared" si="0"/>
        <v>0</v>
      </c>
    </row>
    <row r="11" spans="1:7" ht="24.95" customHeight="1">
      <c r="A11" s="385">
        <v>2210</v>
      </c>
      <c r="B11" s="125" t="s">
        <v>160</v>
      </c>
      <c r="C11" s="99">
        <v>0</v>
      </c>
      <c r="D11" s="125"/>
      <c r="E11" s="125"/>
      <c r="F11" s="125"/>
      <c r="G11" s="99">
        <f t="shared" si="0"/>
        <v>0</v>
      </c>
    </row>
    <row r="12" spans="1:7" ht="24.95" customHeight="1">
      <c r="A12" s="386">
        <v>22101</v>
      </c>
      <c r="B12" s="99" t="s">
        <v>14</v>
      </c>
      <c r="C12" s="99">
        <v>0</v>
      </c>
      <c r="D12" s="99">
        <v>10000000</v>
      </c>
      <c r="E12" s="99">
        <v>38800000</v>
      </c>
      <c r="F12" s="99">
        <v>100000000</v>
      </c>
      <c r="G12" s="99">
        <f t="shared" si="0"/>
        <v>61200000</v>
      </c>
    </row>
    <row r="13" spans="1:7" ht="24.95" customHeight="1">
      <c r="A13" s="386">
        <v>22102</v>
      </c>
      <c r="B13" s="99" t="s">
        <v>235</v>
      </c>
      <c r="C13" s="99">
        <v>0</v>
      </c>
      <c r="D13" s="99">
        <v>28800000</v>
      </c>
      <c r="E13" s="99">
        <v>0</v>
      </c>
      <c r="F13" s="99">
        <v>0</v>
      </c>
      <c r="G13" s="99">
        <f t="shared" si="0"/>
        <v>0</v>
      </c>
    </row>
    <row r="14" spans="1:7" ht="24.95" customHeight="1">
      <c r="A14" s="386">
        <v>22104</v>
      </c>
      <c r="B14" s="99" t="s">
        <v>116</v>
      </c>
      <c r="C14" s="99">
        <v>0</v>
      </c>
      <c r="D14" s="99">
        <v>5000000</v>
      </c>
      <c r="E14" s="99">
        <v>5000000</v>
      </c>
      <c r="F14" s="99">
        <v>30000000</v>
      </c>
      <c r="G14" s="99">
        <f t="shared" si="0"/>
        <v>25000000</v>
      </c>
    </row>
    <row r="15" spans="1:7" ht="24.95" customHeight="1">
      <c r="A15" s="386">
        <v>22105</v>
      </c>
      <c r="B15" s="99" t="s">
        <v>443</v>
      </c>
      <c r="C15" s="99">
        <v>0</v>
      </c>
      <c r="D15" s="99">
        <v>50400000</v>
      </c>
      <c r="E15" s="99">
        <v>63500000</v>
      </c>
      <c r="F15" s="99">
        <v>63500000</v>
      </c>
      <c r="G15" s="99">
        <f t="shared" si="0"/>
        <v>0</v>
      </c>
    </row>
    <row r="16" spans="1:7" ht="24.95" customHeight="1">
      <c r="A16" s="386">
        <v>22106</v>
      </c>
      <c r="B16" s="99" t="s">
        <v>84</v>
      </c>
      <c r="C16" s="99">
        <v>0</v>
      </c>
      <c r="D16" s="99"/>
      <c r="E16" s="99"/>
      <c r="F16" s="99"/>
      <c r="G16" s="99">
        <f t="shared" si="0"/>
        <v>0</v>
      </c>
    </row>
    <row r="17" spans="1:7" ht="24.95" customHeight="1">
      <c r="A17" s="386">
        <v>22107</v>
      </c>
      <c r="B17" s="99" t="s">
        <v>30</v>
      </c>
      <c r="C17" s="99">
        <v>0</v>
      </c>
      <c r="D17" s="99"/>
      <c r="E17" s="99"/>
      <c r="F17" s="99"/>
      <c r="G17" s="99">
        <f t="shared" si="0"/>
        <v>0</v>
      </c>
    </row>
    <row r="18" spans="1:7" ht="24.95" customHeight="1">
      <c r="A18" s="386">
        <v>22109</v>
      </c>
      <c r="B18" s="99" t="s">
        <v>94</v>
      </c>
      <c r="C18" s="99">
        <v>0</v>
      </c>
      <c r="D18" s="99">
        <v>10000000</v>
      </c>
      <c r="E18" s="99">
        <v>10000000</v>
      </c>
      <c r="F18" s="99">
        <v>10000000</v>
      </c>
      <c r="G18" s="99">
        <f t="shared" si="0"/>
        <v>0</v>
      </c>
    </row>
    <row r="19" spans="1:7" ht="24.95" customHeight="1">
      <c r="A19" s="386">
        <v>22112</v>
      </c>
      <c r="B19" s="99" t="s">
        <v>16</v>
      </c>
      <c r="C19" s="99">
        <v>0</v>
      </c>
      <c r="D19" s="99">
        <v>3000000</v>
      </c>
      <c r="E19" s="99">
        <v>3000000</v>
      </c>
      <c r="F19" s="99">
        <v>10920000</v>
      </c>
      <c r="G19" s="99">
        <f t="shared" si="0"/>
        <v>7920000</v>
      </c>
    </row>
    <row r="20" spans="1:7" ht="24.95" customHeight="1">
      <c r="A20" s="386">
        <v>22129</v>
      </c>
      <c r="B20" s="99" t="s">
        <v>258</v>
      </c>
      <c r="C20" s="99">
        <v>0</v>
      </c>
      <c r="D20" s="99"/>
      <c r="E20" s="99"/>
      <c r="F20" s="99"/>
      <c r="G20" s="99">
        <f t="shared" si="0"/>
        <v>0</v>
      </c>
    </row>
    <row r="21" spans="1:7" ht="24.95" customHeight="1">
      <c r="A21" s="386">
        <v>22132</v>
      </c>
      <c r="B21" s="99" t="s">
        <v>144</v>
      </c>
      <c r="C21" s="99">
        <v>0</v>
      </c>
      <c r="D21" s="99"/>
      <c r="E21" s="99"/>
      <c r="F21" s="99"/>
      <c r="G21" s="99">
        <f t="shared" si="0"/>
        <v>0</v>
      </c>
    </row>
    <row r="22" spans="1:7" ht="24.95" customHeight="1">
      <c r="A22" s="386">
        <v>22137</v>
      </c>
      <c r="B22" s="99" t="s">
        <v>180</v>
      </c>
      <c r="C22" s="99">
        <v>0</v>
      </c>
      <c r="D22" s="99">
        <v>0</v>
      </c>
      <c r="E22" s="99">
        <v>0</v>
      </c>
      <c r="F22" s="99">
        <v>0</v>
      </c>
      <c r="G22" s="99">
        <f t="shared" si="0"/>
        <v>0</v>
      </c>
    </row>
    <row r="23" spans="1:7" ht="24.95" customHeight="1">
      <c r="A23" s="386"/>
      <c r="B23" s="125" t="s">
        <v>59</v>
      </c>
      <c r="C23" s="99">
        <v>0</v>
      </c>
      <c r="D23" s="125">
        <f>SUM(D12:D22)</f>
        <v>107200000</v>
      </c>
      <c r="E23" s="125">
        <f>SUM(E12:E22)</f>
        <v>120300000</v>
      </c>
      <c r="F23" s="125">
        <f>SUM(F12:F22)</f>
        <v>214420000</v>
      </c>
      <c r="G23" s="125">
        <f t="shared" si="0"/>
        <v>94120000</v>
      </c>
    </row>
    <row r="24" spans="1:7" ht="24.95" customHeight="1">
      <c r="A24" s="385">
        <v>2220</v>
      </c>
      <c r="B24" s="125" t="s">
        <v>161</v>
      </c>
      <c r="C24" s="99">
        <v>0</v>
      </c>
      <c r="D24" s="125"/>
      <c r="E24" s="125"/>
      <c r="F24" s="125"/>
      <c r="G24" s="99">
        <f t="shared" si="0"/>
        <v>0</v>
      </c>
    </row>
    <row r="25" spans="1:7" ht="24.95" customHeight="1">
      <c r="A25" s="386">
        <v>22202</v>
      </c>
      <c r="B25" s="99" t="s">
        <v>91</v>
      </c>
      <c r="C25" s="99">
        <v>0</v>
      </c>
      <c r="D25" s="99">
        <v>35000000</v>
      </c>
      <c r="E25" s="99">
        <v>35000000</v>
      </c>
      <c r="F25" s="99">
        <v>70000000</v>
      </c>
      <c r="G25" s="99">
        <f t="shared" si="0"/>
        <v>35000000</v>
      </c>
    </row>
    <row r="26" spans="1:7" ht="24.95" customHeight="1">
      <c r="A26" s="386">
        <v>22203</v>
      </c>
      <c r="B26" s="99" t="s">
        <v>85</v>
      </c>
      <c r="C26" s="99">
        <v>0</v>
      </c>
      <c r="D26" s="99">
        <v>10000000</v>
      </c>
      <c r="E26" s="99">
        <v>10000000</v>
      </c>
      <c r="F26" s="99">
        <v>10000000</v>
      </c>
      <c r="G26" s="99">
        <f t="shared" si="0"/>
        <v>0</v>
      </c>
    </row>
    <row r="27" spans="1:7" ht="24.95" customHeight="1">
      <c r="A27" s="386">
        <v>22204</v>
      </c>
      <c r="B27" s="99" t="s">
        <v>86</v>
      </c>
      <c r="C27" s="99">
        <v>0</v>
      </c>
      <c r="D27" s="99">
        <v>2000000</v>
      </c>
      <c r="E27" s="99">
        <v>2000000</v>
      </c>
      <c r="F27" s="99">
        <v>2000000</v>
      </c>
      <c r="G27" s="99">
        <f t="shared" si="0"/>
        <v>0</v>
      </c>
    </row>
    <row r="28" spans="1:7" ht="24.95" customHeight="1">
      <c r="A28" s="386">
        <v>22207</v>
      </c>
      <c r="B28" s="99" t="s">
        <v>256</v>
      </c>
      <c r="C28" s="99">
        <v>0</v>
      </c>
      <c r="D28" s="99"/>
      <c r="E28" s="99"/>
      <c r="F28" s="99"/>
      <c r="G28" s="99">
        <f t="shared" si="0"/>
        <v>0</v>
      </c>
    </row>
    <row r="29" spans="1:7" ht="24.95" customHeight="1">
      <c r="A29" s="386">
        <v>22209</v>
      </c>
      <c r="B29" s="99" t="s">
        <v>145</v>
      </c>
      <c r="C29" s="99">
        <v>0</v>
      </c>
      <c r="D29" s="99">
        <v>0</v>
      </c>
      <c r="E29" s="99">
        <v>0</v>
      </c>
      <c r="F29" s="99">
        <v>0</v>
      </c>
      <c r="G29" s="99">
        <f t="shared" si="0"/>
        <v>0</v>
      </c>
    </row>
    <row r="30" spans="1:7" ht="24.95" customHeight="1">
      <c r="A30" s="386"/>
      <c r="B30" s="125" t="s">
        <v>59</v>
      </c>
      <c r="C30" s="99">
        <v>0</v>
      </c>
      <c r="D30" s="125">
        <f>SUM(D25:D29)</f>
        <v>47000000</v>
      </c>
      <c r="E30" s="125">
        <f>SUM(E25:E29)</f>
        <v>47000000</v>
      </c>
      <c r="F30" s="125">
        <f>SUM(F25:F29)</f>
        <v>82000000</v>
      </c>
      <c r="G30" s="125">
        <f t="shared" si="0"/>
        <v>35000000</v>
      </c>
    </row>
    <row r="31" spans="1:7" ht="24.95" customHeight="1">
      <c r="A31" s="385">
        <v>2230</v>
      </c>
      <c r="B31" s="125" t="s">
        <v>88</v>
      </c>
      <c r="C31" s="99">
        <v>0</v>
      </c>
      <c r="D31" s="125"/>
      <c r="E31" s="125"/>
      <c r="F31" s="125"/>
      <c r="G31" s="99">
        <f t="shared" si="0"/>
        <v>0</v>
      </c>
    </row>
    <row r="32" spans="1:7" ht="24.95" customHeight="1">
      <c r="A32" s="386">
        <v>22301</v>
      </c>
      <c r="B32" s="99" t="s">
        <v>31</v>
      </c>
      <c r="C32" s="99">
        <v>0</v>
      </c>
      <c r="D32" s="99">
        <v>10000000</v>
      </c>
      <c r="E32" s="99">
        <v>10000000</v>
      </c>
      <c r="F32" s="99">
        <v>10000000</v>
      </c>
      <c r="G32" s="99">
        <f t="shared" si="0"/>
        <v>0</v>
      </c>
    </row>
    <row r="33" spans="1:7" ht="24.95" customHeight="1">
      <c r="A33" s="386">
        <v>22302</v>
      </c>
      <c r="B33" s="99" t="s">
        <v>162</v>
      </c>
      <c r="C33" s="99">
        <v>0</v>
      </c>
      <c r="D33" s="99"/>
      <c r="E33" s="99"/>
      <c r="F33" s="99"/>
      <c r="G33" s="99">
        <f t="shared" si="0"/>
        <v>0</v>
      </c>
    </row>
    <row r="34" spans="1:7" ht="24.95" customHeight="1">
      <c r="A34" s="386">
        <v>22305</v>
      </c>
      <c r="B34" s="99" t="s">
        <v>257</v>
      </c>
      <c r="C34" s="99">
        <v>0</v>
      </c>
      <c r="D34" s="99"/>
      <c r="E34" s="99"/>
      <c r="F34" s="99"/>
      <c r="G34" s="99">
        <f t="shared" si="0"/>
        <v>0</v>
      </c>
    </row>
    <row r="35" spans="1:7" ht="24.95" customHeight="1">
      <c r="A35" s="386">
        <v>22314</v>
      </c>
      <c r="B35" s="99" t="s">
        <v>163</v>
      </c>
      <c r="C35" s="99">
        <v>0</v>
      </c>
      <c r="D35" s="99"/>
      <c r="E35" s="99"/>
      <c r="F35" s="99"/>
      <c r="G35" s="99">
        <f t="shared" si="0"/>
        <v>0</v>
      </c>
    </row>
    <row r="36" spans="1:7" ht="24.95" customHeight="1">
      <c r="A36" s="386"/>
      <c r="B36" s="125" t="s">
        <v>59</v>
      </c>
      <c r="C36" s="99">
        <v>0</v>
      </c>
      <c r="D36" s="125">
        <f>SUM(D32:D35)</f>
        <v>10000000</v>
      </c>
      <c r="E36" s="125">
        <f>SUM(E32:E35)</f>
        <v>10000000</v>
      </c>
      <c r="F36" s="125">
        <f>SUM(F32:F35)</f>
        <v>10000000</v>
      </c>
      <c r="G36" s="125">
        <f t="shared" si="0"/>
        <v>0</v>
      </c>
    </row>
    <row r="37" spans="1:7" ht="24.95" customHeight="1">
      <c r="A37" s="385">
        <v>230</v>
      </c>
      <c r="B37" s="125" t="s">
        <v>165</v>
      </c>
      <c r="C37" s="99">
        <v>0</v>
      </c>
      <c r="D37" s="125"/>
      <c r="E37" s="125"/>
      <c r="F37" s="125"/>
      <c r="G37" s="99">
        <f t="shared" si="0"/>
        <v>0</v>
      </c>
    </row>
    <row r="38" spans="1:7" ht="24.95" customHeight="1">
      <c r="A38" s="385">
        <v>2310</v>
      </c>
      <c r="B38" s="125" t="s">
        <v>164</v>
      </c>
      <c r="C38" s="99">
        <v>0</v>
      </c>
      <c r="D38" s="125"/>
      <c r="E38" s="125"/>
      <c r="F38" s="125"/>
      <c r="G38" s="99">
        <f t="shared" si="0"/>
        <v>0</v>
      </c>
    </row>
    <row r="39" spans="1:7" ht="24.95" customHeight="1">
      <c r="A39" s="386">
        <v>23101</v>
      </c>
      <c r="B39" s="99" t="s">
        <v>344</v>
      </c>
      <c r="C39" s="99">
        <v>0</v>
      </c>
      <c r="D39" s="99"/>
      <c r="E39" s="99"/>
      <c r="F39" s="99"/>
      <c r="G39" s="99">
        <f t="shared" si="0"/>
        <v>0</v>
      </c>
    </row>
    <row r="40" spans="1:7" ht="24.95" customHeight="1">
      <c r="A40" s="386">
        <v>23102</v>
      </c>
      <c r="B40" s="99" t="s">
        <v>347</v>
      </c>
      <c r="C40" s="99">
        <v>0</v>
      </c>
      <c r="D40" s="99"/>
      <c r="E40" s="99"/>
      <c r="F40" s="99"/>
      <c r="G40" s="99">
        <f t="shared" si="0"/>
        <v>0</v>
      </c>
    </row>
    <row r="41" spans="1:7" ht="24.95" customHeight="1">
      <c r="A41" s="386">
        <v>23103</v>
      </c>
      <c r="B41" s="99" t="s">
        <v>106</v>
      </c>
      <c r="C41" s="99">
        <v>0</v>
      </c>
      <c r="D41" s="99"/>
      <c r="E41" s="99"/>
      <c r="F41" s="99"/>
      <c r="G41" s="99">
        <f t="shared" si="0"/>
        <v>0</v>
      </c>
    </row>
    <row r="42" spans="1:7" ht="24.95" customHeight="1">
      <c r="A42" s="386">
        <v>23104</v>
      </c>
      <c r="B42" s="99" t="s">
        <v>107</v>
      </c>
      <c r="C42" s="99">
        <v>0</v>
      </c>
      <c r="D42" s="99"/>
      <c r="E42" s="99"/>
      <c r="F42" s="99"/>
      <c r="G42" s="99">
        <f t="shared" si="0"/>
        <v>0</v>
      </c>
    </row>
    <row r="43" spans="1:7" ht="24.95" customHeight="1">
      <c r="A43" s="386"/>
      <c r="B43" s="125" t="s">
        <v>59</v>
      </c>
      <c r="C43" s="99">
        <v>0</v>
      </c>
      <c r="D43" s="125">
        <f>SUM(D39:D42)</f>
        <v>0</v>
      </c>
      <c r="E43" s="125">
        <f>SUM(E39:E42)</f>
        <v>0</v>
      </c>
      <c r="F43" s="125">
        <f>SUM(F39:F42)</f>
        <v>0</v>
      </c>
      <c r="G43" s="99">
        <f t="shared" si="0"/>
        <v>0</v>
      </c>
    </row>
    <row r="44" spans="1:7" ht="24.95" customHeight="1">
      <c r="A44" s="386"/>
      <c r="B44" s="125" t="s">
        <v>18</v>
      </c>
      <c r="C44" s="99">
        <v>0</v>
      </c>
      <c r="D44" s="125">
        <f>D43+D36+D30+D23+D9</f>
        <v>590810400</v>
      </c>
      <c r="E44" s="125">
        <f>E43+E36+E30+E23+E9</f>
        <v>927472480</v>
      </c>
      <c r="F44" s="125">
        <f>F43+F36+F30+F23+F9</f>
        <v>1146462240</v>
      </c>
      <c r="G44" s="125">
        <f t="shared" si="0"/>
        <v>218989760</v>
      </c>
    </row>
    <row r="45" spans="1:7" ht="24.95" customHeight="1">
      <c r="A45" s="432" t="s">
        <v>466</v>
      </c>
      <c r="B45" s="433" t="s">
        <v>462</v>
      </c>
      <c r="C45" s="434" t="s">
        <v>463</v>
      </c>
      <c r="D45" s="434" t="s">
        <v>464</v>
      </c>
      <c r="E45" s="434"/>
      <c r="F45" s="434"/>
      <c r="G45" s="434" t="s">
        <v>465</v>
      </c>
    </row>
  </sheetData>
  <pageMargins left="0.7" right="0.45" top="0.75" bottom="0.75" header="0.3" footer="0.3"/>
  <pageSetup scale="60" orientation="portrait" horizontalDpi="300" verticalDpi="300" r:id="rId1"/>
  <headerFooter>
    <oddHeader>&amp;C&amp;"Algerian,Bold"&amp;36GUDIDA TACLIINTA SARRE</oddHeader>
    <oddFooter>&amp;R&amp;"Times New Roman,Bold"&amp;12 39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8"/>
  <dimension ref="A1:P67"/>
  <sheetViews>
    <sheetView view="pageBreakPreview" topLeftCell="A10" zoomScale="60" workbookViewId="0">
      <selection activeCell="O43" sqref="O43"/>
    </sheetView>
  </sheetViews>
  <sheetFormatPr defaultRowHeight="18.95" customHeight="1"/>
  <cols>
    <col min="1" max="1" width="19.33203125" style="402" bestFit="1" customWidth="1"/>
    <col min="2" max="2" width="91.33203125" style="304" bestFit="1" customWidth="1"/>
    <col min="3" max="4" width="16.1640625" style="304" hidden="1" customWidth="1"/>
    <col min="5" max="5" width="0.5" style="304" hidden="1" customWidth="1"/>
    <col min="6" max="6" width="10.6640625" style="304" hidden="1" customWidth="1"/>
    <col min="7" max="7" width="6" style="304" hidden="1" customWidth="1"/>
    <col min="8" max="8" width="2.5" style="304" hidden="1" customWidth="1"/>
    <col min="9" max="9" width="2.6640625" style="304" hidden="1" customWidth="1"/>
    <col min="10" max="10" width="25" style="304" hidden="1" customWidth="1"/>
    <col min="11" max="11" width="27" style="304" hidden="1" customWidth="1"/>
    <col min="12" max="12" width="0.1640625" style="439" customWidth="1"/>
    <col min="13" max="13" width="29.83203125" style="439" bestFit="1" customWidth="1"/>
    <col min="14" max="14" width="29.83203125" style="439" customWidth="1"/>
    <col min="15" max="15" width="28.83203125" style="439" bestFit="1" customWidth="1"/>
    <col min="16" max="16" width="17.83203125" style="304" customWidth="1"/>
    <col min="17" max="16384" width="9.33203125" style="304"/>
  </cols>
  <sheetData>
    <row r="1" spans="1:16" ht="18.95" customHeight="1">
      <c r="A1" s="435" t="s">
        <v>20</v>
      </c>
      <c r="B1" s="418" t="s">
        <v>796</v>
      </c>
      <c r="C1" s="419"/>
      <c r="D1" s="419"/>
      <c r="E1" s="419"/>
      <c r="F1" s="419"/>
      <c r="G1" s="419"/>
      <c r="H1" s="419"/>
      <c r="I1" s="419"/>
      <c r="J1" s="419"/>
      <c r="K1" s="419"/>
      <c r="L1" s="436"/>
      <c r="M1" s="436"/>
      <c r="N1" s="436"/>
      <c r="O1" s="436"/>
    </row>
    <row r="2" spans="1:16" ht="18.95" customHeight="1">
      <c r="A2" s="435" t="s">
        <v>6</v>
      </c>
      <c r="B2" s="419" t="s">
        <v>7</v>
      </c>
      <c r="C2" s="419" t="s">
        <v>19</v>
      </c>
      <c r="D2" s="420" t="s">
        <v>24</v>
      </c>
      <c r="E2" s="420" t="s">
        <v>28</v>
      </c>
      <c r="F2" s="420" t="s">
        <v>33</v>
      </c>
      <c r="G2" s="420" t="s">
        <v>40</v>
      </c>
      <c r="H2" s="420" t="s">
        <v>66</v>
      </c>
      <c r="I2" s="420" t="s">
        <v>69</v>
      </c>
      <c r="J2" s="420" t="s">
        <v>110</v>
      </c>
      <c r="K2" s="420" t="s">
        <v>166</v>
      </c>
      <c r="L2" s="420" t="s">
        <v>538</v>
      </c>
      <c r="M2" s="420" t="s">
        <v>607</v>
      </c>
      <c r="N2" s="420" t="s">
        <v>722</v>
      </c>
      <c r="O2" s="420" t="s">
        <v>34</v>
      </c>
      <c r="P2" s="305"/>
    </row>
    <row r="3" spans="1:16" ht="18.95" customHeight="1">
      <c r="A3" s="422">
        <v>210</v>
      </c>
      <c r="B3" s="138" t="s">
        <v>95</v>
      </c>
      <c r="C3" s="103"/>
      <c r="D3" s="103"/>
      <c r="E3" s="103"/>
      <c r="F3" s="103"/>
      <c r="G3" s="103"/>
      <c r="H3" s="103"/>
      <c r="I3" s="103"/>
      <c r="J3" s="103"/>
      <c r="K3" s="103"/>
      <c r="L3" s="139"/>
      <c r="M3" s="139"/>
      <c r="N3" s="139"/>
      <c r="O3" s="139"/>
    </row>
    <row r="4" spans="1:16" ht="18.95" customHeight="1">
      <c r="A4" s="422">
        <v>2110</v>
      </c>
      <c r="B4" s="138" t="s">
        <v>155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6" ht="18.95" customHeight="1">
      <c r="A5" s="173">
        <v>21101</v>
      </c>
      <c r="B5" s="103" t="s">
        <v>9</v>
      </c>
      <c r="C5" s="103"/>
      <c r="D5" s="103"/>
      <c r="E5" s="103"/>
      <c r="F5" s="103"/>
      <c r="G5" s="103"/>
      <c r="H5" s="103"/>
      <c r="I5" s="103"/>
      <c r="J5" s="103">
        <v>5555286000</v>
      </c>
      <c r="K5" s="103" t="e">
        <f>#REF!+72000000</f>
        <v>#REF!</v>
      </c>
      <c r="L5" s="103">
        <v>15930844800</v>
      </c>
      <c r="M5" s="103">
        <v>21856910400</v>
      </c>
      <c r="N5" s="103">
        <v>22242804480</v>
      </c>
      <c r="O5" s="103">
        <f>N5-M5</f>
        <v>385894080</v>
      </c>
    </row>
    <row r="6" spans="1:16" ht="18.95" customHeight="1">
      <c r="A6" s="173">
        <v>21102</v>
      </c>
      <c r="B6" s="103" t="s">
        <v>420</v>
      </c>
      <c r="C6" s="103"/>
      <c r="D6" s="103"/>
      <c r="E6" s="103"/>
      <c r="F6" s="103"/>
      <c r="G6" s="103"/>
      <c r="H6" s="103"/>
      <c r="I6" s="103"/>
      <c r="J6" s="103">
        <v>0</v>
      </c>
      <c r="K6" s="103">
        <v>0</v>
      </c>
      <c r="L6" s="103">
        <v>194400000</v>
      </c>
      <c r="M6" s="103">
        <v>194400000</v>
      </c>
      <c r="N6" s="103">
        <v>194400000</v>
      </c>
      <c r="O6" s="103">
        <f t="shared" ref="O6:O65" si="0">N6-M6</f>
        <v>0</v>
      </c>
    </row>
    <row r="7" spans="1:16" ht="18.95" customHeight="1">
      <c r="A7" s="173">
        <v>21103</v>
      </c>
      <c r="B7" s="103" t="s">
        <v>11</v>
      </c>
      <c r="C7" s="103"/>
      <c r="D7" s="103"/>
      <c r="E7" s="103"/>
      <c r="F7" s="103"/>
      <c r="G7" s="103"/>
      <c r="H7" s="103"/>
      <c r="I7" s="103"/>
      <c r="J7" s="103">
        <v>86400000</v>
      </c>
      <c r="K7" s="103">
        <v>86400000</v>
      </c>
      <c r="L7" s="103">
        <v>223200000</v>
      </c>
      <c r="M7" s="103">
        <v>288000000</v>
      </c>
      <c r="N7" s="103">
        <v>288000000</v>
      </c>
      <c r="O7" s="103">
        <f t="shared" si="0"/>
        <v>0</v>
      </c>
    </row>
    <row r="8" spans="1:16" ht="18.95" customHeight="1">
      <c r="A8" s="173">
        <v>21105</v>
      </c>
      <c r="B8" s="103" t="s">
        <v>577</v>
      </c>
      <c r="C8" s="103"/>
      <c r="D8" s="103"/>
      <c r="E8" s="103"/>
      <c r="F8" s="103"/>
      <c r="G8" s="103"/>
      <c r="H8" s="103"/>
      <c r="I8" s="103"/>
      <c r="J8" s="103"/>
      <c r="K8" s="103">
        <v>234000000</v>
      </c>
      <c r="L8" s="103">
        <v>981000000</v>
      </c>
      <c r="M8" s="103">
        <v>1371000000</v>
      </c>
      <c r="N8" s="103">
        <v>1371000000</v>
      </c>
      <c r="O8" s="103">
        <f t="shared" si="0"/>
        <v>0</v>
      </c>
    </row>
    <row r="9" spans="1:16" ht="18.95" customHeight="1">
      <c r="A9" s="173"/>
      <c r="B9" s="138" t="s">
        <v>59</v>
      </c>
      <c r="C9" s="103"/>
      <c r="D9" s="103"/>
      <c r="E9" s="103"/>
      <c r="F9" s="103"/>
      <c r="G9" s="103"/>
      <c r="H9" s="103"/>
      <c r="I9" s="103"/>
      <c r="J9" s="138">
        <f>SUM(J5:J7)</f>
        <v>5641686000</v>
      </c>
      <c r="K9" s="138" t="e">
        <f>K8+K7+K6+K5</f>
        <v>#REF!</v>
      </c>
      <c r="L9" s="138">
        <f>SUM(L5:L8)</f>
        <v>17329444800</v>
      </c>
      <c r="M9" s="138">
        <f>SUM(M5:M8)</f>
        <v>23710310400</v>
      </c>
      <c r="N9" s="138">
        <f>SUM(N5:N8)</f>
        <v>24096204480</v>
      </c>
      <c r="O9" s="138">
        <f t="shared" si="0"/>
        <v>385894080</v>
      </c>
    </row>
    <row r="10" spans="1:16" ht="18.95" customHeight="1">
      <c r="A10" s="422">
        <v>220</v>
      </c>
      <c r="B10" s="138" t="s">
        <v>159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>
        <f t="shared" si="0"/>
        <v>0</v>
      </c>
    </row>
    <row r="11" spans="1:16" ht="18.95" customHeight="1">
      <c r="A11" s="422">
        <v>2210</v>
      </c>
      <c r="B11" s="138" t="s">
        <v>160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>
        <f t="shared" si="0"/>
        <v>0</v>
      </c>
    </row>
    <row r="12" spans="1:16" ht="18.95" customHeight="1">
      <c r="A12" s="173">
        <v>22101</v>
      </c>
      <c r="B12" s="103" t="s">
        <v>14</v>
      </c>
      <c r="C12" s="103"/>
      <c r="D12" s="103"/>
      <c r="E12" s="103"/>
      <c r="F12" s="103"/>
      <c r="G12" s="103"/>
      <c r="H12" s="103"/>
      <c r="I12" s="103"/>
      <c r="J12" s="103">
        <v>59584000</v>
      </c>
      <c r="K12" s="103">
        <f>59584000*70%</f>
        <v>41708800</v>
      </c>
      <c r="L12" s="103">
        <f>59584000*70%</f>
        <v>41708800</v>
      </c>
      <c r="M12" s="103">
        <f>59584000*70%</f>
        <v>41708800</v>
      </c>
      <c r="N12" s="103">
        <f>59584000*70%</f>
        <v>41708800</v>
      </c>
      <c r="O12" s="103">
        <f t="shared" si="0"/>
        <v>0</v>
      </c>
    </row>
    <row r="13" spans="1:16" ht="18.95" customHeight="1">
      <c r="A13" s="173">
        <v>22104</v>
      </c>
      <c r="B13" s="103" t="s">
        <v>116</v>
      </c>
      <c r="C13" s="103"/>
      <c r="D13" s="103"/>
      <c r="E13" s="103"/>
      <c r="F13" s="103"/>
      <c r="G13" s="103"/>
      <c r="H13" s="103"/>
      <c r="I13" s="103"/>
      <c r="J13" s="103">
        <v>84578400</v>
      </c>
      <c r="K13" s="103">
        <v>59204880</v>
      </c>
      <c r="L13" s="103">
        <v>59204880</v>
      </c>
      <c r="M13" s="103">
        <v>59204880</v>
      </c>
      <c r="N13" s="103">
        <v>59204880</v>
      </c>
      <c r="O13" s="103">
        <f t="shared" si="0"/>
        <v>0</v>
      </c>
    </row>
    <row r="14" spans="1:16" ht="18.95" customHeight="1">
      <c r="A14" s="173">
        <v>22105</v>
      </c>
      <c r="B14" s="103" t="s">
        <v>93</v>
      </c>
      <c r="C14" s="140"/>
      <c r="D14" s="140"/>
      <c r="E14" s="140"/>
      <c r="F14" s="140"/>
      <c r="G14" s="140"/>
      <c r="H14" s="140"/>
      <c r="I14" s="140"/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03">
        <f t="shared" si="0"/>
        <v>0</v>
      </c>
    </row>
    <row r="15" spans="1:16" ht="18.95" customHeight="1">
      <c r="A15" s="173">
        <v>22106</v>
      </c>
      <c r="B15" s="103" t="s">
        <v>84</v>
      </c>
      <c r="C15" s="103"/>
      <c r="D15" s="103"/>
      <c r="E15" s="103"/>
      <c r="F15" s="103"/>
      <c r="G15" s="103"/>
      <c r="H15" s="103"/>
      <c r="I15" s="103"/>
      <c r="J15" s="103">
        <v>226824000</v>
      </c>
      <c r="K15" s="103">
        <f>226824000*70%</f>
        <v>158776800</v>
      </c>
      <c r="L15" s="103">
        <v>150000000</v>
      </c>
      <c r="M15" s="103">
        <v>90000000</v>
      </c>
      <c r="N15" s="103">
        <v>90000000</v>
      </c>
      <c r="O15" s="103">
        <f t="shared" si="0"/>
        <v>0</v>
      </c>
      <c r="P15" s="361"/>
    </row>
    <row r="16" spans="1:16" ht="18.95" customHeight="1">
      <c r="A16" s="173">
        <v>22107</v>
      </c>
      <c r="B16" s="103" t="s">
        <v>30</v>
      </c>
      <c r="C16" s="103"/>
      <c r="D16" s="103"/>
      <c r="E16" s="103"/>
      <c r="F16" s="103"/>
      <c r="G16" s="103"/>
      <c r="H16" s="103"/>
      <c r="I16" s="103"/>
      <c r="J16" s="103">
        <v>17448000</v>
      </c>
      <c r="K16" s="103">
        <v>12213600</v>
      </c>
      <c r="L16" s="103">
        <v>8549520</v>
      </c>
      <c r="M16" s="103">
        <f>L16</f>
        <v>8549520</v>
      </c>
      <c r="N16" s="103">
        <v>50000000</v>
      </c>
      <c r="O16" s="103">
        <f t="shared" si="0"/>
        <v>41450480</v>
      </c>
      <c r="P16" s="361"/>
    </row>
    <row r="17" spans="1:15" ht="18.95" customHeight="1">
      <c r="A17" s="173">
        <v>22109</v>
      </c>
      <c r="B17" s="103" t="s">
        <v>94</v>
      </c>
      <c r="C17" s="423"/>
      <c r="D17" s="139"/>
      <c r="E17" s="139"/>
      <c r="F17" s="139"/>
      <c r="G17" s="139"/>
      <c r="H17" s="139"/>
      <c r="I17" s="139"/>
      <c r="J17" s="103">
        <v>9310000</v>
      </c>
      <c r="K17" s="103">
        <f>9310000*70%</f>
        <v>6517000</v>
      </c>
      <c r="L17" s="103">
        <f>9310000*70%</f>
        <v>6517000</v>
      </c>
      <c r="M17" s="103">
        <f>9310000*70%</f>
        <v>6517000</v>
      </c>
      <c r="N17" s="103">
        <f>9310000*70%</f>
        <v>6517000</v>
      </c>
      <c r="O17" s="103">
        <f t="shared" si="0"/>
        <v>0</v>
      </c>
    </row>
    <row r="18" spans="1:15" ht="18.95" customHeight="1">
      <c r="A18" s="173">
        <v>22112</v>
      </c>
      <c r="B18" s="103" t="s">
        <v>16</v>
      </c>
      <c r="C18" s="103"/>
      <c r="D18" s="139"/>
      <c r="E18" s="139"/>
      <c r="F18" s="139"/>
      <c r="G18" s="139"/>
      <c r="H18" s="139"/>
      <c r="I18" s="139"/>
      <c r="J18" s="139">
        <v>103947440</v>
      </c>
      <c r="K18" s="139">
        <v>72763208</v>
      </c>
      <c r="L18" s="139">
        <v>72763208</v>
      </c>
      <c r="M18" s="139">
        <v>72763208</v>
      </c>
      <c r="N18" s="139">
        <v>72763208</v>
      </c>
      <c r="O18" s="103">
        <f t="shared" si="0"/>
        <v>0</v>
      </c>
    </row>
    <row r="19" spans="1:15" ht="18.95" customHeight="1">
      <c r="A19" s="173">
        <v>22132</v>
      </c>
      <c r="B19" s="103" t="s">
        <v>640</v>
      </c>
      <c r="C19" s="103"/>
      <c r="D19" s="139"/>
      <c r="E19" s="139"/>
      <c r="F19" s="139"/>
      <c r="G19" s="139"/>
      <c r="H19" s="139"/>
      <c r="I19" s="139"/>
      <c r="J19" s="139">
        <v>26068000</v>
      </c>
      <c r="K19" s="139">
        <f>26068000*70%</f>
        <v>18247600</v>
      </c>
      <c r="L19" s="139">
        <v>0</v>
      </c>
      <c r="M19" s="139">
        <v>460000000</v>
      </c>
      <c r="N19" s="139">
        <v>0</v>
      </c>
      <c r="O19" s="103">
        <f t="shared" si="0"/>
        <v>-460000000</v>
      </c>
    </row>
    <row r="20" spans="1:15" ht="18.95" customHeight="1">
      <c r="A20" s="173">
        <v>22134</v>
      </c>
      <c r="B20" s="103" t="s">
        <v>302</v>
      </c>
      <c r="C20" s="103"/>
      <c r="D20" s="139"/>
      <c r="E20" s="139"/>
      <c r="F20" s="139"/>
      <c r="G20" s="139"/>
      <c r="H20" s="139"/>
      <c r="I20" s="139"/>
      <c r="J20" s="139">
        <v>0</v>
      </c>
      <c r="K20" s="139">
        <f>1000000000*70%</f>
        <v>700000000</v>
      </c>
      <c r="L20" s="139">
        <v>590000000</v>
      </c>
      <c r="M20" s="139">
        <v>590000000</v>
      </c>
      <c r="N20" s="139">
        <v>590000000</v>
      </c>
      <c r="O20" s="103">
        <f t="shared" si="0"/>
        <v>0</v>
      </c>
    </row>
    <row r="21" spans="1:15" ht="18.95" customHeight="1">
      <c r="A21" s="173">
        <v>22134</v>
      </c>
      <c r="B21" s="103" t="s">
        <v>754</v>
      </c>
      <c r="C21" s="103"/>
      <c r="D21" s="139"/>
      <c r="E21" s="139"/>
      <c r="F21" s="139"/>
      <c r="G21" s="139"/>
      <c r="H21" s="139"/>
      <c r="I21" s="139"/>
      <c r="J21" s="139"/>
      <c r="K21" s="139"/>
      <c r="L21" s="139">
        <v>134000000</v>
      </c>
      <c r="M21" s="139">
        <v>134000000</v>
      </c>
      <c r="N21" s="139">
        <v>134000000</v>
      </c>
      <c r="O21" s="103">
        <f t="shared" si="0"/>
        <v>0</v>
      </c>
    </row>
    <row r="22" spans="1:15" ht="18.95" customHeight="1">
      <c r="A22" s="173">
        <v>22141</v>
      </c>
      <c r="B22" s="103" t="s">
        <v>423</v>
      </c>
      <c r="C22" s="103"/>
      <c r="D22" s="139"/>
      <c r="E22" s="139"/>
      <c r="F22" s="139"/>
      <c r="G22" s="139"/>
      <c r="H22" s="139"/>
      <c r="I22" s="139"/>
      <c r="J22" s="139"/>
      <c r="K22" s="139"/>
      <c r="L22" s="139"/>
      <c r="M22" s="139">
        <v>0</v>
      </c>
      <c r="N22" s="139">
        <v>100000000</v>
      </c>
      <c r="O22" s="103">
        <f t="shared" si="0"/>
        <v>100000000</v>
      </c>
    </row>
    <row r="23" spans="1:15" ht="18.95" customHeight="1">
      <c r="A23" s="173">
        <v>22145</v>
      </c>
      <c r="B23" s="103" t="s">
        <v>360</v>
      </c>
      <c r="C23" s="103"/>
      <c r="D23" s="139"/>
      <c r="E23" s="139"/>
      <c r="F23" s="139"/>
      <c r="G23" s="139"/>
      <c r="H23" s="139"/>
      <c r="I23" s="139"/>
      <c r="J23" s="139"/>
      <c r="K23" s="139"/>
      <c r="L23" s="139">
        <v>3120600000</v>
      </c>
      <c r="M23" s="139">
        <v>3840600000</v>
      </c>
      <c r="N23" s="139">
        <v>3840600000</v>
      </c>
      <c r="O23" s="103">
        <f t="shared" si="0"/>
        <v>0</v>
      </c>
    </row>
    <row r="24" spans="1:15" ht="18.95" customHeight="1">
      <c r="A24" s="173"/>
      <c r="B24" s="138" t="s">
        <v>59</v>
      </c>
      <c r="C24" s="103"/>
      <c r="D24" s="139"/>
      <c r="E24" s="139"/>
      <c r="F24" s="139"/>
      <c r="G24" s="139"/>
      <c r="H24" s="139"/>
      <c r="I24" s="139"/>
      <c r="J24" s="140">
        <f>SUM(J12:J20)</f>
        <v>527759840</v>
      </c>
      <c r="K24" s="140">
        <f>SUM(K12:K20)</f>
        <v>1069431888</v>
      </c>
      <c r="L24" s="140">
        <f>SUM(L12:L23)</f>
        <v>4183343408</v>
      </c>
      <c r="M24" s="140">
        <f>SUM(M12:M23)</f>
        <v>5303343408</v>
      </c>
      <c r="N24" s="140">
        <f>SUM(N12:N23)</f>
        <v>4984793888</v>
      </c>
      <c r="O24" s="138">
        <f t="shared" si="0"/>
        <v>-318549520</v>
      </c>
    </row>
    <row r="25" spans="1:15" ht="18.95" customHeight="1">
      <c r="A25" s="422">
        <v>2220</v>
      </c>
      <c r="B25" s="138" t="s">
        <v>161</v>
      </c>
      <c r="C25" s="103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03">
        <f t="shared" si="0"/>
        <v>0</v>
      </c>
    </row>
    <row r="26" spans="1:15" ht="18.95" customHeight="1">
      <c r="A26" s="173">
        <v>22201</v>
      </c>
      <c r="B26" s="103" t="s">
        <v>130</v>
      </c>
      <c r="C26" s="103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>
        <v>70000000</v>
      </c>
      <c r="O26" s="103">
        <f t="shared" si="0"/>
        <v>70000000</v>
      </c>
    </row>
    <row r="27" spans="1:15" ht="18.95" customHeight="1">
      <c r="A27" s="173">
        <v>22202</v>
      </c>
      <c r="B27" s="103" t="s">
        <v>91</v>
      </c>
      <c r="C27" s="423"/>
      <c r="D27" s="423"/>
      <c r="E27" s="423"/>
      <c r="F27" s="423"/>
      <c r="G27" s="423"/>
      <c r="H27" s="423"/>
      <c r="I27" s="423"/>
      <c r="J27" s="126">
        <v>640000000</v>
      </c>
      <c r="K27" s="126">
        <v>448000000</v>
      </c>
      <c r="L27" s="126">
        <v>358400000</v>
      </c>
      <c r="M27" s="126">
        <v>408400000</v>
      </c>
      <c r="N27" s="126">
        <v>458400000</v>
      </c>
      <c r="O27" s="103">
        <f t="shared" si="0"/>
        <v>50000000</v>
      </c>
    </row>
    <row r="28" spans="1:15" ht="18.95" customHeight="1">
      <c r="A28" s="173">
        <v>22203</v>
      </c>
      <c r="B28" s="103" t="s">
        <v>85</v>
      </c>
      <c r="C28" s="103"/>
      <c r="D28" s="103"/>
      <c r="E28" s="103"/>
      <c r="F28" s="103"/>
      <c r="G28" s="103"/>
      <c r="H28" s="103"/>
      <c r="I28" s="103"/>
      <c r="J28" s="102">
        <v>44688000</v>
      </c>
      <c r="K28" s="102">
        <v>31281600</v>
      </c>
      <c r="L28" s="102">
        <v>31281600</v>
      </c>
      <c r="M28" s="102">
        <v>31281600</v>
      </c>
      <c r="N28" s="102">
        <v>31281600</v>
      </c>
      <c r="O28" s="103">
        <f t="shared" si="0"/>
        <v>0</v>
      </c>
    </row>
    <row r="29" spans="1:15" ht="18.95" customHeight="1">
      <c r="A29" s="173">
        <v>22204</v>
      </c>
      <c r="B29" s="103" t="s">
        <v>86</v>
      </c>
      <c r="C29" s="103"/>
      <c r="D29" s="103"/>
      <c r="E29" s="103"/>
      <c r="F29" s="103"/>
      <c r="G29" s="103"/>
      <c r="H29" s="103"/>
      <c r="I29" s="103"/>
      <c r="J29" s="102">
        <v>13406400</v>
      </c>
      <c r="K29" s="102">
        <f>13406400*70%</f>
        <v>9384480</v>
      </c>
      <c r="L29" s="102">
        <f>13406400*70%</f>
        <v>9384480</v>
      </c>
      <c r="M29" s="102">
        <f>13406400*70%</f>
        <v>9384480</v>
      </c>
      <c r="N29" s="102">
        <f>13406400*70%</f>
        <v>9384480</v>
      </c>
      <c r="O29" s="103">
        <f t="shared" si="0"/>
        <v>0</v>
      </c>
    </row>
    <row r="30" spans="1:15" ht="18.95" customHeight="1">
      <c r="A30" s="173">
        <v>22208</v>
      </c>
      <c r="B30" s="103" t="s">
        <v>238</v>
      </c>
      <c r="C30" s="103"/>
      <c r="D30" s="103"/>
      <c r="E30" s="103"/>
      <c r="F30" s="103"/>
      <c r="G30" s="103"/>
      <c r="H30" s="103"/>
      <c r="I30" s="103"/>
      <c r="J30" s="102">
        <v>400000000</v>
      </c>
      <c r="K30" s="102">
        <f>400000000/3500*6000</f>
        <v>685714285.71428573</v>
      </c>
      <c r="L30" s="102">
        <f>400000000/3500*6000</f>
        <v>685714285.71428573</v>
      </c>
      <c r="M30" s="102">
        <f>400000000/3500*6000</f>
        <v>685714285.71428573</v>
      </c>
      <c r="N30" s="102">
        <v>785714286</v>
      </c>
      <c r="O30" s="103">
        <f t="shared" si="0"/>
        <v>100000000.28571427</v>
      </c>
    </row>
    <row r="31" spans="1:15" ht="18.95" customHeight="1">
      <c r="A31" s="173">
        <v>22209</v>
      </c>
      <c r="B31" s="103" t="s">
        <v>145</v>
      </c>
      <c r="C31" s="103"/>
      <c r="D31" s="103"/>
      <c r="E31" s="103"/>
      <c r="F31" s="103"/>
      <c r="G31" s="103"/>
      <c r="H31" s="103"/>
      <c r="I31" s="103"/>
      <c r="J31" s="102">
        <v>18937600</v>
      </c>
      <c r="K31" s="102">
        <f>18937600*70%</f>
        <v>13256320</v>
      </c>
      <c r="L31" s="102">
        <v>0</v>
      </c>
      <c r="M31" s="102">
        <v>0</v>
      </c>
      <c r="N31" s="102">
        <v>0</v>
      </c>
      <c r="O31" s="103">
        <f t="shared" si="0"/>
        <v>0</v>
      </c>
    </row>
    <row r="32" spans="1:15" ht="18.95" customHeight="1">
      <c r="A32" s="173">
        <v>22216</v>
      </c>
      <c r="B32" s="103" t="s">
        <v>177</v>
      </c>
      <c r="C32" s="103"/>
      <c r="D32" s="103"/>
      <c r="E32" s="103"/>
      <c r="F32" s="103"/>
      <c r="G32" s="103"/>
      <c r="H32" s="103"/>
      <c r="I32" s="103"/>
      <c r="J32" s="102">
        <v>645983520</v>
      </c>
      <c r="K32" s="102">
        <f>645983520*70%</f>
        <v>452188464</v>
      </c>
      <c r="L32" s="102">
        <v>352188464</v>
      </c>
      <c r="M32" s="102">
        <v>352188464</v>
      </c>
      <c r="N32" s="102">
        <v>400000000</v>
      </c>
      <c r="O32" s="103">
        <f t="shared" si="0"/>
        <v>47811536</v>
      </c>
    </row>
    <row r="33" spans="1:15" ht="18.95" customHeight="1">
      <c r="A33" s="173"/>
      <c r="B33" s="138" t="s">
        <v>59</v>
      </c>
      <c r="C33" s="103"/>
      <c r="D33" s="103"/>
      <c r="E33" s="103"/>
      <c r="F33" s="103"/>
      <c r="G33" s="103"/>
      <c r="H33" s="103"/>
      <c r="I33" s="103"/>
      <c r="J33" s="104">
        <f>SUM(J27:J32)</f>
        <v>1763015520</v>
      </c>
      <c r="K33" s="104">
        <f>SUM(K27:K32)</f>
        <v>1639825149.7142859</v>
      </c>
      <c r="L33" s="104">
        <f>SUM(L27:L32)</f>
        <v>1436968829.7142859</v>
      </c>
      <c r="M33" s="104">
        <f>SUM(M27:M32)</f>
        <v>1486968829.7142859</v>
      </c>
      <c r="N33" s="104">
        <f>SUM(N26:N32)</f>
        <v>1754780366</v>
      </c>
      <c r="O33" s="138">
        <f t="shared" si="0"/>
        <v>267811536.28571415</v>
      </c>
    </row>
    <row r="34" spans="1:15" s="437" customFormat="1" ht="18.95" customHeight="1">
      <c r="A34" s="422">
        <v>2230</v>
      </c>
      <c r="B34" s="138" t="s">
        <v>88</v>
      </c>
      <c r="C34" s="140"/>
      <c r="D34" s="140"/>
      <c r="E34" s="140"/>
      <c r="F34" s="140"/>
      <c r="G34" s="140"/>
      <c r="H34" s="140"/>
      <c r="I34" s="140"/>
      <c r="J34" s="127"/>
      <c r="K34" s="127"/>
      <c r="L34" s="127"/>
      <c r="M34" s="127"/>
      <c r="N34" s="127"/>
      <c r="O34" s="103">
        <f t="shared" si="0"/>
        <v>0</v>
      </c>
    </row>
    <row r="35" spans="1:15" ht="18.95" customHeight="1">
      <c r="A35" s="173">
        <v>22301</v>
      </c>
      <c r="B35" s="103" t="s">
        <v>31</v>
      </c>
      <c r="C35" s="103"/>
      <c r="D35" s="103"/>
      <c r="E35" s="103"/>
      <c r="F35" s="103"/>
      <c r="G35" s="103"/>
      <c r="H35" s="103"/>
      <c r="I35" s="103"/>
      <c r="J35" s="102">
        <v>97667200</v>
      </c>
      <c r="K35" s="102">
        <v>68367040</v>
      </c>
      <c r="L35" s="102">
        <v>68367040</v>
      </c>
      <c r="M35" s="102">
        <v>68367040</v>
      </c>
      <c r="N35" s="102">
        <v>108367040</v>
      </c>
      <c r="O35" s="103">
        <f t="shared" si="0"/>
        <v>40000000</v>
      </c>
    </row>
    <row r="36" spans="1:15" ht="18.95" customHeight="1">
      <c r="A36" s="173">
        <v>22302</v>
      </c>
      <c r="B36" s="103" t="s">
        <v>162</v>
      </c>
      <c r="C36" s="103"/>
      <c r="D36" s="103"/>
      <c r="E36" s="103"/>
      <c r="F36" s="103"/>
      <c r="G36" s="103"/>
      <c r="H36" s="103"/>
      <c r="I36" s="103"/>
      <c r="J36" s="102">
        <v>4468800</v>
      </c>
      <c r="K36" s="102">
        <f>4468800*70%</f>
        <v>3128160</v>
      </c>
      <c r="L36" s="102">
        <f>4468800*70%</f>
        <v>3128160</v>
      </c>
      <c r="M36" s="102">
        <f>4468800*70%</f>
        <v>3128160</v>
      </c>
      <c r="N36" s="102">
        <f>4468800*70%</f>
        <v>3128160</v>
      </c>
      <c r="O36" s="103">
        <f t="shared" si="0"/>
        <v>0</v>
      </c>
    </row>
    <row r="37" spans="1:15" ht="18.95" customHeight="1">
      <c r="A37" s="173">
        <v>22311</v>
      </c>
      <c r="B37" s="103" t="s">
        <v>239</v>
      </c>
      <c r="C37" s="103"/>
      <c r="D37" s="103"/>
      <c r="E37" s="103"/>
      <c r="F37" s="103"/>
      <c r="G37" s="103"/>
      <c r="H37" s="103"/>
      <c r="I37" s="103"/>
      <c r="J37" s="102">
        <v>100000000</v>
      </c>
      <c r="K37" s="102">
        <f>366000000*70%</f>
        <v>256199999.99999997</v>
      </c>
      <c r="L37" s="102">
        <v>156200000</v>
      </c>
      <c r="M37" s="102">
        <v>156200000</v>
      </c>
      <c r="N37" s="102">
        <v>156200000</v>
      </c>
      <c r="O37" s="103">
        <f t="shared" si="0"/>
        <v>0</v>
      </c>
    </row>
    <row r="38" spans="1:15" ht="18.95" customHeight="1">
      <c r="A38" s="173"/>
      <c r="B38" s="138" t="s">
        <v>59</v>
      </c>
      <c r="C38" s="103"/>
      <c r="D38" s="103"/>
      <c r="E38" s="103"/>
      <c r="F38" s="103"/>
      <c r="G38" s="103"/>
      <c r="H38" s="103"/>
      <c r="I38" s="103"/>
      <c r="J38" s="104">
        <f>SUM(J35:J37)</f>
        <v>202136000</v>
      </c>
      <c r="K38" s="104">
        <f>SUM(K35:K37)</f>
        <v>327695200</v>
      </c>
      <c r="L38" s="104">
        <f>SUM(L35:L37)</f>
        <v>227695200</v>
      </c>
      <c r="M38" s="104">
        <f>SUM(M35:M37)</f>
        <v>227695200</v>
      </c>
      <c r="N38" s="104">
        <f>SUM(N35:N37)</f>
        <v>267695200</v>
      </c>
      <c r="O38" s="138">
        <f t="shared" si="0"/>
        <v>40000000</v>
      </c>
    </row>
    <row r="39" spans="1:15" ht="18.95" customHeight="1">
      <c r="A39" s="173"/>
      <c r="B39" s="138" t="s">
        <v>165</v>
      </c>
      <c r="C39" s="103"/>
      <c r="D39" s="103"/>
      <c r="E39" s="103"/>
      <c r="F39" s="103"/>
      <c r="G39" s="103"/>
      <c r="H39" s="103"/>
      <c r="I39" s="103"/>
      <c r="J39" s="102"/>
      <c r="K39" s="102"/>
      <c r="L39" s="102"/>
      <c r="M39" s="102"/>
      <c r="N39" s="102"/>
      <c r="O39" s="103">
        <f t="shared" si="0"/>
        <v>0</v>
      </c>
    </row>
    <row r="40" spans="1:15" ht="18.95" customHeight="1">
      <c r="A40" s="422">
        <v>230</v>
      </c>
      <c r="B40" s="138" t="s">
        <v>164</v>
      </c>
      <c r="C40" s="103"/>
      <c r="D40" s="103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3">
        <f t="shared" si="0"/>
        <v>0</v>
      </c>
    </row>
    <row r="41" spans="1:15" ht="18.95" customHeight="1">
      <c r="A41" s="173">
        <v>23102</v>
      </c>
      <c r="B41" s="103" t="s">
        <v>237</v>
      </c>
      <c r="C41" s="139" t="s">
        <v>4</v>
      </c>
      <c r="D41" s="103"/>
      <c r="E41" s="103"/>
      <c r="F41" s="103"/>
      <c r="G41" s="103"/>
      <c r="H41" s="103"/>
      <c r="I41" s="103"/>
      <c r="J41" s="102">
        <v>0</v>
      </c>
      <c r="K41" s="102">
        <v>525000000</v>
      </c>
      <c r="L41" s="102">
        <v>0</v>
      </c>
      <c r="M41" s="102">
        <v>150000000</v>
      </c>
      <c r="N41" s="102">
        <v>0</v>
      </c>
      <c r="O41" s="103">
        <f t="shared" si="0"/>
        <v>-150000000</v>
      </c>
    </row>
    <row r="42" spans="1:15" ht="18.95" customHeight="1">
      <c r="A42" s="173">
        <v>23103</v>
      </c>
      <c r="B42" s="103" t="s">
        <v>106</v>
      </c>
      <c r="C42" s="423"/>
      <c r="D42" s="423"/>
      <c r="E42" s="423"/>
      <c r="F42" s="423"/>
      <c r="G42" s="423"/>
      <c r="H42" s="423"/>
      <c r="I42" s="423"/>
      <c r="J42" s="126">
        <v>5213600</v>
      </c>
      <c r="K42" s="126">
        <f>5213600*70%</f>
        <v>3649520</v>
      </c>
      <c r="L42" s="126">
        <v>0</v>
      </c>
      <c r="M42" s="126">
        <v>0</v>
      </c>
      <c r="N42" s="126">
        <v>0</v>
      </c>
      <c r="O42" s="103">
        <f t="shared" si="0"/>
        <v>0</v>
      </c>
    </row>
    <row r="43" spans="1:15" ht="18.95" customHeight="1">
      <c r="A43" s="173">
        <v>23105</v>
      </c>
      <c r="B43" s="103" t="s">
        <v>864</v>
      </c>
      <c r="C43" s="423"/>
      <c r="D43" s="423"/>
      <c r="E43" s="423"/>
      <c r="F43" s="423"/>
      <c r="G43" s="423"/>
      <c r="H43" s="423"/>
      <c r="I43" s="423"/>
      <c r="J43" s="126"/>
      <c r="K43" s="126">
        <v>0</v>
      </c>
      <c r="L43" s="126">
        <v>120000000</v>
      </c>
      <c r="M43" s="126">
        <v>120000000</v>
      </c>
      <c r="N43" s="126">
        <v>1020000000</v>
      </c>
      <c r="O43" s="103">
        <f t="shared" si="0"/>
        <v>900000000</v>
      </c>
    </row>
    <row r="44" spans="1:15" ht="18.95" customHeight="1">
      <c r="A44" s="173"/>
      <c r="B44" s="103" t="s">
        <v>59</v>
      </c>
      <c r="C44" s="423"/>
      <c r="D44" s="423"/>
      <c r="E44" s="423"/>
      <c r="F44" s="423"/>
      <c r="G44" s="423"/>
      <c r="H44" s="423"/>
      <c r="I44" s="423"/>
      <c r="J44" s="127">
        <f>SUM(J41:J42)</f>
        <v>5213600</v>
      </c>
      <c r="K44" s="127">
        <f>SUM(K41:K42)</f>
        <v>528649520</v>
      </c>
      <c r="L44" s="127">
        <f>SUM(L41:L43)</f>
        <v>120000000</v>
      </c>
      <c r="M44" s="127">
        <f>SUM(M41:M43)</f>
        <v>270000000</v>
      </c>
      <c r="N44" s="127">
        <f>SUM(N41:N43)</f>
        <v>1020000000</v>
      </c>
      <c r="O44" s="138">
        <f t="shared" si="0"/>
        <v>750000000</v>
      </c>
    </row>
    <row r="45" spans="1:15" ht="18.95" customHeight="1">
      <c r="A45" s="425">
        <v>2630</v>
      </c>
      <c r="B45" s="426" t="s">
        <v>306</v>
      </c>
      <c r="C45" s="423"/>
      <c r="D45" s="423"/>
      <c r="E45" s="423"/>
      <c r="F45" s="423"/>
      <c r="G45" s="423"/>
      <c r="H45" s="423"/>
      <c r="I45" s="423"/>
      <c r="J45" s="126"/>
      <c r="K45" s="126"/>
      <c r="L45" s="126"/>
      <c r="M45" s="126"/>
      <c r="N45" s="126"/>
      <c r="O45" s="103">
        <f t="shared" si="0"/>
        <v>0</v>
      </c>
    </row>
    <row r="46" spans="1:15" ht="18.95" customHeight="1">
      <c r="A46" s="173">
        <v>26301</v>
      </c>
      <c r="B46" s="103" t="s">
        <v>629</v>
      </c>
      <c r="C46" s="423"/>
      <c r="D46" s="423"/>
      <c r="E46" s="423"/>
      <c r="F46" s="423"/>
      <c r="G46" s="423"/>
      <c r="H46" s="423"/>
      <c r="I46" s="423"/>
      <c r="J46" s="126">
        <v>410000000</v>
      </c>
      <c r="K46" s="126">
        <f>410000000*70%</f>
        <v>287000000</v>
      </c>
      <c r="L46" s="126">
        <f>410000000*70%</f>
        <v>287000000</v>
      </c>
      <c r="M46" s="126">
        <v>227000000</v>
      </c>
      <c r="N46" s="126">
        <v>227000000</v>
      </c>
      <c r="O46" s="103">
        <f t="shared" si="0"/>
        <v>0</v>
      </c>
    </row>
    <row r="47" spans="1:15" ht="18.95" customHeight="1">
      <c r="A47" s="173">
        <v>26302</v>
      </c>
      <c r="B47" s="103" t="s">
        <v>460</v>
      </c>
      <c r="C47" s="423"/>
      <c r="D47" s="423"/>
      <c r="E47" s="423"/>
      <c r="F47" s="423"/>
      <c r="G47" s="423"/>
      <c r="H47" s="423"/>
      <c r="I47" s="423"/>
      <c r="J47" s="126"/>
      <c r="K47" s="126"/>
      <c r="L47" s="126">
        <v>120000000</v>
      </c>
      <c r="M47" s="126">
        <v>180000000</v>
      </c>
      <c r="N47" s="126">
        <v>180000000</v>
      </c>
      <c r="O47" s="103">
        <f t="shared" si="0"/>
        <v>0</v>
      </c>
    </row>
    <row r="48" spans="1:15" ht="18.95" customHeight="1">
      <c r="A48" s="173">
        <v>26303</v>
      </c>
      <c r="B48" s="103" t="s">
        <v>457</v>
      </c>
      <c r="C48" s="423"/>
      <c r="D48" s="423"/>
      <c r="E48" s="423"/>
      <c r="F48" s="423"/>
      <c r="G48" s="423"/>
      <c r="H48" s="423"/>
      <c r="I48" s="423"/>
      <c r="J48" s="126"/>
      <c r="K48" s="126"/>
      <c r="L48" s="126">
        <v>120000000</v>
      </c>
      <c r="M48" s="126">
        <v>180000000</v>
      </c>
      <c r="N48" s="126">
        <v>180000000</v>
      </c>
      <c r="O48" s="103">
        <f t="shared" si="0"/>
        <v>0</v>
      </c>
    </row>
    <row r="49" spans="1:15" ht="18.95" customHeight="1">
      <c r="A49" s="173">
        <v>26304</v>
      </c>
      <c r="B49" s="103" t="s">
        <v>458</v>
      </c>
      <c r="C49" s="423"/>
      <c r="D49" s="423"/>
      <c r="E49" s="423"/>
      <c r="F49" s="423"/>
      <c r="G49" s="423"/>
      <c r="H49" s="423"/>
      <c r="I49" s="423"/>
      <c r="J49" s="126"/>
      <c r="K49" s="126"/>
      <c r="L49" s="126">
        <v>120000000</v>
      </c>
      <c r="M49" s="126">
        <v>180000000</v>
      </c>
      <c r="N49" s="126">
        <v>180000000</v>
      </c>
      <c r="O49" s="103">
        <f t="shared" si="0"/>
        <v>0</v>
      </c>
    </row>
    <row r="50" spans="1:15" ht="18.95" customHeight="1">
      <c r="A50" s="173">
        <v>26305</v>
      </c>
      <c r="B50" s="103" t="s">
        <v>586</v>
      </c>
      <c r="C50" s="423"/>
      <c r="D50" s="423"/>
      <c r="E50" s="423"/>
      <c r="F50" s="423"/>
      <c r="G50" s="423"/>
      <c r="H50" s="423"/>
      <c r="I50" s="423"/>
      <c r="J50" s="126"/>
      <c r="K50" s="126"/>
      <c r="L50" s="126">
        <v>120000000</v>
      </c>
      <c r="M50" s="126">
        <v>180000000</v>
      </c>
      <c r="N50" s="126">
        <v>180000000</v>
      </c>
      <c r="O50" s="103">
        <f t="shared" si="0"/>
        <v>0</v>
      </c>
    </row>
    <row r="51" spans="1:15" ht="18.95" customHeight="1">
      <c r="A51" s="173">
        <v>26306</v>
      </c>
      <c r="B51" s="103" t="s">
        <v>630</v>
      </c>
      <c r="C51" s="423"/>
      <c r="D51" s="423"/>
      <c r="E51" s="423"/>
      <c r="F51" s="423"/>
      <c r="G51" s="423"/>
      <c r="H51" s="423"/>
      <c r="I51" s="423"/>
      <c r="J51" s="126"/>
      <c r="K51" s="126"/>
      <c r="L51" s="126">
        <v>0</v>
      </c>
      <c r="M51" s="126">
        <v>100000000</v>
      </c>
      <c r="N51" s="126">
        <v>100000000</v>
      </c>
      <c r="O51" s="103">
        <f t="shared" si="0"/>
        <v>0</v>
      </c>
    </row>
    <row r="52" spans="1:15" ht="18.95" customHeight="1">
      <c r="A52" s="173">
        <v>26307</v>
      </c>
      <c r="B52" s="103" t="s">
        <v>631</v>
      </c>
      <c r="C52" s="423"/>
      <c r="D52" s="423"/>
      <c r="E52" s="423"/>
      <c r="F52" s="423"/>
      <c r="G52" s="423"/>
      <c r="H52" s="423"/>
      <c r="I52" s="423"/>
      <c r="J52" s="126"/>
      <c r="K52" s="126"/>
      <c r="L52" s="126">
        <v>0</v>
      </c>
      <c r="M52" s="126">
        <v>100000000</v>
      </c>
      <c r="N52" s="126">
        <v>100000000</v>
      </c>
      <c r="O52" s="103">
        <f t="shared" si="0"/>
        <v>0</v>
      </c>
    </row>
    <row r="53" spans="1:15" ht="18.95" customHeight="1">
      <c r="A53" s="173">
        <v>26308</v>
      </c>
      <c r="B53" s="103" t="s">
        <v>680</v>
      </c>
      <c r="C53" s="423"/>
      <c r="D53" s="423"/>
      <c r="E53" s="423"/>
      <c r="F53" s="423"/>
      <c r="G53" s="423"/>
      <c r="H53" s="423"/>
      <c r="I53" s="423"/>
      <c r="J53" s="126"/>
      <c r="K53" s="126"/>
      <c r="L53" s="126"/>
      <c r="M53" s="126">
        <v>100000000</v>
      </c>
      <c r="N53" s="126">
        <v>100000000</v>
      </c>
      <c r="O53" s="103">
        <f t="shared" si="0"/>
        <v>0</v>
      </c>
    </row>
    <row r="54" spans="1:15" ht="18.95" customHeight="1">
      <c r="A54" s="173"/>
      <c r="B54" s="138" t="s">
        <v>59</v>
      </c>
      <c r="C54" s="423"/>
      <c r="D54" s="423"/>
      <c r="E54" s="423"/>
      <c r="F54" s="423"/>
      <c r="G54" s="423"/>
      <c r="H54" s="423"/>
      <c r="I54" s="423"/>
      <c r="J54" s="126"/>
      <c r="K54" s="127">
        <f>SUM(K46)</f>
        <v>287000000</v>
      </c>
      <c r="L54" s="127">
        <f>SUM(L46:L52)</f>
        <v>767000000</v>
      </c>
      <c r="M54" s="127">
        <f>SUM(M46:M53)</f>
        <v>1247000000</v>
      </c>
      <c r="N54" s="127">
        <f>SUM(N46:N53)</f>
        <v>1247000000</v>
      </c>
      <c r="O54" s="138">
        <f t="shared" si="0"/>
        <v>0</v>
      </c>
    </row>
    <row r="55" spans="1:15" ht="18.95" customHeight="1">
      <c r="A55" s="422">
        <v>2320</v>
      </c>
      <c r="B55" s="138" t="s">
        <v>342</v>
      </c>
      <c r="C55" s="423"/>
      <c r="D55" s="423"/>
      <c r="E55" s="423"/>
      <c r="F55" s="423"/>
      <c r="G55" s="423"/>
      <c r="H55" s="423"/>
      <c r="I55" s="423"/>
      <c r="J55" s="126"/>
      <c r="K55" s="126"/>
      <c r="L55" s="126"/>
      <c r="M55" s="126"/>
      <c r="N55" s="126"/>
      <c r="O55" s="103">
        <f t="shared" si="0"/>
        <v>0</v>
      </c>
    </row>
    <row r="56" spans="1:15" ht="18.95" customHeight="1">
      <c r="A56" s="173">
        <v>23201</v>
      </c>
      <c r="B56" s="103" t="s">
        <v>865</v>
      </c>
      <c r="C56" s="423"/>
      <c r="D56" s="423"/>
      <c r="E56" s="423"/>
      <c r="F56" s="423"/>
      <c r="G56" s="423"/>
      <c r="H56" s="423"/>
      <c r="I56" s="423"/>
      <c r="J56" s="126"/>
      <c r="K56" s="126"/>
      <c r="L56" s="126">
        <v>1320000000</v>
      </c>
      <c r="M56" s="126">
        <v>0</v>
      </c>
      <c r="N56" s="126">
        <v>1000000000</v>
      </c>
      <c r="O56" s="103">
        <f t="shared" si="0"/>
        <v>1000000000</v>
      </c>
    </row>
    <row r="57" spans="1:15" ht="18.95" customHeight="1">
      <c r="A57" s="173">
        <v>23202</v>
      </c>
      <c r="B57" s="103" t="s">
        <v>879</v>
      </c>
      <c r="C57" s="423"/>
      <c r="D57" s="423"/>
      <c r="E57" s="423"/>
      <c r="F57" s="423"/>
      <c r="G57" s="423"/>
      <c r="H57" s="423"/>
      <c r="I57" s="423"/>
      <c r="J57" s="126"/>
      <c r="K57" s="126"/>
      <c r="L57" s="126">
        <v>210000000</v>
      </c>
      <c r="M57" s="126">
        <v>0</v>
      </c>
      <c r="N57" s="126">
        <v>987570000</v>
      </c>
      <c r="O57" s="103">
        <f t="shared" si="0"/>
        <v>987570000</v>
      </c>
    </row>
    <row r="58" spans="1:15" ht="18.95" customHeight="1">
      <c r="A58" s="173">
        <v>23203</v>
      </c>
      <c r="B58" s="103" t="s">
        <v>627</v>
      </c>
      <c r="C58" s="423"/>
      <c r="D58" s="423"/>
      <c r="E58" s="423"/>
      <c r="F58" s="423"/>
      <c r="G58" s="423"/>
      <c r="H58" s="423"/>
      <c r="I58" s="423"/>
      <c r="J58" s="126"/>
      <c r="K58" s="126"/>
      <c r="L58" s="126">
        <v>0</v>
      </c>
      <c r="M58" s="126">
        <v>1900000000</v>
      </c>
      <c r="N58" s="126">
        <v>0</v>
      </c>
      <c r="O58" s="103">
        <f t="shared" si="0"/>
        <v>-1900000000</v>
      </c>
    </row>
    <row r="59" spans="1:15" ht="18.95" customHeight="1">
      <c r="A59" s="173">
        <v>23204</v>
      </c>
      <c r="B59" s="103" t="s">
        <v>896</v>
      </c>
      <c r="C59" s="423"/>
      <c r="D59" s="423"/>
      <c r="E59" s="423"/>
      <c r="F59" s="423"/>
      <c r="G59" s="423"/>
      <c r="H59" s="423"/>
      <c r="I59" s="423"/>
      <c r="J59" s="126"/>
      <c r="K59" s="126"/>
      <c r="L59" s="126"/>
      <c r="M59" s="126">
        <v>600000000</v>
      </c>
      <c r="N59" s="126">
        <v>0</v>
      </c>
      <c r="O59" s="103">
        <f t="shared" si="0"/>
        <v>-600000000</v>
      </c>
    </row>
    <row r="60" spans="1:15" ht="18.95" customHeight="1">
      <c r="A60" s="173">
        <v>23205</v>
      </c>
      <c r="B60" s="103" t="s">
        <v>628</v>
      </c>
      <c r="C60" s="423"/>
      <c r="D60" s="423"/>
      <c r="E60" s="423"/>
      <c r="F60" s="423"/>
      <c r="G60" s="423"/>
      <c r="H60" s="423"/>
      <c r="I60" s="423"/>
      <c r="J60" s="126"/>
      <c r="K60" s="126"/>
      <c r="L60" s="126">
        <v>0</v>
      </c>
      <c r="M60" s="126">
        <v>1200000000</v>
      </c>
      <c r="N60" s="126">
        <v>0</v>
      </c>
      <c r="O60" s="103">
        <f t="shared" si="0"/>
        <v>-1200000000</v>
      </c>
    </row>
    <row r="61" spans="1:15" ht="18.95" customHeight="1">
      <c r="A61" s="173">
        <v>23206</v>
      </c>
      <c r="B61" s="103" t="s">
        <v>686</v>
      </c>
      <c r="C61" s="423"/>
      <c r="D61" s="423"/>
      <c r="E61" s="423"/>
      <c r="F61" s="423"/>
      <c r="G61" s="423"/>
      <c r="H61" s="423"/>
      <c r="I61" s="423"/>
      <c r="J61" s="126"/>
      <c r="K61" s="126"/>
      <c r="L61" s="126">
        <v>0</v>
      </c>
      <c r="M61" s="126">
        <v>180000000</v>
      </c>
      <c r="N61" s="126">
        <v>0</v>
      </c>
      <c r="O61" s="103">
        <f t="shared" si="0"/>
        <v>-180000000</v>
      </c>
    </row>
    <row r="62" spans="1:15" ht="18.95" customHeight="1">
      <c r="A62" s="173">
        <v>23207</v>
      </c>
      <c r="B62" s="103" t="s">
        <v>632</v>
      </c>
      <c r="C62" s="423"/>
      <c r="D62" s="423"/>
      <c r="E62" s="423"/>
      <c r="F62" s="423"/>
      <c r="G62" s="423"/>
      <c r="H62" s="423"/>
      <c r="I62" s="423"/>
      <c r="J62" s="126"/>
      <c r="K62" s="126"/>
      <c r="L62" s="126">
        <v>0</v>
      </c>
      <c r="M62" s="126">
        <v>300000000</v>
      </c>
      <c r="N62" s="126">
        <v>0</v>
      </c>
      <c r="O62" s="103">
        <f t="shared" si="0"/>
        <v>-300000000</v>
      </c>
    </row>
    <row r="63" spans="1:15" ht="18.95" customHeight="1">
      <c r="A63" s="173">
        <v>23208</v>
      </c>
      <c r="B63" s="103" t="s">
        <v>906</v>
      </c>
      <c r="C63" s="423"/>
      <c r="D63" s="423"/>
      <c r="E63" s="423"/>
      <c r="F63" s="423"/>
      <c r="G63" s="423"/>
      <c r="H63" s="423"/>
      <c r="I63" s="423"/>
      <c r="J63" s="126"/>
      <c r="K63" s="126"/>
      <c r="L63" s="126"/>
      <c r="M63" s="126">
        <v>0</v>
      </c>
      <c r="N63" s="126">
        <v>342000000</v>
      </c>
      <c r="O63" s="103">
        <f t="shared" si="0"/>
        <v>342000000</v>
      </c>
    </row>
    <row r="64" spans="1:15" ht="18.95" customHeight="1">
      <c r="A64" s="173"/>
      <c r="B64" s="138" t="s">
        <v>59</v>
      </c>
      <c r="C64" s="423"/>
      <c r="D64" s="423"/>
      <c r="E64" s="423"/>
      <c r="F64" s="423"/>
      <c r="G64" s="423"/>
      <c r="H64" s="423"/>
      <c r="I64" s="423"/>
      <c r="J64" s="127">
        <f>SUM(J41:J46)</f>
        <v>420427200</v>
      </c>
      <c r="K64" s="127"/>
      <c r="L64" s="127">
        <f>SUM(L55:L62)</f>
        <v>1530000000</v>
      </c>
      <c r="M64" s="127">
        <f>SUM(M55:M63)</f>
        <v>4180000000</v>
      </c>
      <c r="N64" s="127">
        <f>SUM(N56:N63)</f>
        <v>2329570000</v>
      </c>
      <c r="O64" s="103">
        <f t="shared" si="0"/>
        <v>-1850430000</v>
      </c>
    </row>
    <row r="65" spans="1:15" ht="18.95" customHeight="1">
      <c r="A65" s="173"/>
      <c r="B65" s="138" t="s">
        <v>18</v>
      </c>
      <c r="C65" s="423"/>
      <c r="D65" s="423"/>
      <c r="E65" s="423"/>
      <c r="F65" s="423"/>
      <c r="G65" s="423"/>
      <c r="H65" s="423"/>
      <c r="I65" s="423"/>
      <c r="J65" s="127">
        <f>J64+J38+J33+J24+J9</f>
        <v>8555024560</v>
      </c>
      <c r="K65" s="127" t="e">
        <f>K64+K54+K44+K38+K33+K24+K9</f>
        <v>#REF!</v>
      </c>
      <c r="L65" s="127">
        <f>L64+L54+L44+L38+L33+L24+L9</f>
        <v>25594452237.714287</v>
      </c>
      <c r="M65" s="127">
        <f>M64+M54+M44+M38+M33+M24+M9</f>
        <v>36425317837.714287</v>
      </c>
      <c r="N65" s="127">
        <f>N64+N54+N44+N38+N33+N24+N9</f>
        <v>35700043934</v>
      </c>
      <c r="O65" s="138">
        <f t="shared" si="0"/>
        <v>-725273903.7142868</v>
      </c>
    </row>
    <row r="66" spans="1:15" ht="18.95" customHeight="1">
      <c r="A66" s="438"/>
      <c r="J66" s="415"/>
    </row>
    <row r="67" spans="1:15" ht="18.95" customHeight="1">
      <c r="J67" s="415"/>
    </row>
  </sheetData>
  <phoneticPr fontId="0" type="noConversion"/>
  <printOptions gridLines="1"/>
  <pageMargins left="0.51" right="0.25" top="0.84" bottom="0.43" header="0.17" footer="0.19"/>
  <pageSetup scale="54" fitToHeight="2" orientation="portrait" r:id="rId1"/>
  <headerFooter alignWithMargins="0">
    <oddHeader>&amp;C&amp;"Algerian,Bold"&amp;36WASAARADA CAAFIMAADKA</oddHeader>
    <oddFooter>&amp;R&amp;"Times New Roman,Bold"&amp;14 &amp;16 40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topLeftCell="A37" zoomScale="60" workbookViewId="0">
      <selection activeCell="F45" sqref="F45"/>
    </sheetView>
  </sheetViews>
  <sheetFormatPr defaultRowHeight="27.95" customHeight="1"/>
  <cols>
    <col min="1" max="1" width="18.1640625" style="155" bestFit="1" customWidth="1"/>
    <col min="2" max="2" width="79" style="86" customWidth="1"/>
    <col min="3" max="3" width="17.83203125" style="86" hidden="1" customWidth="1"/>
    <col min="4" max="4" width="24.5" style="86" hidden="1" customWidth="1"/>
    <col min="5" max="5" width="24.5" style="86" customWidth="1"/>
    <col min="6" max="6" width="28.33203125" style="181" customWidth="1"/>
    <col min="7" max="7" width="24.5" style="86" customWidth="1"/>
    <col min="8" max="16384" width="9.33203125" style="86"/>
  </cols>
  <sheetData>
    <row r="1" spans="1:7" ht="27.95" customHeight="1">
      <c r="A1" s="172" t="s">
        <v>20</v>
      </c>
      <c r="B1" s="182" t="s">
        <v>881</v>
      </c>
      <c r="C1" s="95"/>
      <c r="D1" s="95"/>
      <c r="E1" s="95"/>
      <c r="F1" s="146"/>
      <c r="G1" s="95"/>
    </row>
    <row r="2" spans="1:7" ht="27.95" customHeight="1">
      <c r="A2" s="172" t="s">
        <v>6</v>
      </c>
      <c r="B2" s="95" t="s">
        <v>7</v>
      </c>
      <c r="C2" s="95" t="s">
        <v>201</v>
      </c>
      <c r="D2" s="95" t="s">
        <v>538</v>
      </c>
      <c r="E2" s="95" t="s">
        <v>607</v>
      </c>
      <c r="F2" s="146" t="s">
        <v>722</v>
      </c>
      <c r="G2" s="95" t="s">
        <v>34</v>
      </c>
    </row>
    <row r="3" spans="1:7" ht="27.95" customHeight="1">
      <c r="A3" s="96">
        <v>210</v>
      </c>
      <c r="B3" s="74" t="s">
        <v>95</v>
      </c>
      <c r="C3" s="74"/>
      <c r="D3" s="74"/>
      <c r="E3" s="74"/>
      <c r="F3" s="125"/>
      <c r="G3" s="74"/>
    </row>
    <row r="4" spans="1:7" ht="27.95" customHeight="1">
      <c r="A4" s="96">
        <v>2110</v>
      </c>
      <c r="B4" s="74" t="s">
        <v>155</v>
      </c>
      <c r="C4" s="74"/>
      <c r="D4" s="74"/>
      <c r="E4" s="74"/>
      <c r="F4" s="125"/>
      <c r="G4" s="74"/>
    </row>
    <row r="5" spans="1:7" ht="27.95" customHeight="1">
      <c r="A5" s="170">
        <v>21101</v>
      </c>
      <c r="B5" s="69" t="s">
        <v>9</v>
      </c>
      <c r="C5" s="69"/>
      <c r="D5" s="69">
        <v>137810400</v>
      </c>
      <c r="E5" s="69">
        <v>0</v>
      </c>
      <c r="F5" s="99">
        <v>127445760</v>
      </c>
      <c r="G5" s="69">
        <f>F5-E5</f>
        <v>127445760</v>
      </c>
    </row>
    <row r="6" spans="1:7" ht="27.95" customHeight="1">
      <c r="A6" s="170">
        <v>21102</v>
      </c>
      <c r="B6" s="69" t="s">
        <v>461</v>
      </c>
      <c r="C6" s="69">
        <v>0</v>
      </c>
      <c r="D6" s="69">
        <v>0</v>
      </c>
      <c r="E6" s="69">
        <v>0</v>
      </c>
      <c r="F6" s="99">
        <v>114000000</v>
      </c>
      <c r="G6" s="69">
        <f t="shared" ref="G6:G44" si="0">F6-E6</f>
        <v>114000000</v>
      </c>
    </row>
    <row r="7" spans="1:7" ht="27.95" customHeight="1">
      <c r="A7" s="170">
        <v>21103</v>
      </c>
      <c r="B7" s="69" t="s">
        <v>11</v>
      </c>
      <c r="C7" s="69">
        <v>0</v>
      </c>
      <c r="D7" s="69">
        <v>288800000</v>
      </c>
      <c r="E7" s="69">
        <v>0</v>
      </c>
      <c r="F7" s="99">
        <v>174000000</v>
      </c>
      <c r="G7" s="69">
        <f t="shared" si="0"/>
        <v>174000000</v>
      </c>
    </row>
    <row r="8" spans="1:7" ht="27.95" customHeight="1">
      <c r="A8" s="170">
        <v>21105</v>
      </c>
      <c r="B8" s="69" t="s">
        <v>399</v>
      </c>
      <c r="C8" s="69"/>
      <c r="D8" s="69">
        <v>0</v>
      </c>
      <c r="E8" s="69">
        <v>0</v>
      </c>
      <c r="F8" s="99"/>
      <c r="G8" s="69">
        <f t="shared" si="0"/>
        <v>0</v>
      </c>
    </row>
    <row r="9" spans="1:7" ht="27.95" customHeight="1">
      <c r="A9" s="170"/>
      <c r="B9" s="74" t="s">
        <v>59</v>
      </c>
      <c r="C9" s="69">
        <v>0</v>
      </c>
      <c r="D9" s="74">
        <f>SUM(D5:D8)</f>
        <v>426610400</v>
      </c>
      <c r="E9" s="69">
        <v>0</v>
      </c>
      <c r="F9" s="125">
        <f>SUM(F5:F8)</f>
        <v>415445760</v>
      </c>
      <c r="G9" s="74">
        <f t="shared" si="0"/>
        <v>415445760</v>
      </c>
    </row>
    <row r="10" spans="1:7" ht="27.95" customHeight="1">
      <c r="A10" s="96">
        <v>220</v>
      </c>
      <c r="B10" s="74" t="s">
        <v>159</v>
      </c>
      <c r="C10" s="69">
        <v>0</v>
      </c>
      <c r="D10" s="74"/>
      <c r="E10" s="69">
        <v>0</v>
      </c>
      <c r="F10" s="125"/>
      <c r="G10" s="69">
        <f t="shared" si="0"/>
        <v>0</v>
      </c>
    </row>
    <row r="11" spans="1:7" ht="27.95" customHeight="1">
      <c r="A11" s="96">
        <v>2210</v>
      </c>
      <c r="B11" s="74" t="s">
        <v>160</v>
      </c>
      <c r="C11" s="69">
        <v>0</v>
      </c>
      <c r="D11" s="74"/>
      <c r="E11" s="69">
        <v>0</v>
      </c>
      <c r="F11" s="125"/>
      <c r="G11" s="69">
        <f t="shared" si="0"/>
        <v>0</v>
      </c>
    </row>
    <row r="12" spans="1:7" ht="27.95" customHeight="1">
      <c r="A12" s="170">
        <v>22101</v>
      </c>
      <c r="B12" s="69" t="s">
        <v>14</v>
      </c>
      <c r="C12" s="69">
        <v>0</v>
      </c>
      <c r="D12" s="69">
        <v>10000000</v>
      </c>
      <c r="E12" s="69">
        <v>0</v>
      </c>
      <c r="F12" s="99">
        <v>8000000</v>
      </c>
      <c r="G12" s="69">
        <f t="shared" si="0"/>
        <v>8000000</v>
      </c>
    </row>
    <row r="13" spans="1:7" ht="27.95" customHeight="1">
      <c r="A13" s="170">
        <v>22102</v>
      </c>
      <c r="B13" s="69" t="s">
        <v>235</v>
      </c>
      <c r="C13" s="69">
        <v>0</v>
      </c>
      <c r="D13" s="69">
        <v>28800000</v>
      </c>
      <c r="E13" s="69">
        <v>0</v>
      </c>
      <c r="F13" s="99"/>
      <c r="G13" s="69">
        <f t="shared" si="0"/>
        <v>0</v>
      </c>
    </row>
    <row r="14" spans="1:7" ht="27.95" customHeight="1">
      <c r="A14" s="170">
        <v>22104</v>
      </c>
      <c r="B14" s="69" t="s">
        <v>116</v>
      </c>
      <c r="C14" s="69">
        <v>0</v>
      </c>
      <c r="D14" s="69">
        <v>5000000</v>
      </c>
      <c r="E14" s="69">
        <v>0</v>
      </c>
      <c r="F14" s="99">
        <v>6700000</v>
      </c>
      <c r="G14" s="69">
        <f t="shared" si="0"/>
        <v>6700000</v>
      </c>
    </row>
    <row r="15" spans="1:7" ht="27.95" customHeight="1">
      <c r="A15" s="170">
        <v>22105</v>
      </c>
      <c r="B15" s="69" t="s">
        <v>443</v>
      </c>
      <c r="C15" s="69">
        <v>0</v>
      </c>
      <c r="D15" s="69">
        <v>50400000</v>
      </c>
      <c r="E15" s="69">
        <v>0</v>
      </c>
      <c r="F15" s="99">
        <v>50400000</v>
      </c>
      <c r="G15" s="69">
        <f t="shared" si="0"/>
        <v>50400000</v>
      </c>
    </row>
    <row r="16" spans="1:7" ht="27.95" customHeight="1">
      <c r="A16" s="170">
        <v>22106</v>
      </c>
      <c r="B16" s="69" t="s">
        <v>84</v>
      </c>
      <c r="C16" s="69">
        <v>0</v>
      </c>
      <c r="D16" s="69"/>
      <c r="E16" s="69">
        <v>0</v>
      </c>
      <c r="F16" s="99"/>
      <c r="G16" s="69">
        <f t="shared" si="0"/>
        <v>0</v>
      </c>
    </row>
    <row r="17" spans="1:7" ht="27.95" customHeight="1">
      <c r="A17" s="170">
        <v>22107</v>
      </c>
      <c r="B17" s="69" t="s">
        <v>30</v>
      </c>
      <c r="C17" s="69">
        <v>0</v>
      </c>
      <c r="D17" s="69"/>
      <c r="E17" s="69">
        <v>0</v>
      </c>
      <c r="F17" s="99"/>
      <c r="G17" s="69">
        <f t="shared" si="0"/>
        <v>0</v>
      </c>
    </row>
    <row r="18" spans="1:7" ht="27.95" customHeight="1">
      <c r="A18" s="170">
        <v>22109</v>
      </c>
      <c r="B18" s="69" t="s">
        <v>94</v>
      </c>
      <c r="C18" s="69">
        <v>0</v>
      </c>
      <c r="D18" s="69">
        <v>10000000</v>
      </c>
      <c r="E18" s="69">
        <v>0</v>
      </c>
      <c r="F18" s="99">
        <v>5000000</v>
      </c>
      <c r="G18" s="69">
        <f t="shared" si="0"/>
        <v>5000000</v>
      </c>
    </row>
    <row r="19" spans="1:7" ht="27.95" customHeight="1">
      <c r="A19" s="170">
        <v>22112</v>
      </c>
      <c r="B19" s="69" t="s">
        <v>16</v>
      </c>
      <c r="C19" s="69">
        <v>0</v>
      </c>
      <c r="D19" s="69">
        <v>3000000</v>
      </c>
      <c r="E19" s="69">
        <v>0</v>
      </c>
      <c r="F19" s="99">
        <v>10000000</v>
      </c>
      <c r="G19" s="69">
        <f t="shared" si="0"/>
        <v>10000000</v>
      </c>
    </row>
    <row r="20" spans="1:7" ht="27.95" customHeight="1">
      <c r="A20" s="170">
        <v>22129</v>
      </c>
      <c r="B20" s="69" t="s">
        <v>258</v>
      </c>
      <c r="C20" s="69">
        <v>0</v>
      </c>
      <c r="D20" s="69"/>
      <c r="E20" s="69">
        <v>0</v>
      </c>
      <c r="F20" s="99"/>
      <c r="G20" s="69">
        <f t="shared" si="0"/>
        <v>0</v>
      </c>
    </row>
    <row r="21" spans="1:7" ht="27.95" customHeight="1">
      <c r="A21" s="170">
        <v>22132</v>
      </c>
      <c r="B21" s="69" t="s">
        <v>144</v>
      </c>
      <c r="C21" s="69">
        <v>0</v>
      </c>
      <c r="D21" s="69"/>
      <c r="E21" s="69">
        <v>0</v>
      </c>
      <c r="F21" s="99"/>
      <c r="G21" s="69">
        <f t="shared" si="0"/>
        <v>0</v>
      </c>
    </row>
    <row r="22" spans="1:7" ht="27.95" customHeight="1">
      <c r="A22" s="170">
        <v>22137</v>
      </c>
      <c r="B22" s="69" t="s">
        <v>180</v>
      </c>
      <c r="C22" s="69">
        <v>0</v>
      </c>
      <c r="D22" s="69">
        <v>0</v>
      </c>
      <c r="E22" s="69">
        <v>0</v>
      </c>
      <c r="F22" s="99"/>
      <c r="G22" s="69">
        <f t="shared" si="0"/>
        <v>0</v>
      </c>
    </row>
    <row r="23" spans="1:7" ht="27.95" customHeight="1">
      <c r="A23" s="170"/>
      <c r="B23" s="74" t="s">
        <v>59</v>
      </c>
      <c r="C23" s="69">
        <v>0</v>
      </c>
      <c r="D23" s="74">
        <f>SUM(D12:D22)</f>
        <v>107200000</v>
      </c>
      <c r="E23" s="69">
        <v>0</v>
      </c>
      <c r="F23" s="125">
        <f>SUM(F12:F22)</f>
        <v>80100000</v>
      </c>
      <c r="G23" s="74">
        <f t="shared" si="0"/>
        <v>80100000</v>
      </c>
    </row>
    <row r="24" spans="1:7" ht="27.95" customHeight="1">
      <c r="A24" s="96">
        <v>2220</v>
      </c>
      <c r="B24" s="74" t="s">
        <v>161</v>
      </c>
      <c r="C24" s="69">
        <v>0</v>
      </c>
      <c r="D24" s="74"/>
      <c r="E24" s="69">
        <v>0</v>
      </c>
      <c r="F24" s="125"/>
      <c r="G24" s="69">
        <f t="shared" si="0"/>
        <v>0</v>
      </c>
    </row>
    <row r="25" spans="1:7" ht="27.95" customHeight="1">
      <c r="A25" s="170">
        <v>22202</v>
      </c>
      <c r="B25" s="69" t="s">
        <v>91</v>
      </c>
      <c r="C25" s="69">
        <v>0</v>
      </c>
      <c r="D25" s="69">
        <v>35000000</v>
      </c>
      <c r="E25" s="69">
        <v>0</v>
      </c>
      <c r="F25" s="99">
        <v>50000000</v>
      </c>
      <c r="G25" s="69">
        <f t="shared" si="0"/>
        <v>50000000</v>
      </c>
    </row>
    <row r="26" spans="1:7" ht="27.95" customHeight="1">
      <c r="A26" s="170">
        <v>22203</v>
      </c>
      <c r="B26" s="69" t="s">
        <v>85</v>
      </c>
      <c r="C26" s="69">
        <v>0</v>
      </c>
      <c r="D26" s="69">
        <v>10000000</v>
      </c>
      <c r="E26" s="69">
        <v>0</v>
      </c>
      <c r="F26" s="99">
        <v>10000000</v>
      </c>
      <c r="G26" s="69">
        <f t="shared" si="0"/>
        <v>10000000</v>
      </c>
    </row>
    <row r="27" spans="1:7" ht="27.95" customHeight="1">
      <c r="A27" s="170">
        <v>22204</v>
      </c>
      <c r="B27" s="69" t="s">
        <v>86</v>
      </c>
      <c r="C27" s="69">
        <v>0</v>
      </c>
      <c r="D27" s="69">
        <v>2000000</v>
      </c>
      <c r="E27" s="69">
        <v>0</v>
      </c>
      <c r="F27" s="99">
        <v>3000000</v>
      </c>
      <c r="G27" s="69">
        <f t="shared" si="0"/>
        <v>3000000</v>
      </c>
    </row>
    <row r="28" spans="1:7" ht="27.95" customHeight="1">
      <c r="A28" s="170">
        <v>22207</v>
      </c>
      <c r="B28" s="69" t="s">
        <v>256</v>
      </c>
      <c r="C28" s="69">
        <v>0</v>
      </c>
      <c r="D28" s="69"/>
      <c r="E28" s="69">
        <v>0</v>
      </c>
      <c r="F28" s="99"/>
      <c r="G28" s="69">
        <f t="shared" si="0"/>
        <v>0</v>
      </c>
    </row>
    <row r="29" spans="1:7" ht="27.95" customHeight="1">
      <c r="A29" s="170">
        <v>22209</v>
      </c>
      <c r="B29" s="69" t="s">
        <v>145</v>
      </c>
      <c r="C29" s="69">
        <v>0</v>
      </c>
      <c r="D29" s="69">
        <v>0</v>
      </c>
      <c r="E29" s="69">
        <v>0</v>
      </c>
      <c r="F29" s="99"/>
      <c r="G29" s="69">
        <f t="shared" si="0"/>
        <v>0</v>
      </c>
    </row>
    <row r="30" spans="1:7" ht="27.95" customHeight="1">
      <c r="A30" s="170"/>
      <c r="B30" s="74" t="s">
        <v>59</v>
      </c>
      <c r="C30" s="69">
        <v>0</v>
      </c>
      <c r="D30" s="74">
        <f>SUM(D25:D29)</f>
        <v>47000000</v>
      </c>
      <c r="E30" s="69">
        <v>0</v>
      </c>
      <c r="F30" s="125">
        <f>SUM(F25:F29)</f>
        <v>63000000</v>
      </c>
      <c r="G30" s="74">
        <f t="shared" si="0"/>
        <v>63000000</v>
      </c>
    </row>
    <row r="31" spans="1:7" ht="27.95" customHeight="1">
      <c r="A31" s="96">
        <v>2230</v>
      </c>
      <c r="B31" s="74" t="s">
        <v>88</v>
      </c>
      <c r="C31" s="69">
        <v>0</v>
      </c>
      <c r="D31" s="74"/>
      <c r="E31" s="69">
        <v>0</v>
      </c>
      <c r="F31" s="125"/>
      <c r="G31" s="69">
        <f t="shared" si="0"/>
        <v>0</v>
      </c>
    </row>
    <row r="32" spans="1:7" ht="27.95" customHeight="1">
      <c r="A32" s="170">
        <v>22301</v>
      </c>
      <c r="B32" s="69" t="s">
        <v>31</v>
      </c>
      <c r="C32" s="69">
        <v>0</v>
      </c>
      <c r="D32" s="69">
        <v>10000000</v>
      </c>
      <c r="E32" s="69">
        <v>0</v>
      </c>
      <c r="F32" s="99">
        <v>18000000</v>
      </c>
      <c r="G32" s="69">
        <f t="shared" si="0"/>
        <v>18000000</v>
      </c>
    </row>
    <row r="33" spans="1:7" ht="27.95" customHeight="1">
      <c r="A33" s="170">
        <v>22302</v>
      </c>
      <c r="B33" s="69" t="s">
        <v>162</v>
      </c>
      <c r="C33" s="69">
        <v>0</v>
      </c>
      <c r="D33" s="69"/>
      <c r="E33" s="69">
        <v>0</v>
      </c>
      <c r="F33" s="99"/>
      <c r="G33" s="69">
        <f t="shared" si="0"/>
        <v>0</v>
      </c>
    </row>
    <row r="34" spans="1:7" ht="27.95" customHeight="1">
      <c r="A34" s="170">
        <v>22305</v>
      </c>
      <c r="B34" s="69" t="s">
        <v>257</v>
      </c>
      <c r="C34" s="69">
        <v>0</v>
      </c>
      <c r="D34" s="69"/>
      <c r="E34" s="69">
        <v>0</v>
      </c>
      <c r="F34" s="99"/>
      <c r="G34" s="69">
        <f t="shared" si="0"/>
        <v>0</v>
      </c>
    </row>
    <row r="35" spans="1:7" ht="27.95" customHeight="1">
      <c r="A35" s="170">
        <v>22314</v>
      </c>
      <c r="B35" s="69" t="s">
        <v>163</v>
      </c>
      <c r="C35" s="69">
        <v>0</v>
      </c>
      <c r="D35" s="69"/>
      <c r="E35" s="69">
        <v>0</v>
      </c>
      <c r="F35" s="99"/>
      <c r="G35" s="69">
        <f t="shared" si="0"/>
        <v>0</v>
      </c>
    </row>
    <row r="36" spans="1:7" ht="27.95" customHeight="1">
      <c r="A36" s="170"/>
      <c r="B36" s="74" t="s">
        <v>59</v>
      </c>
      <c r="C36" s="69">
        <v>0</v>
      </c>
      <c r="D36" s="74">
        <f>SUM(D32:D35)</f>
        <v>10000000</v>
      </c>
      <c r="E36" s="69">
        <v>0</v>
      </c>
      <c r="F36" s="125">
        <f>SUM(F32:F35)</f>
        <v>18000000</v>
      </c>
      <c r="G36" s="74">
        <f t="shared" si="0"/>
        <v>18000000</v>
      </c>
    </row>
    <row r="37" spans="1:7" ht="27.95" customHeight="1">
      <c r="A37" s="96">
        <v>230</v>
      </c>
      <c r="B37" s="74" t="s">
        <v>165</v>
      </c>
      <c r="C37" s="69">
        <v>0</v>
      </c>
      <c r="D37" s="74"/>
      <c r="E37" s="69">
        <v>0</v>
      </c>
      <c r="F37" s="125"/>
      <c r="G37" s="69">
        <f t="shared" si="0"/>
        <v>0</v>
      </c>
    </row>
    <row r="38" spans="1:7" ht="27.95" customHeight="1">
      <c r="A38" s="96">
        <v>2310</v>
      </c>
      <c r="B38" s="74" t="s">
        <v>164</v>
      </c>
      <c r="C38" s="69">
        <v>0</v>
      </c>
      <c r="D38" s="74"/>
      <c r="E38" s="69">
        <v>0</v>
      </c>
      <c r="F38" s="125"/>
      <c r="G38" s="69">
        <f t="shared" si="0"/>
        <v>0</v>
      </c>
    </row>
    <row r="39" spans="1:7" ht="27.95" customHeight="1">
      <c r="A39" s="170">
        <v>23101</v>
      </c>
      <c r="B39" s="69" t="s">
        <v>344</v>
      </c>
      <c r="C39" s="69">
        <v>0</v>
      </c>
      <c r="D39" s="69"/>
      <c r="E39" s="69">
        <v>0</v>
      </c>
      <c r="F39" s="99">
        <v>5000000</v>
      </c>
      <c r="G39" s="69">
        <f t="shared" si="0"/>
        <v>5000000</v>
      </c>
    </row>
    <row r="40" spans="1:7" ht="27.95" customHeight="1">
      <c r="A40" s="170">
        <v>23102</v>
      </c>
      <c r="B40" s="69" t="s">
        <v>347</v>
      </c>
      <c r="C40" s="69">
        <v>0</v>
      </c>
      <c r="D40" s="69"/>
      <c r="E40" s="69">
        <v>0</v>
      </c>
      <c r="F40" s="99">
        <v>120000000</v>
      </c>
      <c r="G40" s="69">
        <f t="shared" si="0"/>
        <v>120000000</v>
      </c>
    </row>
    <row r="41" spans="1:7" ht="27.95" customHeight="1">
      <c r="A41" s="170">
        <v>23103</v>
      </c>
      <c r="B41" s="69" t="s">
        <v>106</v>
      </c>
      <c r="C41" s="69">
        <v>0</v>
      </c>
      <c r="D41" s="69"/>
      <c r="E41" s="69">
        <v>0</v>
      </c>
      <c r="F41" s="99"/>
      <c r="G41" s="69">
        <f t="shared" si="0"/>
        <v>0</v>
      </c>
    </row>
    <row r="42" spans="1:7" ht="27.95" customHeight="1">
      <c r="A42" s="170">
        <v>23104</v>
      </c>
      <c r="B42" s="69" t="s">
        <v>107</v>
      </c>
      <c r="C42" s="69">
        <v>0</v>
      </c>
      <c r="D42" s="69"/>
      <c r="E42" s="69">
        <v>0</v>
      </c>
      <c r="F42" s="99"/>
      <c r="G42" s="69">
        <f t="shared" si="0"/>
        <v>0</v>
      </c>
    </row>
    <row r="43" spans="1:7" ht="27.95" customHeight="1">
      <c r="A43" s="170"/>
      <c r="B43" s="74" t="s">
        <v>59</v>
      </c>
      <c r="C43" s="69">
        <v>0</v>
      </c>
      <c r="D43" s="74">
        <f>SUM(D39:D42)</f>
        <v>0</v>
      </c>
      <c r="E43" s="69">
        <v>0</v>
      </c>
      <c r="F43" s="125">
        <f>SUM(F39:F42)</f>
        <v>125000000</v>
      </c>
      <c r="G43" s="74">
        <f t="shared" si="0"/>
        <v>125000000</v>
      </c>
    </row>
    <row r="44" spans="1:7" ht="27.95" customHeight="1">
      <c r="A44" s="170"/>
      <c r="B44" s="74" t="s">
        <v>18</v>
      </c>
      <c r="C44" s="69">
        <v>0</v>
      </c>
      <c r="D44" s="74">
        <f>D43+D36+D30+D23+D9</f>
        <v>590810400</v>
      </c>
      <c r="E44" s="69">
        <v>0</v>
      </c>
      <c r="F44" s="125">
        <f>F43+F36+F30+F23+F9</f>
        <v>701545760</v>
      </c>
      <c r="G44" s="74">
        <f t="shared" si="0"/>
        <v>701545760</v>
      </c>
    </row>
  </sheetData>
  <pageMargins left="0.7" right="0.7" top="0.75" bottom="0.75" header="0.3" footer="0.3"/>
  <pageSetup scale="55" orientation="portrait" verticalDpi="4294967295" r:id="rId1"/>
  <headerFooter>
    <oddHeader>&amp;C&amp;"Algerian,Bold"&amp;36KOMISHANKA MIHNADLEYDA CAAFIMAADKA</oddHeader>
    <oddFooter>&amp;R&amp;"Times New Roman,Bold"&amp;20 41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P48"/>
  <sheetViews>
    <sheetView view="pageBreakPreview" zoomScale="60" zoomScaleNormal="60" zoomScalePageLayoutView="70" workbookViewId="0">
      <selection sqref="A1:XFD1048576"/>
    </sheetView>
  </sheetViews>
  <sheetFormatPr defaultRowHeight="24" customHeight="1"/>
  <cols>
    <col min="1" max="1" width="19.33203125" style="402" bestFit="1" customWidth="1"/>
    <col min="2" max="2" width="94.5" style="304" customWidth="1"/>
    <col min="3" max="10" width="9.33203125" style="304" hidden="1" customWidth="1"/>
    <col min="11" max="11" width="24.5" style="304" hidden="1" customWidth="1"/>
    <col min="12" max="12" width="0.1640625" style="304" hidden="1" customWidth="1"/>
    <col min="13" max="13" width="27.6640625" style="304" hidden="1" customWidth="1"/>
    <col min="14" max="16" width="27.6640625" style="304" customWidth="1"/>
    <col min="17" max="16384" width="9.33203125" style="304"/>
  </cols>
  <sheetData>
    <row r="1" spans="1:16" ht="27" customHeight="1">
      <c r="A1" s="440" t="s">
        <v>20</v>
      </c>
      <c r="B1" s="130" t="s">
        <v>797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41"/>
      <c r="N1" s="441"/>
      <c r="O1" s="441"/>
      <c r="P1" s="441"/>
    </row>
    <row r="2" spans="1:16" s="305" customFormat="1" ht="27" customHeight="1">
      <c r="A2" s="249" t="s">
        <v>6</v>
      </c>
      <c r="B2" s="130" t="s">
        <v>7</v>
      </c>
      <c r="C2" s="106" t="s">
        <v>7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40</v>
      </c>
      <c r="I2" s="112" t="s">
        <v>66</v>
      </c>
      <c r="J2" s="112" t="s">
        <v>76</v>
      </c>
      <c r="K2" s="112" t="s">
        <v>96</v>
      </c>
      <c r="L2" s="112" t="s">
        <v>166</v>
      </c>
      <c r="M2" s="112" t="s">
        <v>538</v>
      </c>
      <c r="N2" s="112" t="s">
        <v>607</v>
      </c>
      <c r="O2" s="112" t="s">
        <v>722</v>
      </c>
      <c r="P2" s="112" t="s">
        <v>34</v>
      </c>
    </row>
    <row r="3" spans="1:16" s="305" customFormat="1" ht="27" customHeight="1">
      <c r="A3" s="249">
        <v>210</v>
      </c>
      <c r="B3" s="106" t="s">
        <v>95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7" customHeight="1">
      <c r="A4" s="249">
        <v>2110</v>
      </c>
      <c r="B4" s="106" t="s">
        <v>155</v>
      </c>
      <c r="C4" s="66">
        <v>86305000</v>
      </c>
      <c r="D4" s="66">
        <v>136860000</v>
      </c>
      <c r="E4" s="66">
        <v>103440000</v>
      </c>
      <c r="F4" s="66">
        <v>103440000</v>
      </c>
      <c r="G4" s="66">
        <v>110556000</v>
      </c>
      <c r="H4" s="66">
        <v>110556000</v>
      </c>
      <c r="I4" s="66">
        <v>143722800</v>
      </c>
      <c r="J4" s="66">
        <v>188958000</v>
      </c>
      <c r="K4" s="66"/>
      <c r="L4" s="66"/>
      <c r="M4" s="66"/>
      <c r="N4" s="66"/>
      <c r="O4" s="66"/>
      <c r="P4" s="66"/>
    </row>
    <row r="5" spans="1:16" ht="27" customHeight="1">
      <c r="A5" s="169">
        <v>21101</v>
      </c>
      <c r="B5" s="66" t="s">
        <v>9</v>
      </c>
      <c r="C5" s="66">
        <v>4528000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f>188958000+10545600</f>
        <v>199503600</v>
      </c>
      <c r="L5" s="66" t="e">
        <f>#REF!+36000000+179088000</f>
        <v>#REF!</v>
      </c>
      <c r="M5" s="66">
        <v>470433600</v>
      </c>
      <c r="N5" s="66">
        <v>738092160</v>
      </c>
      <c r="O5" s="66">
        <v>757598400</v>
      </c>
      <c r="P5" s="66">
        <f>O5-N5</f>
        <v>19506240</v>
      </c>
    </row>
    <row r="6" spans="1:16" ht="27" customHeight="1">
      <c r="A6" s="169">
        <v>21102</v>
      </c>
      <c r="B6" s="66" t="s">
        <v>419</v>
      </c>
      <c r="C6" s="66">
        <v>10800000</v>
      </c>
      <c r="D6" s="66">
        <v>10800000</v>
      </c>
      <c r="E6" s="66">
        <v>10800000</v>
      </c>
      <c r="F6" s="66">
        <v>10800000</v>
      </c>
      <c r="G6" s="66">
        <v>14400000</v>
      </c>
      <c r="H6" s="66">
        <v>14400000</v>
      </c>
      <c r="I6" s="66">
        <v>14400000</v>
      </c>
      <c r="J6" s="66">
        <v>36000000</v>
      </c>
      <c r="K6" s="66">
        <v>0</v>
      </c>
      <c r="L6" s="66">
        <v>0</v>
      </c>
      <c r="M6" s="66">
        <v>97200000</v>
      </c>
      <c r="N6" s="66">
        <v>97200000</v>
      </c>
      <c r="O6" s="66">
        <v>97200000</v>
      </c>
      <c r="P6" s="66">
        <f t="shared" ref="P6:P48" si="0">O6-N6</f>
        <v>0</v>
      </c>
    </row>
    <row r="7" spans="1:16" ht="27" customHeight="1">
      <c r="A7" s="169">
        <v>21103</v>
      </c>
      <c r="B7" s="66" t="s">
        <v>11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f>31320000+720000+3960000+3600000</f>
        <v>39600000</v>
      </c>
      <c r="L7" s="66">
        <f>31320000+720000+3960000+3600000</f>
        <v>39600000</v>
      </c>
      <c r="M7" s="66">
        <v>118800000</v>
      </c>
      <c r="N7" s="66">
        <v>198000000</v>
      </c>
      <c r="O7" s="66">
        <v>198000000</v>
      </c>
      <c r="P7" s="66">
        <f t="shared" si="0"/>
        <v>0</v>
      </c>
    </row>
    <row r="8" spans="1:16" ht="27" customHeight="1">
      <c r="A8" s="169">
        <v>21105</v>
      </c>
      <c r="B8" s="66" t="s">
        <v>448</v>
      </c>
      <c r="C8" s="66"/>
      <c r="D8" s="66"/>
      <c r="E8" s="66"/>
      <c r="F8" s="66"/>
      <c r="G8" s="66"/>
      <c r="H8" s="66"/>
      <c r="I8" s="66"/>
      <c r="J8" s="66"/>
      <c r="K8" s="66"/>
      <c r="L8" s="66">
        <v>24000000</v>
      </c>
      <c r="M8" s="66">
        <v>269000000</v>
      </c>
      <c r="N8" s="66">
        <v>269000000</v>
      </c>
      <c r="O8" s="66">
        <v>269000000</v>
      </c>
      <c r="P8" s="66">
        <f t="shared" si="0"/>
        <v>0</v>
      </c>
    </row>
    <row r="9" spans="1:16" ht="27" customHeight="1">
      <c r="A9" s="169"/>
      <c r="B9" s="106" t="s">
        <v>59</v>
      </c>
      <c r="C9" s="66">
        <v>0</v>
      </c>
      <c r="D9" s="66">
        <v>1000000</v>
      </c>
      <c r="E9" s="66">
        <v>1000000</v>
      </c>
      <c r="F9" s="66">
        <v>1000000</v>
      </c>
      <c r="G9" s="66">
        <v>1600000</v>
      </c>
      <c r="H9" s="66">
        <v>3600000</v>
      </c>
      <c r="I9" s="66">
        <v>3426080</v>
      </c>
      <c r="J9" s="66">
        <v>7448000</v>
      </c>
      <c r="K9" s="106">
        <f>SUM(K5:K7)</f>
        <v>239103600</v>
      </c>
      <c r="L9" s="106" t="e">
        <f>L8+L7+L5+L6</f>
        <v>#REF!</v>
      </c>
      <c r="M9" s="106">
        <f>SUM(M5:M8)</f>
        <v>955433600</v>
      </c>
      <c r="N9" s="106">
        <f>SUM(N5:N8)</f>
        <v>1302292160</v>
      </c>
      <c r="O9" s="106">
        <f>SUM(O5:O8)</f>
        <v>1321798400</v>
      </c>
      <c r="P9" s="106">
        <f t="shared" si="0"/>
        <v>19506240</v>
      </c>
    </row>
    <row r="10" spans="1:16" ht="27" customHeight="1">
      <c r="A10" s="249">
        <v>220</v>
      </c>
      <c r="B10" s="106" t="s">
        <v>159</v>
      </c>
      <c r="C10" s="66"/>
      <c r="D10" s="66">
        <v>20000000</v>
      </c>
      <c r="E10" s="66">
        <v>56000000</v>
      </c>
      <c r="F10" s="66">
        <v>0</v>
      </c>
      <c r="G10" s="66">
        <v>0</v>
      </c>
      <c r="H10" s="66">
        <v>149500000</v>
      </c>
      <c r="I10" s="66">
        <v>0</v>
      </c>
      <c r="J10" s="66">
        <v>22344000</v>
      </c>
      <c r="K10" s="66"/>
      <c r="L10" s="66"/>
      <c r="M10" s="66"/>
      <c r="N10" s="66"/>
      <c r="O10" s="66"/>
      <c r="P10" s="66">
        <f t="shared" si="0"/>
        <v>0</v>
      </c>
    </row>
    <row r="11" spans="1:16" ht="27" customHeight="1">
      <c r="A11" s="249">
        <v>2210</v>
      </c>
      <c r="B11" s="106" t="s">
        <v>160</v>
      </c>
      <c r="C11" s="66">
        <v>0</v>
      </c>
      <c r="D11" s="66">
        <v>2000000</v>
      </c>
      <c r="E11" s="66">
        <v>2000000</v>
      </c>
      <c r="F11" s="66">
        <v>1000000</v>
      </c>
      <c r="G11" s="66">
        <v>3200000</v>
      </c>
      <c r="H11" s="66">
        <v>4000000</v>
      </c>
      <c r="I11" s="66">
        <v>2979200</v>
      </c>
      <c r="J11" s="66">
        <v>3724000</v>
      </c>
      <c r="K11" s="66"/>
      <c r="L11" s="66"/>
      <c r="M11" s="66"/>
      <c r="N11" s="66"/>
      <c r="O11" s="66"/>
      <c r="P11" s="66">
        <f t="shared" si="0"/>
        <v>0</v>
      </c>
    </row>
    <row r="12" spans="1:16" ht="27" customHeight="1">
      <c r="A12" s="169">
        <v>22101</v>
      </c>
      <c r="B12" s="66" t="s">
        <v>14</v>
      </c>
      <c r="C12" s="66"/>
      <c r="D12" s="66"/>
      <c r="E12" s="66"/>
      <c r="F12" s="66"/>
      <c r="G12" s="66"/>
      <c r="H12" s="66"/>
      <c r="I12" s="66"/>
      <c r="J12" s="66">
        <v>2979200</v>
      </c>
      <c r="K12" s="66">
        <v>11172000</v>
      </c>
      <c r="L12" s="66">
        <f>30000000*70%</f>
        <v>21000000</v>
      </c>
      <c r="M12" s="66">
        <f>30000000*70%</f>
        <v>21000000</v>
      </c>
      <c r="N12" s="66">
        <v>35000000</v>
      </c>
      <c r="O12" s="66">
        <v>35000000</v>
      </c>
      <c r="P12" s="66">
        <f t="shared" si="0"/>
        <v>0</v>
      </c>
    </row>
    <row r="13" spans="1:16" ht="27" customHeight="1">
      <c r="A13" s="169">
        <v>22102</v>
      </c>
      <c r="B13" s="66" t="s">
        <v>276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59584000</v>
      </c>
      <c r="K13" s="66">
        <v>0</v>
      </c>
      <c r="L13" s="66">
        <f>20000000*70%</f>
        <v>14000000</v>
      </c>
      <c r="M13" s="66">
        <f>20000000*70%</f>
        <v>14000000</v>
      </c>
      <c r="N13" s="66">
        <v>0</v>
      </c>
      <c r="O13" s="66">
        <v>0</v>
      </c>
      <c r="P13" s="66">
        <f t="shared" si="0"/>
        <v>0</v>
      </c>
    </row>
    <row r="14" spans="1:16" s="267" customFormat="1" ht="27" customHeight="1">
      <c r="A14" s="169">
        <v>22103</v>
      </c>
      <c r="B14" s="66" t="s">
        <v>676</v>
      </c>
      <c r="C14" s="66"/>
      <c r="D14" s="66"/>
      <c r="E14" s="66"/>
      <c r="F14" s="66"/>
      <c r="G14" s="66"/>
      <c r="H14" s="66"/>
      <c r="I14" s="66"/>
      <c r="J14" s="66">
        <v>280000000</v>
      </c>
      <c r="K14" s="66">
        <v>0</v>
      </c>
      <c r="L14" s="66">
        <f>300000000*70%</f>
        <v>210000000</v>
      </c>
      <c r="M14" s="66">
        <v>70000000</v>
      </c>
      <c r="N14" s="66">
        <v>180000000</v>
      </c>
      <c r="O14" s="66">
        <v>180000000</v>
      </c>
      <c r="P14" s="66">
        <f t="shared" si="0"/>
        <v>0</v>
      </c>
    </row>
    <row r="15" spans="1:16" ht="27" customHeight="1">
      <c r="A15" s="169">
        <v>22104</v>
      </c>
      <c r="B15" s="66" t="s">
        <v>116</v>
      </c>
      <c r="C15" s="66">
        <f t="shared" ref="C15:I15" si="1">SUM(C9:C10)</f>
        <v>0</v>
      </c>
      <c r="D15" s="66">
        <f t="shared" si="1"/>
        <v>21000000</v>
      </c>
      <c r="E15" s="66">
        <f t="shared" si="1"/>
        <v>57000000</v>
      </c>
      <c r="F15" s="66">
        <f t="shared" si="1"/>
        <v>1000000</v>
      </c>
      <c r="G15" s="66">
        <f t="shared" si="1"/>
        <v>1600000</v>
      </c>
      <c r="H15" s="106">
        <f t="shared" si="1"/>
        <v>153100000</v>
      </c>
      <c r="I15" s="106">
        <f t="shared" si="1"/>
        <v>3426080</v>
      </c>
      <c r="J15" s="106">
        <f>SUM(J9:J14)</f>
        <v>376079200</v>
      </c>
      <c r="K15" s="66">
        <v>30000000</v>
      </c>
      <c r="L15" s="66">
        <f>30000000*70%</f>
        <v>21000000</v>
      </c>
      <c r="M15" s="66">
        <f>30000000*70%</f>
        <v>21000000</v>
      </c>
      <c r="N15" s="66">
        <f>30000000*70%</f>
        <v>21000000</v>
      </c>
      <c r="O15" s="66">
        <f>30000000*70%</f>
        <v>21000000</v>
      </c>
      <c r="P15" s="66">
        <f t="shared" si="0"/>
        <v>0</v>
      </c>
    </row>
    <row r="16" spans="1:16" ht="27" customHeight="1">
      <c r="A16" s="169">
        <v>22105</v>
      </c>
      <c r="B16" s="66" t="s">
        <v>93</v>
      </c>
      <c r="C16" s="66">
        <v>0</v>
      </c>
      <c r="D16" s="66">
        <v>6000000</v>
      </c>
      <c r="E16" s="66">
        <v>8000000</v>
      </c>
      <c r="F16" s="66">
        <v>16000000</v>
      </c>
      <c r="G16" s="66">
        <v>20217600</v>
      </c>
      <c r="H16" s="66">
        <v>25272000</v>
      </c>
      <c r="I16" s="66">
        <v>37442586</v>
      </c>
      <c r="J16" s="66"/>
      <c r="K16" s="66">
        <v>0</v>
      </c>
      <c r="L16" s="66">
        <f>31500000*70%</f>
        <v>22050000</v>
      </c>
      <c r="M16" s="66">
        <f>31500000*70%</f>
        <v>22050000</v>
      </c>
      <c r="N16" s="66">
        <f>31500000*70%</f>
        <v>22050000</v>
      </c>
      <c r="O16" s="66">
        <f>31500000*70%</f>
        <v>22050000</v>
      </c>
      <c r="P16" s="66">
        <f t="shared" si="0"/>
        <v>0</v>
      </c>
    </row>
    <row r="17" spans="1:16" ht="27" customHeight="1">
      <c r="A17" s="169">
        <v>22106</v>
      </c>
      <c r="B17" s="66" t="s">
        <v>641</v>
      </c>
      <c r="C17" s="66">
        <v>12000000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f>7000000*70%</f>
        <v>4900000</v>
      </c>
      <c r="M17" s="66">
        <v>0</v>
      </c>
      <c r="N17" s="66">
        <v>30000000</v>
      </c>
      <c r="O17" s="66">
        <v>30000000</v>
      </c>
      <c r="P17" s="66">
        <f t="shared" si="0"/>
        <v>0</v>
      </c>
    </row>
    <row r="18" spans="1:16" ht="27" customHeight="1">
      <c r="A18" s="169">
        <v>22107</v>
      </c>
      <c r="B18" s="66" t="s">
        <v>30</v>
      </c>
      <c r="C18" s="66">
        <v>7000000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55272000</v>
      </c>
      <c r="K18" s="66">
        <v>32344000</v>
      </c>
      <c r="L18" s="66">
        <f>28000000*70%</f>
        <v>19600000</v>
      </c>
      <c r="M18" s="66">
        <v>13720000</v>
      </c>
      <c r="N18" s="66">
        <f>M18</f>
        <v>13720000</v>
      </c>
      <c r="O18" s="66">
        <f>N18</f>
        <v>13720000</v>
      </c>
      <c r="P18" s="66">
        <f t="shared" si="0"/>
        <v>0</v>
      </c>
    </row>
    <row r="19" spans="1:16" ht="27" customHeight="1">
      <c r="A19" s="169">
        <v>22109</v>
      </c>
      <c r="B19" s="66" t="s">
        <v>94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3426080</v>
      </c>
      <c r="K19" s="66">
        <v>13724000</v>
      </c>
      <c r="L19" s="66">
        <f>20000000*70%</f>
        <v>14000000</v>
      </c>
      <c r="M19" s="66">
        <f>20000000*70%</f>
        <v>14000000</v>
      </c>
      <c r="N19" s="66">
        <f>20000000*70%</f>
        <v>14000000</v>
      </c>
      <c r="O19" s="66">
        <f>20000000*70%</f>
        <v>14000000</v>
      </c>
      <c r="P19" s="66">
        <f t="shared" si="0"/>
        <v>0</v>
      </c>
    </row>
    <row r="20" spans="1:16" ht="27" customHeight="1">
      <c r="A20" s="169">
        <v>22112</v>
      </c>
      <c r="B20" s="66" t="s">
        <v>16</v>
      </c>
      <c r="C20" s="66">
        <v>5000000</v>
      </c>
      <c r="D20" s="66">
        <v>5000000</v>
      </c>
      <c r="E20" s="66">
        <v>5000000</v>
      </c>
      <c r="F20" s="66">
        <v>5000000</v>
      </c>
      <c r="G20" s="66">
        <v>8000000</v>
      </c>
      <c r="H20" s="66">
        <v>10000000</v>
      </c>
      <c r="I20" s="66">
        <v>18620000</v>
      </c>
      <c r="J20" s="106">
        <f>SUM(J17:J19)</f>
        <v>58698080</v>
      </c>
      <c r="K20" s="66">
        <v>2979200</v>
      </c>
      <c r="L20" s="66">
        <f>210000000*70%</f>
        <v>147000000</v>
      </c>
      <c r="M20" s="66">
        <f>210000000*70%</f>
        <v>147000000</v>
      </c>
      <c r="N20" s="66">
        <v>177000000</v>
      </c>
      <c r="O20" s="66">
        <v>177000000</v>
      </c>
      <c r="P20" s="66">
        <f t="shared" si="0"/>
        <v>0</v>
      </c>
    </row>
    <row r="21" spans="1:16" ht="27" customHeight="1">
      <c r="A21" s="169" t="s">
        <v>730</v>
      </c>
      <c r="B21" s="66" t="s">
        <v>593</v>
      </c>
      <c r="C21" s="66"/>
      <c r="D21" s="66"/>
      <c r="E21" s="66"/>
      <c r="F21" s="66"/>
      <c r="G21" s="66"/>
      <c r="H21" s="66"/>
      <c r="I21" s="66"/>
      <c r="J21" s="106"/>
      <c r="K21" s="66"/>
      <c r="L21" s="66">
        <v>0</v>
      </c>
      <c r="M21" s="66">
        <v>196000000</v>
      </c>
      <c r="N21" s="66">
        <v>246000000</v>
      </c>
      <c r="O21" s="66">
        <v>246000000</v>
      </c>
      <c r="P21" s="66">
        <f t="shared" si="0"/>
        <v>0</v>
      </c>
    </row>
    <row r="22" spans="1:16" ht="27" customHeight="1">
      <c r="A22" s="169">
        <v>22123</v>
      </c>
      <c r="B22" s="66" t="s">
        <v>179</v>
      </c>
      <c r="C22" s="66"/>
      <c r="D22" s="66"/>
      <c r="E22" s="66"/>
      <c r="F22" s="66"/>
      <c r="G22" s="66"/>
      <c r="H22" s="66"/>
      <c r="I22" s="66"/>
      <c r="J22" s="106"/>
      <c r="K22" s="66">
        <v>92311305</v>
      </c>
      <c r="L22" s="66">
        <f>150000000*70%</f>
        <v>105000000</v>
      </c>
      <c r="M22" s="66">
        <v>165000000</v>
      </c>
      <c r="N22" s="66">
        <v>205000000</v>
      </c>
      <c r="O22" s="66">
        <v>205000000</v>
      </c>
      <c r="P22" s="66">
        <f t="shared" si="0"/>
        <v>0</v>
      </c>
    </row>
    <row r="23" spans="1:16" ht="27" customHeight="1">
      <c r="A23" s="169">
        <v>22137</v>
      </c>
      <c r="B23" s="66" t="s">
        <v>677</v>
      </c>
      <c r="C23" s="66"/>
      <c r="D23" s="66"/>
      <c r="E23" s="66"/>
      <c r="F23" s="66"/>
      <c r="G23" s="66"/>
      <c r="H23" s="66"/>
      <c r="I23" s="66"/>
      <c r="J23" s="106"/>
      <c r="K23" s="66"/>
      <c r="L23" s="66"/>
      <c r="M23" s="66"/>
      <c r="N23" s="66">
        <v>47000000</v>
      </c>
      <c r="O23" s="66">
        <v>47000000</v>
      </c>
      <c r="P23" s="66">
        <f t="shared" si="0"/>
        <v>0</v>
      </c>
    </row>
    <row r="24" spans="1:16" ht="27" customHeight="1">
      <c r="A24" s="169">
        <v>22141</v>
      </c>
      <c r="B24" s="66" t="s">
        <v>381</v>
      </c>
      <c r="C24" s="106"/>
      <c r="D24" s="106"/>
      <c r="E24" s="106"/>
      <c r="F24" s="106"/>
      <c r="G24" s="106"/>
      <c r="H24" s="106"/>
      <c r="I24" s="106"/>
      <c r="J24" s="106"/>
      <c r="K24" s="66"/>
      <c r="L24" s="66">
        <v>0</v>
      </c>
      <c r="M24" s="66">
        <v>0</v>
      </c>
      <c r="N24" s="66">
        <v>0</v>
      </c>
      <c r="O24" s="66">
        <v>0</v>
      </c>
      <c r="P24" s="66">
        <f t="shared" si="0"/>
        <v>0</v>
      </c>
    </row>
    <row r="25" spans="1:16" ht="27" customHeight="1">
      <c r="A25" s="169">
        <v>22146</v>
      </c>
      <c r="B25" s="66" t="s">
        <v>633</v>
      </c>
      <c r="C25" s="106">
        <f t="shared" ref="C25:I25" si="2">SUM(C15:C20)</f>
        <v>24000000</v>
      </c>
      <c r="D25" s="106">
        <f t="shared" si="2"/>
        <v>32000000</v>
      </c>
      <c r="E25" s="106">
        <f t="shared" si="2"/>
        <v>70000000</v>
      </c>
      <c r="F25" s="106">
        <f t="shared" si="2"/>
        <v>22000000</v>
      </c>
      <c r="G25" s="106">
        <f t="shared" si="2"/>
        <v>29817600</v>
      </c>
      <c r="H25" s="106">
        <f t="shared" si="2"/>
        <v>188372000</v>
      </c>
      <c r="I25" s="106">
        <f t="shared" si="2"/>
        <v>59488666</v>
      </c>
      <c r="J25" s="106">
        <v>0</v>
      </c>
      <c r="K25" s="66">
        <v>330000000</v>
      </c>
      <c r="L25" s="66">
        <f>350000000*70%</f>
        <v>244999999.99999997</v>
      </c>
      <c r="M25" s="66">
        <v>0</v>
      </c>
      <c r="N25" s="66">
        <v>300000000</v>
      </c>
      <c r="O25" s="66">
        <v>300000000</v>
      </c>
      <c r="P25" s="66">
        <f t="shared" si="0"/>
        <v>0</v>
      </c>
    </row>
    <row r="26" spans="1:16" ht="27" customHeight="1">
      <c r="A26" s="169"/>
      <c r="B26" s="106" t="s">
        <v>59</v>
      </c>
      <c r="C26" s="118"/>
      <c r="D26" s="100">
        <v>0</v>
      </c>
      <c r="E26" s="100"/>
      <c r="F26" s="100"/>
      <c r="G26" s="100"/>
      <c r="H26" s="100"/>
      <c r="I26" s="100"/>
      <c r="J26" s="105">
        <f>SUM(J25:J25)</f>
        <v>0</v>
      </c>
      <c r="K26" s="105">
        <f>SUM(K12:K25)</f>
        <v>512530505</v>
      </c>
      <c r="L26" s="105">
        <f>SUM(L12:L25)</f>
        <v>823550000</v>
      </c>
      <c r="M26" s="105">
        <f>SUM(M12:M24)</f>
        <v>683770000</v>
      </c>
      <c r="N26" s="105">
        <f>SUM(N12:N25)</f>
        <v>1290770000</v>
      </c>
      <c r="O26" s="105">
        <f>SUM(O12:O25)</f>
        <v>1290770000</v>
      </c>
      <c r="P26" s="106">
        <f t="shared" si="0"/>
        <v>0</v>
      </c>
    </row>
    <row r="27" spans="1:16" ht="27" customHeight="1">
      <c r="A27" s="249">
        <v>2220</v>
      </c>
      <c r="B27" s="106" t="s">
        <v>161</v>
      </c>
      <c r="C27" s="118"/>
      <c r="D27" s="100">
        <v>0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66">
        <f t="shared" si="0"/>
        <v>0</v>
      </c>
    </row>
    <row r="28" spans="1:16" ht="27" customHeight="1">
      <c r="A28" s="169">
        <v>22201</v>
      </c>
      <c r="B28" s="66" t="s">
        <v>90</v>
      </c>
      <c r="C28" s="118"/>
      <c r="D28" s="118"/>
      <c r="E28" s="118"/>
      <c r="F28" s="118"/>
      <c r="G28" s="118"/>
      <c r="H28" s="118"/>
      <c r="I28" s="118"/>
      <c r="J28" s="116">
        <v>5958400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66">
        <f t="shared" si="0"/>
        <v>0</v>
      </c>
    </row>
    <row r="29" spans="1:16" ht="27" customHeight="1">
      <c r="A29" s="169">
        <v>22202</v>
      </c>
      <c r="B29" s="66" t="s">
        <v>91</v>
      </c>
      <c r="C29" s="118"/>
      <c r="D29" s="118"/>
      <c r="E29" s="118"/>
      <c r="F29" s="118"/>
      <c r="G29" s="118"/>
      <c r="H29" s="118"/>
      <c r="I29" s="118"/>
      <c r="J29" s="66">
        <v>0</v>
      </c>
      <c r="K29" s="66">
        <v>90000000</v>
      </c>
      <c r="L29" s="66">
        <f>150000000*70%</f>
        <v>105000000</v>
      </c>
      <c r="M29" s="66">
        <v>84000000</v>
      </c>
      <c r="N29" s="66">
        <v>124000000</v>
      </c>
      <c r="O29" s="66">
        <v>148000000</v>
      </c>
      <c r="P29" s="66">
        <f t="shared" si="0"/>
        <v>24000000</v>
      </c>
    </row>
    <row r="30" spans="1:16" ht="27" customHeight="1">
      <c r="A30" s="169">
        <v>22203</v>
      </c>
      <c r="B30" s="66" t="s">
        <v>85</v>
      </c>
      <c r="C30" s="118"/>
      <c r="D30" s="118"/>
      <c r="E30" s="118"/>
      <c r="F30" s="118"/>
      <c r="G30" s="118"/>
      <c r="H30" s="118"/>
      <c r="I30" s="118"/>
      <c r="J30" s="116">
        <v>3724000</v>
      </c>
      <c r="K30" s="66">
        <v>4468800</v>
      </c>
      <c r="L30" s="66">
        <f>25000000*70%</f>
        <v>17500000</v>
      </c>
      <c r="M30" s="66">
        <f>25000000*70%</f>
        <v>17500000</v>
      </c>
      <c r="N30" s="66">
        <f>25000000*70%</f>
        <v>17500000</v>
      </c>
      <c r="O30" s="66">
        <f>25000000*70%</f>
        <v>17500000</v>
      </c>
      <c r="P30" s="66">
        <f t="shared" si="0"/>
        <v>0</v>
      </c>
    </row>
    <row r="31" spans="1:16" ht="27" customHeight="1">
      <c r="A31" s="169">
        <v>22204</v>
      </c>
      <c r="B31" s="66" t="s">
        <v>86</v>
      </c>
      <c r="C31" s="66">
        <f t="shared" ref="C31:H31" si="3">SUM(C27:C30)</f>
        <v>0</v>
      </c>
      <c r="D31" s="66">
        <f t="shared" si="3"/>
        <v>0</v>
      </c>
      <c r="E31" s="66">
        <f t="shared" si="3"/>
        <v>0</v>
      </c>
      <c r="F31" s="66">
        <f t="shared" si="3"/>
        <v>0</v>
      </c>
      <c r="G31" s="66">
        <f t="shared" si="3"/>
        <v>0</v>
      </c>
      <c r="H31" s="106">
        <f t="shared" si="3"/>
        <v>0</v>
      </c>
      <c r="I31" s="106">
        <f>SUM(I26:I30)</f>
        <v>0</v>
      </c>
      <c r="J31" s="106">
        <f>SUM(J28:J30)</f>
        <v>9682400</v>
      </c>
      <c r="K31" s="66">
        <v>3426080</v>
      </c>
      <c r="L31" s="66">
        <f>5000000*70%</f>
        <v>3500000</v>
      </c>
      <c r="M31" s="66">
        <f>5000000*70%</f>
        <v>3500000</v>
      </c>
      <c r="N31" s="66">
        <f>5000000*70%</f>
        <v>3500000</v>
      </c>
      <c r="O31" s="66">
        <f>5000000*70%</f>
        <v>3500000</v>
      </c>
      <c r="P31" s="66">
        <f t="shared" si="0"/>
        <v>0</v>
      </c>
    </row>
    <row r="32" spans="1:16" ht="27" customHeight="1">
      <c r="A32" s="169"/>
      <c r="B32" s="106" t="s">
        <v>59</v>
      </c>
      <c r="C32" s="66"/>
      <c r="D32" s="66"/>
      <c r="E32" s="66"/>
      <c r="F32" s="66"/>
      <c r="G32" s="66"/>
      <c r="H32" s="66"/>
      <c r="I32" s="66"/>
      <c r="J32" s="66"/>
      <c r="K32" s="106">
        <f>SUM(K28:K31)</f>
        <v>97894880</v>
      </c>
      <c r="L32" s="106">
        <f>SUM(L28:L31)</f>
        <v>126000000</v>
      </c>
      <c r="M32" s="106">
        <f>SUM(M28:M31)</f>
        <v>105000000</v>
      </c>
      <c r="N32" s="106">
        <f>SUM(N28:N31)</f>
        <v>145000000</v>
      </c>
      <c r="O32" s="106">
        <f>SUM(O28:O31)</f>
        <v>169000000</v>
      </c>
      <c r="P32" s="106">
        <f t="shared" si="0"/>
        <v>24000000</v>
      </c>
    </row>
    <row r="33" spans="1:16" ht="27" customHeight="1">
      <c r="A33" s="249">
        <v>2230</v>
      </c>
      <c r="B33" s="106" t="s">
        <v>88</v>
      </c>
      <c r="C33" s="66"/>
      <c r="D33" s="66"/>
      <c r="E33" s="66"/>
      <c r="F33" s="66">
        <f>1386274192-71600000-798000-176160000-12600000</f>
        <v>1125116192</v>
      </c>
      <c r="G33" s="66"/>
      <c r="H33" s="66"/>
      <c r="I33" s="66"/>
      <c r="J33" s="66"/>
      <c r="K33" s="66"/>
      <c r="L33" s="66"/>
      <c r="M33" s="66"/>
      <c r="N33" s="66"/>
      <c r="O33" s="66"/>
      <c r="P33" s="66">
        <f t="shared" si="0"/>
        <v>0</v>
      </c>
    </row>
    <row r="34" spans="1:16" ht="27" customHeight="1">
      <c r="A34" s="169">
        <v>22301</v>
      </c>
      <c r="B34" s="66" t="s">
        <v>31</v>
      </c>
      <c r="C34" s="66"/>
      <c r="D34" s="66"/>
      <c r="E34" s="66"/>
      <c r="F34" s="66"/>
      <c r="G34" s="66"/>
      <c r="H34" s="66"/>
      <c r="I34" s="66"/>
      <c r="J34" s="66"/>
      <c r="K34" s="66">
        <v>15000000</v>
      </c>
      <c r="L34" s="66">
        <f>15000000*70%</f>
        <v>10500000</v>
      </c>
      <c r="M34" s="66">
        <f>15000000*70%</f>
        <v>10500000</v>
      </c>
      <c r="N34" s="66">
        <f>15000000*70%</f>
        <v>10500000</v>
      </c>
      <c r="O34" s="66">
        <v>30500000</v>
      </c>
      <c r="P34" s="66">
        <f t="shared" si="0"/>
        <v>20000000</v>
      </c>
    </row>
    <row r="35" spans="1:16" ht="27" customHeight="1">
      <c r="A35" s="169">
        <v>22313</v>
      </c>
      <c r="B35" s="66" t="s">
        <v>277</v>
      </c>
      <c r="C35" s="66"/>
      <c r="D35" s="66"/>
      <c r="E35" s="66"/>
      <c r="F35" s="66"/>
      <c r="G35" s="66"/>
      <c r="H35" s="66"/>
      <c r="I35" s="66"/>
      <c r="J35" s="66"/>
      <c r="K35" s="66">
        <v>0</v>
      </c>
      <c r="L35" s="66">
        <f>280000000*70%</f>
        <v>196000000</v>
      </c>
      <c r="M35" s="66">
        <v>50000000</v>
      </c>
      <c r="N35" s="66">
        <v>50000000</v>
      </c>
      <c r="O35" s="66">
        <v>50000000</v>
      </c>
      <c r="P35" s="66">
        <f t="shared" si="0"/>
        <v>0</v>
      </c>
    </row>
    <row r="36" spans="1:16" ht="27" customHeight="1">
      <c r="A36" s="169">
        <v>22302</v>
      </c>
      <c r="B36" s="66" t="s">
        <v>162</v>
      </c>
      <c r="C36" s="66"/>
      <c r="D36" s="66"/>
      <c r="E36" s="66"/>
      <c r="F36" s="66"/>
      <c r="G36" s="66"/>
      <c r="H36" s="66"/>
      <c r="I36" s="66"/>
      <c r="J36" s="66"/>
      <c r="K36" s="66">
        <v>0</v>
      </c>
      <c r="L36" s="66">
        <f>15000000*70%</f>
        <v>10500000</v>
      </c>
      <c r="M36" s="66">
        <f>15000000*70%</f>
        <v>10500000</v>
      </c>
      <c r="N36" s="66">
        <f>15000000*70%</f>
        <v>10500000</v>
      </c>
      <c r="O36" s="66">
        <f>15000000*70%</f>
        <v>10500000</v>
      </c>
      <c r="P36" s="66">
        <f t="shared" si="0"/>
        <v>0</v>
      </c>
    </row>
    <row r="37" spans="1:16" ht="27" customHeight="1">
      <c r="A37" s="169">
        <v>22314</v>
      </c>
      <c r="B37" s="66" t="s">
        <v>163</v>
      </c>
      <c r="C37" s="66"/>
      <c r="D37" s="66"/>
      <c r="E37" s="66"/>
      <c r="F37" s="66"/>
      <c r="G37" s="66"/>
      <c r="H37" s="66"/>
      <c r="I37" s="66"/>
      <c r="J37" s="66"/>
      <c r="K37" s="66">
        <v>3724000</v>
      </c>
      <c r="L37" s="66">
        <f>3724000*70%</f>
        <v>2606800</v>
      </c>
      <c r="M37" s="66">
        <f>3724000*70%</f>
        <v>2606800</v>
      </c>
      <c r="N37" s="66">
        <f>3724000*70%</f>
        <v>2606800</v>
      </c>
      <c r="O37" s="66">
        <f>3724000*70%</f>
        <v>2606800</v>
      </c>
      <c r="P37" s="66">
        <f t="shared" si="0"/>
        <v>0</v>
      </c>
    </row>
    <row r="38" spans="1:16" ht="27" customHeight="1">
      <c r="A38" s="169"/>
      <c r="B38" s="106" t="s">
        <v>59</v>
      </c>
      <c r="C38" s="66"/>
      <c r="D38" s="66"/>
      <c r="E38" s="66"/>
      <c r="F38" s="66"/>
      <c r="G38" s="66"/>
      <c r="H38" s="66"/>
      <c r="I38" s="66"/>
      <c r="J38" s="66"/>
      <c r="K38" s="106">
        <f>SUM(K34:K37)</f>
        <v>18724000</v>
      </c>
      <c r="L38" s="106">
        <f>SUM(L34:L37)</f>
        <v>219606800</v>
      </c>
      <c r="M38" s="106">
        <f>SUM(M34:M37)</f>
        <v>73606800</v>
      </c>
      <c r="N38" s="106">
        <f>SUM(N34:N37)</f>
        <v>73606800</v>
      </c>
      <c r="O38" s="106">
        <f>SUM(O34:O37)</f>
        <v>93606800</v>
      </c>
      <c r="P38" s="106">
        <f t="shared" si="0"/>
        <v>20000000</v>
      </c>
    </row>
    <row r="39" spans="1:16" ht="27" customHeight="1">
      <c r="A39" s="249">
        <v>230</v>
      </c>
      <c r="B39" s="106" t="s">
        <v>165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>
        <f t="shared" si="0"/>
        <v>0</v>
      </c>
    </row>
    <row r="40" spans="1:16" ht="27" customHeight="1">
      <c r="A40" s="249">
        <v>2310</v>
      </c>
      <c r="B40" s="106" t="s">
        <v>164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>
        <f t="shared" si="0"/>
        <v>0</v>
      </c>
    </row>
    <row r="41" spans="1:16" ht="27" customHeight="1">
      <c r="A41" s="169">
        <v>23103</v>
      </c>
      <c r="B41" s="66" t="s">
        <v>106</v>
      </c>
      <c r="C41" s="66"/>
      <c r="D41" s="66"/>
      <c r="E41" s="66"/>
      <c r="F41" s="66"/>
      <c r="G41" s="66"/>
      <c r="H41" s="66"/>
      <c r="I41" s="66"/>
      <c r="J41" s="66"/>
      <c r="K41" s="66">
        <v>1489600</v>
      </c>
      <c r="L41" s="66">
        <v>1489600</v>
      </c>
      <c r="M41" s="66">
        <v>0</v>
      </c>
      <c r="N41" s="66">
        <v>0</v>
      </c>
      <c r="O41" s="66">
        <v>0</v>
      </c>
      <c r="P41" s="66">
        <f t="shared" si="0"/>
        <v>0</v>
      </c>
    </row>
    <row r="42" spans="1:16" ht="27" customHeight="1">
      <c r="A42" s="169">
        <v>23102</v>
      </c>
      <c r="B42" s="66" t="s">
        <v>278</v>
      </c>
      <c r="C42" s="66"/>
      <c r="D42" s="66"/>
      <c r="E42" s="66"/>
      <c r="F42" s="66"/>
      <c r="G42" s="66"/>
      <c r="H42" s="66"/>
      <c r="I42" s="66"/>
      <c r="J42" s="66"/>
      <c r="K42" s="66">
        <v>0</v>
      </c>
      <c r="L42" s="66">
        <f>100000000*70%</f>
        <v>70000000</v>
      </c>
      <c r="M42" s="66">
        <v>0</v>
      </c>
      <c r="N42" s="66">
        <v>162000000</v>
      </c>
      <c r="O42" s="66">
        <v>0</v>
      </c>
      <c r="P42" s="66">
        <f t="shared" si="0"/>
        <v>-162000000</v>
      </c>
    </row>
    <row r="43" spans="1:16" ht="27" customHeight="1">
      <c r="A43" s="169"/>
      <c r="B43" s="106" t="s">
        <v>59</v>
      </c>
      <c r="C43" s="66"/>
      <c r="D43" s="66"/>
      <c r="E43" s="66"/>
      <c r="F43" s="66"/>
      <c r="G43" s="66"/>
      <c r="H43" s="66"/>
      <c r="I43" s="66"/>
      <c r="J43" s="66"/>
      <c r="K43" s="106">
        <f>SUM(K41:K42)</f>
        <v>1489600</v>
      </c>
      <c r="L43" s="106">
        <f>SUM(L41:L42)</f>
        <v>71489600</v>
      </c>
      <c r="M43" s="106">
        <f>SUM(M41:M42)</f>
        <v>0</v>
      </c>
      <c r="N43" s="106">
        <f>SUM(N41:N42)</f>
        <v>162000000</v>
      </c>
      <c r="O43" s="106">
        <f>SUM(O41:O42)</f>
        <v>0</v>
      </c>
      <c r="P43" s="106">
        <f t="shared" si="0"/>
        <v>-162000000</v>
      </c>
    </row>
    <row r="44" spans="1:16" ht="27" customHeight="1">
      <c r="A44" s="249">
        <v>2320</v>
      </c>
      <c r="B44" s="106" t="s">
        <v>279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>
        <f t="shared" si="0"/>
        <v>0</v>
      </c>
    </row>
    <row r="45" spans="1:16" ht="27" customHeight="1">
      <c r="A45" s="169">
        <v>23201</v>
      </c>
      <c r="B45" s="66" t="s">
        <v>548</v>
      </c>
      <c r="C45" s="66"/>
      <c r="D45" s="66"/>
      <c r="E45" s="66"/>
      <c r="F45" s="66"/>
      <c r="G45" s="66"/>
      <c r="H45" s="66"/>
      <c r="I45" s="66"/>
      <c r="J45" s="66"/>
      <c r="K45" s="66">
        <v>0</v>
      </c>
      <c r="L45" s="66">
        <f>800000000*70%</f>
        <v>560000000</v>
      </c>
      <c r="M45" s="66">
        <v>400000000</v>
      </c>
      <c r="N45" s="66">
        <v>988000000</v>
      </c>
      <c r="O45" s="66">
        <v>2000000000</v>
      </c>
      <c r="P45" s="66">
        <f t="shared" si="0"/>
        <v>1012000000</v>
      </c>
    </row>
    <row r="46" spans="1:16" ht="27" customHeight="1">
      <c r="A46" s="169">
        <v>23201</v>
      </c>
      <c r="B46" s="66" t="s">
        <v>697</v>
      </c>
      <c r="C46" s="66"/>
      <c r="D46" s="66"/>
      <c r="E46" s="66"/>
      <c r="F46" s="66"/>
      <c r="G46" s="66"/>
      <c r="H46" s="66"/>
      <c r="I46" s="66"/>
      <c r="J46" s="66"/>
      <c r="K46" s="66">
        <v>0</v>
      </c>
      <c r="L46" s="66">
        <f>320000000*70%</f>
        <v>224000000</v>
      </c>
      <c r="M46" s="66">
        <v>0</v>
      </c>
      <c r="N46" s="66">
        <v>120000000</v>
      </c>
      <c r="O46" s="66">
        <v>0</v>
      </c>
      <c r="P46" s="66">
        <f t="shared" si="0"/>
        <v>-120000000</v>
      </c>
    </row>
    <row r="47" spans="1:16" ht="27" customHeight="1">
      <c r="A47" s="169"/>
      <c r="B47" s="106" t="s">
        <v>59</v>
      </c>
      <c r="C47" s="66"/>
      <c r="D47" s="66"/>
      <c r="E47" s="66"/>
      <c r="F47" s="66"/>
      <c r="G47" s="66"/>
      <c r="H47" s="66"/>
      <c r="I47" s="66"/>
      <c r="J47" s="66"/>
      <c r="K47" s="106">
        <f>SUM(K45:K46)</f>
        <v>0</v>
      </c>
      <c r="L47" s="106">
        <f>L45+L46</f>
        <v>784000000</v>
      </c>
      <c r="M47" s="106">
        <f>SUM(M45:M46)</f>
        <v>400000000</v>
      </c>
      <c r="N47" s="106">
        <f>SUM(N45:N46)</f>
        <v>1108000000</v>
      </c>
      <c r="O47" s="106">
        <f>SUM(O45:O46)</f>
        <v>2000000000</v>
      </c>
      <c r="P47" s="106">
        <f t="shared" si="0"/>
        <v>892000000</v>
      </c>
    </row>
    <row r="48" spans="1:16" ht="27" customHeight="1">
      <c r="A48" s="169"/>
      <c r="B48" s="106" t="s">
        <v>18</v>
      </c>
      <c r="C48" s="66"/>
      <c r="D48" s="66"/>
      <c r="E48" s="66"/>
      <c r="F48" s="66"/>
      <c r="G48" s="66"/>
      <c r="H48" s="66"/>
      <c r="I48" s="66"/>
      <c r="J48" s="66"/>
      <c r="K48" s="106">
        <f>K43+K38+K32+K26+K9</f>
        <v>869742585</v>
      </c>
      <c r="L48" s="106" t="e">
        <f>SUM(L9+L26+L32+L38+L43+L47)</f>
        <v>#REF!</v>
      </c>
      <c r="M48" s="106">
        <f>SUM(M9+M26+M32+M38+M43+M47)</f>
        <v>2217810400</v>
      </c>
      <c r="N48" s="106">
        <f>N47+N43+N38+N32+N26+N9</f>
        <v>4081668960</v>
      </c>
      <c r="O48" s="106">
        <f>O47+O43+O38+O32+O26+O9</f>
        <v>4875175200</v>
      </c>
      <c r="P48" s="106">
        <f t="shared" si="0"/>
        <v>793506240</v>
      </c>
    </row>
  </sheetData>
  <phoneticPr fontId="0" type="noConversion"/>
  <printOptions gridLines="1"/>
  <pageMargins left="0.73" right="0.25" top="0.63" bottom="0.17" header="0.17" footer="0.17"/>
  <pageSetup scale="50" orientation="portrait" r:id="rId1"/>
  <headerFooter alignWithMargins="0">
    <oddHeader>&amp;C&amp;"Algerian,Bold"&amp;36WASAARADdA DIINTA IYO AWQAAFTA</oddHeader>
    <oddFooter>&amp;R&amp;"Times New Roman,Bold"&amp;14 42</oddFooter>
  </headerFooter>
  <ignoredErrors>
    <ignoredError sqref="L35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1" zoomScaleSheetLayoutView="61" workbookViewId="0">
      <selection sqref="A1:XFD1048576"/>
    </sheetView>
  </sheetViews>
  <sheetFormatPr defaultRowHeight="12.75"/>
  <cols>
    <col min="1" max="1" width="18.1640625" style="376" bestFit="1" customWidth="1"/>
    <col min="2" max="2" width="79.33203125" style="181" customWidth="1"/>
    <col min="3" max="11" width="9.33203125" style="181" hidden="1" customWidth="1"/>
    <col min="12" max="12" width="16.83203125" style="181" hidden="1" customWidth="1"/>
    <col min="13" max="13" width="19.1640625" style="181" hidden="1" customWidth="1"/>
    <col min="14" max="14" width="27.6640625" style="371" hidden="1" customWidth="1"/>
    <col min="15" max="15" width="27.6640625" style="371" bestFit="1" customWidth="1"/>
    <col min="16" max="16" width="27.6640625" style="371" customWidth="1"/>
    <col min="17" max="17" width="28.83203125" style="371" bestFit="1" customWidth="1"/>
    <col min="18" max="16384" width="9.33203125" style="181"/>
  </cols>
  <sheetData>
    <row r="1" spans="1:17" ht="27.95" customHeight="1">
      <c r="A1" s="430" t="s">
        <v>20</v>
      </c>
      <c r="B1" s="354" t="s">
        <v>798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66"/>
      <c r="O1" s="66"/>
      <c r="P1" s="66"/>
      <c r="Q1" s="66"/>
    </row>
    <row r="2" spans="1:17" ht="27.95" customHeight="1">
      <c r="A2" s="249" t="s">
        <v>6</v>
      </c>
      <c r="B2" s="130" t="s">
        <v>7</v>
      </c>
      <c r="C2" s="256" t="s">
        <v>7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76</v>
      </c>
      <c r="L2" s="256" t="s">
        <v>110</v>
      </c>
      <c r="M2" s="256" t="s">
        <v>182</v>
      </c>
      <c r="N2" s="112" t="s">
        <v>538</v>
      </c>
      <c r="O2" s="112" t="s">
        <v>607</v>
      </c>
      <c r="P2" s="112" t="s">
        <v>722</v>
      </c>
      <c r="Q2" s="112" t="s">
        <v>34</v>
      </c>
    </row>
    <row r="3" spans="1:17" ht="27.95" customHeight="1">
      <c r="A3" s="249">
        <v>210</v>
      </c>
      <c r="B3" s="106" t="s">
        <v>95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128"/>
      <c r="O3" s="128"/>
      <c r="P3" s="128"/>
      <c r="Q3" s="128"/>
    </row>
    <row r="4" spans="1:17" ht="27.95" customHeight="1">
      <c r="A4" s="249">
        <v>2110</v>
      </c>
      <c r="B4" s="106" t="s">
        <v>155</v>
      </c>
      <c r="C4" s="66">
        <v>129049440</v>
      </c>
      <c r="D4" s="66">
        <v>282948000</v>
      </c>
      <c r="E4" s="66">
        <v>293366000</v>
      </c>
      <c r="F4" s="66">
        <v>293366000</v>
      </c>
      <c r="G4" s="66">
        <f>402876000</f>
        <v>402876000</v>
      </c>
      <c r="H4" s="66">
        <f>402876000+19848000</f>
        <v>422724000</v>
      </c>
      <c r="I4" s="66">
        <v>604890000</v>
      </c>
      <c r="J4" s="66">
        <f>640270800+14695200+81000000+9000000</f>
        <v>744966000</v>
      </c>
      <c r="K4" s="66"/>
      <c r="L4" s="66"/>
      <c r="M4" s="66"/>
      <c r="N4" s="66"/>
      <c r="O4" s="66"/>
      <c r="P4" s="66"/>
      <c r="Q4" s="66"/>
    </row>
    <row r="5" spans="1:17" ht="27.95" customHeight="1">
      <c r="A5" s="169">
        <v>21101</v>
      </c>
      <c r="B5" s="66" t="s">
        <v>9</v>
      </c>
      <c r="C5" s="66">
        <v>20379400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f>744966000+18000000</f>
        <v>762966000</v>
      </c>
      <c r="L5" s="66">
        <f>762966000+49541400</f>
        <v>812507400</v>
      </c>
      <c r="M5" s="66" t="e">
        <f>#REF!+72000000+21091200+1695200</f>
        <v>#REF!</v>
      </c>
      <c r="N5" s="66">
        <v>1351209600</v>
      </c>
      <c r="O5" s="66">
        <v>1824529920</v>
      </c>
      <c r="P5" s="66">
        <v>2201808960</v>
      </c>
      <c r="Q5" s="66">
        <f>P5-O5</f>
        <v>377279040</v>
      </c>
    </row>
    <row r="6" spans="1:17" ht="27.95" customHeight="1">
      <c r="A6" s="169">
        <v>21102</v>
      </c>
      <c r="B6" s="66" t="s">
        <v>418</v>
      </c>
      <c r="C6" s="66">
        <v>13200000</v>
      </c>
      <c r="D6" s="66">
        <v>13200000</v>
      </c>
      <c r="E6" s="66">
        <v>13200000</v>
      </c>
      <c r="F6" s="66">
        <v>13200000</v>
      </c>
      <c r="G6" s="66">
        <v>16800000</v>
      </c>
      <c r="H6" s="66">
        <v>19200000</v>
      </c>
      <c r="I6" s="66">
        <v>16800000</v>
      </c>
      <c r="J6" s="66">
        <f>16800000+2400000+48600000+2160000</f>
        <v>69960000</v>
      </c>
      <c r="K6" s="66">
        <v>0</v>
      </c>
      <c r="L6" s="66">
        <v>0</v>
      </c>
      <c r="M6" s="66">
        <v>0</v>
      </c>
      <c r="N6" s="66">
        <v>194400000</v>
      </c>
      <c r="O6" s="66">
        <v>194400000</v>
      </c>
      <c r="P6" s="66">
        <v>194400000</v>
      </c>
      <c r="Q6" s="66">
        <f t="shared" ref="Q6:Q42" si="0">P6-O6</f>
        <v>0</v>
      </c>
    </row>
    <row r="7" spans="1:17" ht="27.95" customHeight="1">
      <c r="A7" s="169">
        <v>21103</v>
      </c>
      <c r="B7" s="66" t="s">
        <v>11</v>
      </c>
      <c r="C7" s="112">
        <f t="shared" ref="C7:H7" si="1">SUM(C4:C6)</f>
        <v>162628840</v>
      </c>
      <c r="D7" s="112">
        <f t="shared" si="1"/>
        <v>296148000</v>
      </c>
      <c r="E7" s="112">
        <f t="shared" si="1"/>
        <v>306566000</v>
      </c>
      <c r="F7" s="112">
        <f t="shared" si="1"/>
        <v>306566000</v>
      </c>
      <c r="G7" s="112">
        <f t="shared" si="1"/>
        <v>419676000</v>
      </c>
      <c r="H7" s="112">
        <f t="shared" si="1"/>
        <v>441924000</v>
      </c>
      <c r="I7" s="112">
        <f>SUM(I4:I6)</f>
        <v>621690000</v>
      </c>
      <c r="J7" s="112">
        <f>SUM(J4:J6)</f>
        <v>814926000</v>
      </c>
      <c r="K7" s="66">
        <v>84000000</v>
      </c>
      <c r="L7" s="66">
        <f>84000000+6000000</f>
        <v>90000000</v>
      </c>
      <c r="M7" s="66">
        <f>84000000+6000000</f>
        <v>90000000</v>
      </c>
      <c r="N7" s="66">
        <v>162000000</v>
      </c>
      <c r="O7" s="66">
        <v>324000000</v>
      </c>
      <c r="P7" s="66">
        <v>342000000</v>
      </c>
      <c r="Q7" s="66">
        <f t="shared" si="0"/>
        <v>18000000</v>
      </c>
    </row>
    <row r="8" spans="1:17" ht="27.95" customHeight="1">
      <c r="A8" s="169">
        <v>21105</v>
      </c>
      <c r="B8" s="66" t="s">
        <v>634</v>
      </c>
      <c r="C8" s="112"/>
      <c r="D8" s="112"/>
      <c r="E8" s="112"/>
      <c r="F8" s="112"/>
      <c r="G8" s="112"/>
      <c r="H8" s="112"/>
      <c r="I8" s="112"/>
      <c r="J8" s="112"/>
      <c r="K8" s="66"/>
      <c r="L8" s="66"/>
      <c r="M8" s="66">
        <v>72000000</v>
      </c>
      <c r="N8" s="66">
        <f>M8</f>
        <v>72000000</v>
      </c>
      <c r="O8" s="66">
        <v>513600000</v>
      </c>
      <c r="P8" s="66">
        <v>607200000</v>
      </c>
      <c r="Q8" s="66">
        <f t="shared" si="0"/>
        <v>93600000</v>
      </c>
    </row>
    <row r="9" spans="1:17" ht="27.95" customHeight="1">
      <c r="A9" s="169"/>
      <c r="B9" s="106" t="s">
        <v>59</v>
      </c>
      <c r="C9" s="66"/>
      <c r="D9" s="66"/>
      <c r="E9" s="66"/>
      <c r="F9" s="66"/>
      <c r="G9" s="66"/>
      <c r="H9" s="66"/>
      <c r="I9" s="66"/>
      <c r="J9" s="66"/>
      <c r="K9" s="66">
        <v>0</v>
      </c>
      <c r="L9" s="106">
        <f>SUM(L5:L7)</f>
        <v>902507400</v>
      </c>
      <c r="M9" s="106" t="e">
        <f>M8+M7+M6+M5</f>
        <v>#REF!</v>
      </c>
      <c r="N9" s="106">
        <f>SUM(N5:N8)</f>
        <v>1779609600</v>
      </c>
      <c r="O9" s="106">
        <f>SUM(O5:O8)</f>
        <v>2856529920</v>
      </c>
      <c r="P9" s="106">
        <f>SUM(P5:P8)</f>
        <v>3345408960</v>
      </c>
      <c r="Q9" s="106">
        <f t="shared" si="0"/>
        <v>488879040</v>
      </c>
    </row>
    <row r="10" spans="1:17" ht="27.95" customHeight="1">
      <c r="A10" s="249">
        <v>220</v>
      </c>
      <c r="B10" s="106" t="s">
        <v>159</v>
      </c>
      <c r="C10" s="66">
        <v>10000000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55000000</v>
      </c>
      <c r="K10" s="66">
        <v>0</v>
      </c>
      <c r="L10" s="66"/>
      <c r="M10" s="66"/>
      <c r="N10" s="66"/>
      <c r="O10" s="66"/>
      <c r="P10" s="66"/>
      <c r="Q10" s="66">
        <f t="shared" si="0"/>
        <v>0</v>
      </c>
    </row>
    <row r="11" spans="1:17" ht="27.95" customHeight="1">
      <c r="A11" s="249">
        <v>2210</v>
      </c>
      <c r="B11" s="106" t="s">
        <v>160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12661600</v>
      </c>
      <c r="L11" s="66"/>
      <c r="M11" s="66"/>
      <c r="N11" s="66"/>
      <c r="O11" s="66"/>
      <c r="P11" s="66"/>
      <c r="Q11" s="66">
        <f t="shared" si="0"/>
        <v>0</v>
      </c>
    </row>
    <row r="12" spans="1:17" ht="27.95" customHeight="1">
      <c r="A12" s="169">
        <v>22101</v>
      </c>
      <c r="B12" s="66" t="s">
        <v>14</v>
      </c>
      <c r="C12" s="66">
        <v>0</v>
      </c>
      <c r="D12" s="66">
        <v>20000000</v>
      </c>
      <c r="E12" s="66">
        <v>0</v>
      </c>
      <c r="F12" s="66">
        <v>0</v>
      </c>
      <c r="G12" s="66">
        <v>0</v>
      </c>
      <c r="H12" s="66">
        <v>65000000</v>
      </c>
      <c r="I12" s="66">
        <v>72245600</v>
      </c>
      <c r="J12" s="66">
        <v>129000000</v>
      </c>
      <c r="K12" s="66">
        <v>29876000</v>
      </c>
      <c r="L12" s="66">
        <v>20854400</v>
      </c>
      <c r="M12" s="66">
        <f>20854400*70%</f>
        <v>14598080</v>
      </c>
      <c r="N12" s="66">
        <v>24598080</v>
      </c>
      <c r="O12" s="66">
        <v>24598080</v>
      </c>
      <c r="P12" s="66">
        <v>24598080</v>
      </c>
      <c r="Q12" s="66">
        <f t="shared" si="0"/>
        <v>0</v>
      </c>
    </row>
    <row r="13" spans="1:17" ht="27.95" customHeight="1">
      <c r="A13" s="169">
        <v>22104</v>
      </c>
      <c r="B13" s="66" t="s">
        <v>116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5586000</v>
      </c>
      <c r="L13" s="66">
        <v>15396600</v>
      </c>
      <c r="M13" s="66">
        <f>L13*70%</f>
        <v>10777620</v>
      </c>
      <c r="N13" s="66">
        <v>20777620</v>
      </c>
      <c r="O13" s="66">
        <v>50777620</v>
      </c>
      <c r="P13" s="66">
        <v>50777620</v>
      </c>
      <c r="Q13" s="66">
        <f t="shared" si="0"/>
        <v>0</v>
      </c>
    </row>
    <row r="14" spans="1:17" ht="27.95" customHeight="1">
      <c r="A14" s="169">
        <v>22107</v>
      </c>
      <c r="B14" s="66" t="s">
        <v>30</v>
      </c>
      <c r="C14" s="66"/>
      <c r="D14" s="66"/>
      <c r="E14" s="66"/>
      <c r="F14" s="66"/>
      <c r="G14" s="66"/>
      <c r="H14" s="66"/>
      <c r="I14" s="66"/>
      <c r="J14" s="66"/>
      <c r="K14" s="66">
        <v>44688000</v>
      </c>
      <c r="L14" s="66">
        <v>15361600</v>
      </c>
      <c r="M14" s="66">
        <f>L14*70%</f>
        <v>10753120</v>
      </c>
      <c r="N14" s="66">
        <v>27527184</v>
      </c>
      <c r="O14" s="66">
        <v>67527184</v>
      </c>
      <c r="P14" s="66">
        <v>67527184</v>
      </c>
      <c r="Q14" s="66">
        <f t="shared" si="0"/>
        <v>0</v>
      </c>
    </row>
    <row r="15" spans="1:17" ht="27.95" customHeight="1">
      <c r="A15" s="169">
        <v>22109</v>
      </c>
      <c r="B15" s="66" t="s">
        <v>94</v>
      </c>
      <c r="C15" s="66">
        <v>0</v>
      </c>
      <c r="D15" s="66">
        <v>0</v>
      </c>
      <c r="E15" s="66">
        <v>0</v>
      </c>
      <c r="F15" s="66">
        <v>0</v>
      </c>
      <c r="G15" s="66">
        <v>8000000</v>
      </c>
      <c r="H15" s="66">
        <v>10000000</v>
      </c>
      <c r="I15" s="66">
        <v>7448000</v>
      </c>
      <c r="J15" s="66">
        <v>10000000</v>
      </c>
      <c r="K15" s="66"/>
      <c r="L15" s="66">
        <v>10986000</v>
      </c>
      <c r="M15" s="66">
        <f>10986000*70%</f>
        <v>7690199.9999999991</v>
      </c>
      <c r="N15" s="66">
        <v>27690200</v>
      </c>
      <c r="O15" s="66">
        <v>27690200</v>
      </c>
      <c r="P15" s="66">
        <v>27690200</v>
      </c>
      <c r="Q15" s="66">
        <f t="shared" si="0"/>
        <v>0</v>
      </c>
    </row>
    <row r="16" spans="1:17" ht="27.95" customHeight="1">
      <c r="A16" s="169">
        <v>22112</v>
      </c>
      <c r="B16" s="66" t="s">
        <v>16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2000000000</v>
      </c>
      <c r="I16" s="66">
        <v>650000000</v>
      </c>
      <c r="J16" s="66">
        <v>243750000</v>
      </c>
      <c r="K16" s="66">
        <v>0</v>
      </c>
      <c r="L16" s="66">
        <v>20296000</v>
      </c>
      <c r="M16" s="66">
        <f>L16*70%</f>
        <v>14207200</v>
      </c>
      <c r="N16" s="66">
        <f>M16</f>
        <v>14207200</v>
      </c>
      <c r="O16" s="66">
        <f>N16</f>
        <v>14207200</v>
      </c>
      <c r="P16" s="66">
        <v>50000000</v>
      </c>
      <c r="Q16" s="66">
        <f t="shared" si="0"/>
        <v>35792800</v>
      </c>
    </row>
    <row r="17" spans="1:17" ht="27.95" customHeight="1">
      <c r="A17" s="169">
        <v>22137</v>
      </c>
      <c r="B17" s="66" t="s">
        <v>549</v>
      </c>
      <c r="C17" s="66">
        <v>4000000</v>
      </c>
      <c r="D17" s="66">
        <v>4800000</v>
      </c>
      <c r="E17" s="66">
        <v>4800000</v>
      </c>
      <c r="F17" s="66">
        <v>11400000</v>
      </c>
      <c r="G17" s="66">
        <v>13600000</v>
      </c>
      <c r="H17" s="66">
        <v>17000000</v>
      </c>
      <c r="I17" s="66">
        <v>12661600</v>
      </c>
      <c r="J17" s="66">
        <v>33000000</v>
      </c>
      <c r="K17" s="66"/>
      <c r="L17" s="66">
        <v>48745000</v>
      </c>
      <c r="M17" s="66">
        <f>48745000*70%</f>
        <v>34121500</v>
      </c>
      <c r="N17" s="66">
        <v>134121500</v>
      </c>
      <c r="O17" s="66">
        <v>134121500</v>
      </c>
      <c r="P17" s="66">
        <v>234121500</v>
      </c>
      <c r="Q17" s="66">
        <f t="shared" si="0"/>
        <v>100000000</v>
      </c>
    </row>
    <row r="18" spans="1:17" ht="27.95" customHeight="1">
      <c r="A18" s="169">
        <v>22141</v>
      </c>
      <c r="B18" s="66" t="s">
        <v>381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>
        <v>0</v>
      </c>
      <c r="N18" s="66">
        <v>90000000</v>
      </c>
      <c r="O18" s="66">
        <v>262800000</v>
      </c>
      <c r="P18" s="66">
        <v>70000000</v>
      </c>
      <c r="Q18" s="66">
        <f t="shared" si="0"/>
        <v>-192800000</v>
      </c>
    </row>
    <row r="19" spans="1:17" ht="27.95" customHeight="1">
      <c r="A19" s="169">
        <v>22156</v>
      </c>
      <c r="B19" s="66" t="s">
        <v>558</v>
      </c>
      <c r="C19" s="118"/>
      <c r="D19" s="100"/>
      <c r="E19" s="118"/>
      <c r="F19" s="118"/>
      <c r="G19" s="118"/>
      <c r="H19" s="118"/>
      <c r="I19" s="118"/>
      <c r="J19" s="118"/>
      <c r="K19" s="105"/>
      <c r="L19" s="100">
        <v>1000000000</v>
      </c>
      <c r="M19" s="100">
        <v>0</v>
      </c>
      <c r="N19" s="66">
        <v>90000000</v>
      </c>
      <c r="O19" s="66">
        <v>190000000</v>
      </c>
      <c r="P19" s="66">
        <v>190000000</v>
      </c>
      <c r="Q19" s="66">
        <f t="shared" si="0"/>
        <v>0</v>
      </c>
    </row>
    <row r="20" spans="1:17" ht="27.95" customHeight="1">
      <c r="A20" s="169"/>
      <c r="B20" s="106" t="s">
        <v>59</v>
      </c>
      <c r="C20" s="66">
        <v>29000000</v>
      </c>
      <c r="D20" s="66">
        <v>23200000</v>
      </c>
      <c r="E20" s="66">
        <v>23200000</v>
      </c>
      <c r="F20" s="66">
        <v>23200000</v>
      </c>
      <c r="G20" s="66">
        <v>0</v>
      </c>
      <c r="H20" s="66">
        <v>0</v>
      </c>
      <c r="I20" s="66">
        <v>0</v>
      </c>
      <c r="J20" s="66">
        <v>10400000</v>
      </c>
      <c r="K20" s="66">
        <v>0</v>
      </c>
      <c r="L20" s="106">
        <f>SUM(L12:L17)</f>
        <v>131639600</v>
      </c>
      <c r="M20" s="106">
        <f>SUM(M12:M17)</f>
        <v>92147720</v>
      </c>
      <c r="N20" s="106">
        <f>SUM(N12:N19)</f>
        <v>428921784</v>
      </c>
      <c r="O20" s="106">
        <f>SUM(O12:O19)</f>
        <v>771721784</v>
      </c>
      <c r="P20" s="106">
        <f>SUM(P12:P19)</f>
        <v>714714584</v>
      </c>
      <c r="Q20" s="106">
        <f t="shared" si="0"/>
        <v>-57007200</v>
      </c>
    </row>
    <row r="21" spans="1:17" ht="27.95" customHeight="1">
      <c r="A21" s="249">
        <v>2220</v>
      </c>
      <c r="B21" s="106" t="s">
        <v>161</v>
      </c>
      <c r="C21" s="66"/>
      <c r="D21" s="66"/>
      <c r="E21" s="66"/>
      <c r="F21" s="66"/>
      <c r="G21" s="66"/>
      <c r="H21" s="66"/>
      <c r="I21" s="66">
        <v>0</v>
      </c>
      <c r="J21" s="66">
        <v>29876000</v>
      </c>
      <c r="K21" s="66">
        <v>0</v>
      </c>
      <c r="L21" s="66"/>
      <c r="M21" s="66"/>
      <c r="N21" s="66"/>
      <c r="O21" s="66"/>
      <c r="P21" s="66"/>
      <c r="Q21" s="66">
        <f t="shared" si="0"/>
        <v>0</v>
      </c>
    </row>
    <row r="22" spans="1:17" ht="27.95" customHeight="1">
      <c r="A22" s="169">
        <v>22201</v>
      </c>
      <c r="B22" s="66" t="s">
        <v>90</v>
      </c>
      <c r="C22" s="66"/>
      <c r="D22" s="66">
        <v>0</v>
      </c>
      <c r="E22" s="66">
        <v>0</v>
      </c>
      <c r="F22" s="66">
        <v>0</v>
      </c>
      <c r="G22" s="66">
        <v>11200000</v>
      </c>
      <c r="H22" s="66">
        <v>14000000</v>
      </c>
      <c r="I22" s="66">
        <v>12661600</v>
      </c>
      <c r="J22" s="66">
        <v>18000000</v>
      </c>
      <c r="K22" s="66">
        <v>7448000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f t="shared" si="0"/>
        <v>0</v>
      </c>
    </row>
    <row r="23" spans="1:17" ht="27.95" customHeight="1">
      <c r="A23" s="169">
        <v>22202</v>
      </c>
      <c r="B23" s="66" t="s">
        <v>91</v>
      </c>
      <c r="C23" s="66">
        <v>2000000</v>
      </c>
      <c r="D23" s="66">
        <v>0</v>
      </c>
      <c r="E23" s="66">
        <v>0</v>
      </c>
      <c r="F23" s="66">
        <v>0</v>
      </c>
      <c r="G23" s="66">
        <v>3360000</v>
      </c>
      <c r="H23" s="66">
        <v>4200000</v>
      </c>
      <c r="I23" s="66">
        <v>5586000</v>
      </c>
      <c r="J23" s="66">
        <v>10000000</v>
      </c>
      <c r="K23" s="66">
        <v>2606800</v>
      </c>
      <c r="L23" s="66">
        <v>280000000</v>
      </c>
      <c r="M23" s="66">
        <v>196000000</v>
      </c>
      <c r="N23" s="66">
        <v>256800000</v>
      </c>
      <c r="O23" s="66">
        <v>306800000</v>
      </c>
      <c r="P23" s="66">
        <v>356800000</v>
      </c>
      <c r="Q23" s="66">
        <f t="shared" si="0"/>
        <v>50000000</v>
      </c>
    </row>
    <row r="24" spans="1:17" ht="27.95" customHeight="1">
      <c r="A24" s="169">
        <v>22203</v>
      </c>
      <c r="B24" s="66" t="s">
        <v>85</v>
      </c>
      <c r="C24" s="66">
        <v>6000000</v>
      </c>
      <c r="D24" s="66">
        <v>4800000</v>
      </c>
      <c r="E24" s="66">
        <v>4800000</v>
      </c>
      <c r="F24" s="66">
        <v>4800000</v>
      </c>
      <c r="G24" s="66">
        <v>5440000</v>
      </c>
      <c r="H24" s="66">
        <v>6800000</v>
      </c>
      <c r="I24" s="66">
        <v>14896000</v>
      </c>
      <c r="J24" s="66">
        <v>20000000</v>
      </c>
      <c r="K24" s="66">
        <v>0</v>
      </c>
      <c r="L24" s="66">
        <v>29792000</v>
      </c>
      <c r="M24" s="66">
        <v>20854400</v>
      </c>
      <c r="N24" s="66">
        <v>30854400</v>
      </c>
      <c r="O24" s="66">
        <v>30854400</v>
      </c>
      <c r="P24" s="66">
        <v>30854400</v>
      </c>
      <c r="Q24" s="66">
        <f t="shared" si="0"/>
        <v>0</v>
      </c>
    </row>
    <row r="25" spans="1:17" ht="27.95" customHeight="1">
      <c r="A25" s="169">
        <v>22204</v>
      </c>
      <c r="B25" s="66" t="s">
        <v>86</v>
      </c>
      <c r="C25" s="66">
        <v>0</v>
      </c>
      <c r="D25" s="66">
        <v>0</v>
      </c>
      <c r="E25" s="66">
        <v>24688000</v>
      </c>
      <c r="F25" s="66">
        <v>33204601</v>
      </c>
      <c r="G25" s="66">
        <v>0</v>
      </c>
      <c r="H25" s="66">
        <v>0</v>
      </c>
      <c r="I25" s="66">
        <v>44688000</v>
      </c>
      <c r="J25" s="66">
        <v>50000000</v>
      </c>
      <c r="K25" s="106">
        <f>SUM(K20:K24)</f>
        <v>10054800</v>
      </c>
      <c r="L25" s="66">
        <v>7913600</v>
      </c>
      <c r="M25" s="66">
        <f>7913600*70%</f>
        <v>5539520</v>
      </c>
      <c r="N25" s="66">
        <f>7913600*70%</f>
        <v>5539520</v>
      </c>
      <c r="O25" s="66">
        <f>7913600*70%</f>
        <v>5539520</v>
      </c>
      <c r="P25" s="66">
        <f>7913600*70%</f>
        <v>5539520</v>
      </c>
      <c r="Q25" s="66">
        <f t="shared" si="0"/>
        <v>0</v>
      </c>
    </row>
    <row r="26" spans="1:17" ht="27.95" customHeight="1">
      <c r="A26" s="169"/>
      <c r="B26" s="106" t="s">
        <v>59</v>
      </c>
      <c r="C26" s="112">
        <f t="shared" ref="C26:J26" si="2">SUM(C17:C25)</f>
        <v>41000000</v>
      </c>
      <c r="D26" s="112">
        <f t="shared" si="2"/>
        <v>32800000</v>
      </c>
      <c r="E26" s="112">
        <f t="shared" si="2"/>
        <v>57488000</v>
      </c>
      <c r="F26" s="112">
        <f t="shared" si="2"/>
        <v>72604601</v>
      </c>
      <c r="G26" s="112">
        <f t="shared" si="2"/>
        <v>33600000</v>
      </c>
      <c r="H26" s="112">
        <f t="shared" si="2"/>
        <v>42000000</v>
      </c>
      <c r="I26" s="112">
        <f t="shared" si="2"/>
        <v>90493200</v>
      </c>
      <c r="J26" s="112">
        <f t="shared" si="2"/>
        <v>171276000</v>
      </c>
      <c r="K26" s="128">
        <v>243750000</v>
      </c>
      <c r="L26" s="112">
        <f>SUM(L22:L25)</f>
        <v>317705600</v>
      </c>
      <c r="M26" s="112">
        <f>SUM(M22:M25)</f>
        <v>222393920</v>
      </c>
      <c r="N26" s="112">
        <f>SUM(N22:N25)</f>
        <v>293193920</v>
      </c>
      <c r="O26" s="112">
        <f>SUM(O22:O25)</f>
        <v>343193920</v>
      </c>
      <c r="P26" s="112">
        <f>SUM(P22:P25)</f>
        <v>393193920</v>
      </c>
      <c r="Q26" s="106">
        <f t="shared" si="0"/>
        <v>50000000</v>
      </c>
    </row>
    <row r="27" spans="1:17" ht="27.95" customHeight="1">
      <c r="A27" s="249">
        <v>2230</v>
      </c>
      <c r="B27" s="106" t="s">
        <v>88</v>
      </c>
      <c r="C27" s="112"/>
      <c r="D27" s="112"/>
      <c r="E27" s="112"/>
      <c r="F27" s="112"/>
      <c r="G27" s="112"/>
      <c r="H27" s="112"/>
      <c r="I27" s="112"/>
      <c r="J27" s="112"/>
      <c r="K27" s="128">
        <v>358947600</v>
      </c>
      <c r="L27" s="128"/>
      <c r="M27" s="128"/>
      <c r="N27" s="128"/>
      <c r="O27" s="128"/>
      <c r="P27" s="128"/>
      <c r="Q27" s="66">
        <f t="shared" si="0"/>
        <v>0</v>
      </c>
    </row>
    <row r="28" spans="1:17" ht="27.95" customHeight="1">
      <c r="A28" s="169">
        <v>22301</v>
      </c>
      <c r="B28" s="66" t="s">
        <v>31</v>
      </c>
      <c r="C28" s="118"/>
      <c r="D28" s="66"/>
      <c r="E28" s="118"/>
      <c r="F28" s="118"/>
      <c r="G28" s="118"/>
      <c r="H28" s="118"/>
      <c r="I28" s="118"/>
      <c r="J28" s="118"/>
      <c r="K28" s="116">
        <v>7448000</v>
      </c>
      <c r="L28" s="128">
        <v>50000000</v>
      </c>
      <c r="M28" s="128">
        <v>35000000</v>
      </c>
      <c r="N28" s="128">
        <v>50000000</v>
      </c>
      <c r="O28" s="128">
        <v>50000000</v>
      </c>
      <c r="P28" s="128">
        <v>50000000</v>
      </c>
      <c r="Q28" s="66">
        <f t="shared" si="0"/>
        <v>0</v>
      </c>
    </row>
    <row r="29" spans="1:17" ht="27.95" customHeight="1">
      <c r="A29" s="169">
        <v>22302</v>
      </c>
      <c r="B29" s="66" t="s">
        <v>162</v>
      </c>
      <c r="C29" s="118"/>
      <c r="D29" s="100"/>
      <c r="E29" s="118"/>
      <c r="F29" s="118"/>
      <c r="G29" s="118"/>
      <c r="H29" s="118">
        <v>398</v>
      </c>
      <c r="I29" s="118"/>
      <c r="J29" s="118"/>
      <c r="K29" s="105">
        <f>SUM(K26:K28)</f>
        <v>610145600</v>
      </c>
      <c r="L29" s="105">
        <v>0</v>
      </c>
      <c r="M29" s="105">
        <v>0</v>
      </c>
      <c r="N29" s="106">
        <v>0</v>
      </c>
      <c r="O29" s="106">
        <v>0</v>
      </c>
      <c r="P29" s="106">
        <v>0</v>
      </c>
      <c r="Q29" s="66">
        <f t="shared" si="0"/>
        <v>0</v>
      </c>
    </row>
    <row r="30" spans="1:17" s="378" customFormat="1" ht="27.95" customHeight="1">
      <c r="A30" s="169">
        <v>22303</v>
      </c>
      <c r="B30" s="66" t="s">
        <v>163</v>
      </c>
      <c r="C30" s="118"/>
      <c r="D30" s="442"/>
      <c r="E30" s="118"/>
      <c r="F30" s="118"/>
      <c r="G30" s="118"/>
      <c r="H30" s="118"/>
      <c r="I30" s="118"/>
      <c r="J30" s="118"/>
      <c r="K30" s="105" t="e">
        <f>K29+K25+#REF!+#REF!+#REF!</f>
        <v>#REF!</v>
      </c>
      <c r="L30" s="100">
        <v>7448000</v>
      </c>
      <c r="M30" s="100">
        <f>7448000*70%</f>
        <v>5213600</v>
      </c>
      <c r="N30" s="66">
        <f>7448000*70%</f>
        <v>5213600</v>
      </c>
      <c r="O30" s="66">
        <f>7448000*70%</f>
        <v>5213600</v>
      </c>
      <c r="P30" s="66">
        <f>7448000*70%</f>
        <v>5213600</v>
      </c>
      <c r="Q30" s="66">
        <f t="shared" si="0"/>
        <v>0</v>
      </c>
    </row>
    <row r="31" spans="1:17" s="443" customFormat="1" ht="27.95" customHeight="1">
      <c r="A31" s="169"/>
      <c r="B31" s="106" t="s">
        <v>59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05">
        <f>SUM(L28:L30)</f>
        <v>57448000</v>
      </c>
      <c r="M31" s="105">
        <f>SUM(M28:M30)</f>
        <v>40213600</v>
      </c>
      <c r="N31" s="106">
        <f>SUM(N28:N30)</f>
        <v>55213600</v>
      </c>
      <c r="O31" s="106">
        <f>SUM(O28:O30)</f>
        <v>55213600</v>
      </c>
      <c r="P31" s="106">
        <f>SUM(P28:P30)</f>
        <v>55213600</v>
      </c>
      <c r="Q31" s="106">
        <f t="shared" si="0"/>
        <v>0</v>
      </c>
    </row>
    <row r="32" spans="1:17" s="443" customFormat="1" ht="27.95" customHeight="1">
      <c r="A32" s="249">
        <v>230</v>
      </c>
      <c r="B32" s="106" t="s">
        <v>165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66"/>
      <c r="O32" s="66"/>
      <c r="P32" s="66"/>
      <c r="Q32" s="66">
        <f t="shared" si="0"/>
        <v>0</v>
      </c>
    </row>
    <row r="33" spans="1:17" s="443" customFormat="1" ht="27.95" customHeight="1">
      <c r="A33" s="249">
        <v>2310</v>
      </c>
      <c r="B33" s="106" t="s">
        <v>164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66"/>
      <c r="O33" s="66"/>
      <c r="P33" s="66"/>
      <c r="Q33" s="66">
        <f t="shared" si="0"/>
        <v>0</v>
      </c>
    </row>
    <row r="34" spans="1:17" s="443" customFormat="1" ht="27.95" customHeight="1">
      <c r="A34" s="169">
        <v>23101</v>
      </c>
      <c r="B34" s="66" t="s">
        <v>172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6">
        <v>0</v>
      </c>
      <c r="M34" s="116">
        <v>0</v>
      </c>
      <c r="N34" s="66">
        <v>0</v>
      </c>
      <c r="O34" s="66">
        <v>0</v>
      </c>
      <c r="P34" s="66">
        <v>0</v>
      </c>
      <c r="Q34" s="66">
        <f t="shared" si="0"/>
        <v>0</v>
      </c>
    </row>
    <row r="35" spans="1:17" s="443" customFormat="1" ht="27.95" customHeight="1">
      <c r="A35" s="169">
        <v>23102</v>
      </c>
      <c r="B35" s="66" t="s">
        <v>866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6">
        <v>0</v>
      </c>
      <c r="M35" s="116">
        <v>216000000</v>
      </c>
      <c r="N35" s="66">
        <v>162000000</v>
      </c>
      <c r="O35" s="66">
        <v>120000000</v>
      </c>
      <c r="P35" s="66">
        <v>180000000</v>
      </c>
      <c r="Q35" s="66">
        <f t="shared" si="0"/>
        <v>60000000</v>
      </c>
    </row>
    <row r="36" spans="1:17" s="443" customFormat="1" ht="27.95" customHeight="1">
      <c r="A36" s="169">
        <v>23103</v>
      </c>
      <c r="B36" s="66" t="s">
        <v>106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6">
        <v>11505400</v>
      </c>
      <c r="M36" s="116">
        <f>11505400*70%</f>
        <v>8053779.9999999991</v>
      </c>
      <c r="N36" s="66">
        <v>0</v>
      </c>
      <c r="O36" s="66">
        <v>0</v>
      </c>
      <c r="P36" s="66">
        <v>0</v>
      </c>
      <c r="Q36" s="66">
        <f t="shared" si="0"/>
        <v>0</v>
      </c>
    </row>
    <row r="37" spans="1:17" s="443" customFormat="1" ht="27.95" customHeight="1">
      <c r="A37" s="169">
        <v>23104</v>
      </c>
      <c r="B37" s="66" t="s">
        <v>107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6">
        <v>2606800</v>
      </c>
      <c r="M37" s="116">
        <f>2606800*70%</f>
        <v>1824760</v>
      </c>
      <c r="N37" s="66">
        <v>0</v>
      </c>
      <c r="O37" s="66">
        <v>0</v>
      </c>
      <c r="P37" s="66">
        <v>0</v>
      </c>
      <c r="Q37" s="66">
        <f t="shared" si="0"/>
        <v>0</v>
      </c>
    </row>
    <row r="38" spans="1:17" s="443" customFormat="1" ht="27.95" customHeight="1">
      <c r="A38" s="169"/>
      <c r="B38" s="106" t="s">
        <v>59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7">
        <f>SUM(L34:L37)</f>
        <v>14112200</v>
      </c>
      <c r="M38" s="117">
        <f>SUM(M34:M37)</f>
        <v>225878540</v>
      </c>
      <c r="N38" s="106">
        <f>SUM(N34:N37)</f>
        <v>162000000</v>
      </c>
      <c r="O38" s="106">
        <f>SUM(O34:O37)</f>
        <v>120000000</v>
      </c>
      <c r="P38" s="106">
        <f>SUM(P34:P37)</f>
        <v>180000000</v>
      </c>
      <c r="Q38" s="106">
        <f t="shared" si="0"/>
        <v>60000000</v>
      </c>
    </row>
    <row r="39" spans="1:17" s="443" customFormat="1" ht="27.95" customHeight="1">
      <c r="A39" s="249">
        <v>2320</v>
      </c>
      <c r="B39" s="106" t="s">
        <v>372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7"/>
      <c r="M39" s="117"/>
      <c r="N39" s="106"/>
      <c r="O39" s="106"/>
      <c r="P39" s="106"/>
      <c r="Q39" s="66">
        <f t="shared" si="0"/>
        <v>0</v>
      </c>
    </row>
    <row r="40" spans="1:17" s="443" customFormat="1" ht="27.95" customHeight="1">
      <c r="A40" s="169">
        <v>23201</v>
      </c>
      <c r="B40" s="66" t="s">
        <v>401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7"/>
      <c r="M40" s="116">
        <v>0</v>
      </c>
      <c r="N40" s="66">
        <v>0</v>
      </c>
      <c r="O40" s="66">
        <v>0</v>
      </c>
      <c r="P40" s="66">
        <v>180000000</v>
      </c>
      <c r="Q40" s="66">
        <f t="shared" si="0"/>
        <v>180000000</v>
      </c>
    </row>
    <row r="41" spans="1:17" s="443" customFormat="1" ht="27.95" customHeight="1">
      <c r="A41" s="169"/>
      <c r="B41" s="106" t="s">
        <v>59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7"/>
      <c r="M41" s="116">
        <v>0</v>
      </c>
      <c r="N41" s="106">
        <f>SUM(N40:N40)</f>
        <v>0</v>
      </c>
      <c r="O41" s="106">
        <f>SUM(O40:O40)</f>
        <v>0</v>
      </c>
      <c r="P41" s="106">
        <f>SUM(P40:P40)</f>
        <v>180000000</v>
      </c>
      <c r="Q41" s="66">
        <f t="shared" si="0"/>
        <v>180000000</v>
      </c>
    </row>
    <row r="42" spans="1:17" s="443" customFormat="1" ht="27.95" customHeight="1">
      <c r="A42" s="169"/>
      <c r="B42" s="106" t="s">
        <v>18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05">
        <f>L38+L31+L26+L20+L9</f>
        <v>1423412800</v>
      </c>
      <c r="M42" s="105" t="e">
        <f>M38+M31+M26+M20+M9</f>
        <v>#REF!</v>
      </c>
      <c r="N42" s="106">
        <f>N41+N38+N31+N26+N20+N9</f>
        <v>2718938904</v>
      </c>
      <c r="O42" s="106">
        <f>O41+O38+O31+O26+O20+O9</f>
        <v>4146659224</v>
      </c>
      <c r="P42" s="106">
        <f>P41+P38+P31+P26+P20+P9</f>
        <v>4868531064</v>
      </c>
      <c r="Q42" s="106">
        <f t="shared" si="0"/>
        <v>721871840</v>
      </c>
    </row>
    <row r="43" spans="1:17" s="443" customFormat="1" ht="15">
      <c r="A43" s="444"/>
      <c r="N43" s="445"/>
      <c r="O43" s="445"/>
      <c r="P43" s="445"/>
      <c r="Q43" s="445"/>
    </row>
  </sheetData>
  <pageMargins left="0.7" right="0.34" top="0.75" bottom="0.55000000000000004" header="0.3" footer="0.19"/>
  <pageSetup scale="55" orientation="portrait" r:id="rId1"/>
  <headerFooter>
    <oddHeader>&amp;C&amp;"Algerian,Bold"&amp;26WASAARAdDA HAWLAHA GUUD,GAADIIKA IYO GURIYAYNTA</oddHeader>
    <oddFooter>&amp;R&amp;"Times New Roman,Bold"&amp;14 43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60" workbookViewId="0">
      <selection activeCell="Q32" sqref="Q32"/>
    </sheetView>
  </sheetViews>
  <sheetFormatPr defaultRowHeight="18.95" customHeight="1"/>
  <cols>
    <col min="1" max="1" width="16.6640625" style="379" bestFit="1" customWidth="1"/>
    <col min="2" max="2" width="69.33203125" style="449" customWidth="1"/>
    <col min="3" max="11" width="9.33203125" style="449" hidden="1" customWidth="1"/>
    <col min="12" max="12" width="23" style="449" hidden="1" customWidth="1"/>
    <col min="13" max="13" width="25.33203125" style="449" hidden="1" customWidth="1"/>
    <col min="14" max="14" width="30.1640625" style="284" hidden="1" customWidth="1"/>
    <col min="15" max="15" width="27.6640625" style="284" bestFit="1" customWidth="1"/>
    <col min="16" max="16" width="27.6640625" style="284" customWidth="1"/>
    <col min="17" max="17" width="28.83203125" style="284" bestFit="1" customWidth="1"/>
    <col min="18" max="16384" width="9.33203125" style="449"/>
  </cols>
  <sheetData>
    <row r="1" spans="1:17" ht="18.95" customHeight="1">
      <c r="A1" s="446" t="s">
        <v>20</v>
      </c>
      <c r="B1" s="447" t="s">
        <v>799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135"/>
      <c r="O1" s="135"/>
      <c r="P1" s="135"/>
      <c r="Q1" s="135"/>
    </row>
    <row r="2" spans="1:17" ht="18.95" customHeight="1">
      <c r="A2" s="450" t="s">
        <v>6</v>
      </c>
      <c r="B2" s="451" t="s">
        <v>7</v>
      </c>
      <c r="C2" s="452" t="s">
        <v>7</v>
      </c>
      <c r="D2" s="452" t="s">
        <v>2</v>
      </c>
      <c r="E2" s="452" t="s">
        <v>24</v>
      </c>
      <c r="F2" s="452" t="s">
        <v>28</v>
      </c>
      <c r="G2" s="452" t="s">
        <v>33</v>
      </c>
      <c r="H2" s="452" t="s">
        <v>40</v>
      </c>
      <c r="I2" s="452" t="s">
        <v>66</v>
      </c>
      <c r="J2" s="452" t="s">
        <v>69</v>
      </c>
      <c r="K2" s="452" t="s">
        <v>75</v>
      </c>
      <c r="L2" s="452" t="s">
        <v>110</v>
      </c>
      <c r="M2" s="452" t="s">
        <v>182</v>
      </c>
      <c r="N2" s="453" t="s">
        <v>538</v>
      </c>
      <c r="O2" s="453" t="s">
        <v>607</v>
      </c>
      <c r="P2" s="453" t="s">
        <v>722</v>
      </c>
      <c r="Q2" s="453" t="s">
        <v>34</v>
      </c>
    </row>
    <row r="3" spans="1:17" ht="18.95" customHeight="1">
      <c r="A3" s="450">
        <v>210</v>
      </c>
      <c r="B3" s="136" t="s">
        <v>95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135"/>
      <c r="O3" s="135"/>
      <c r="P3" s="135"/>
      <c r="Q3" s="135"/>
    </row>
    <row r="4" spans="1:17" ht="18.95" customHeight="1">
      <c r="A4" s="450">
        <v>2110</v>
      </c>
      <c r="B4" s="136" t="s">
        <v>155</v>
      </c>
      <c r="C4" s="135">
        <v>165303000</v>
      </c>
      <c r="D4" s="135">
        <v>342120000</v>
      </c>
      <c r="E4" s="135">
        <v>342120000</v>
      </c>
      <c r="F4" s="135">
        <f>342120000-77808000+14760000</f>
        <v>279072000</v>
      </c>
      <c r="G4" s="135">
        <v>305892000</v>
      </c>
      <c r="H4" s="135">
        <f>305892000+19416000</f>
        <v>325308000</v>
      </c>
      <c r="I4" s="135">
        <v>434007600</v>
      </c>
      <c r="J4" s="135">
        <f>443242800+3198000+54000000+6000000</f>
        <v>506440800</v>
      </c>
      <c r="K4" s="135">
        <f>506440800+12000000+936000+5085600</f>
        <v>524462400</v>
      </c>
      <c r="L4" s="135"/>
      <c r="M4" s="135"/>
      <c r="N4" s="135"/>
      <c r="O4" s="135"/>
      <c r="P4" s="135"/>
      <c r="Q4" s="135"/>
    </row>
    <row r="5" spans="1:17" ht="18.95" customHeight="1">
      <c r="A5" s="454">
        <v>21101</v>
      </c>
      <c r="B5" s="135" t="s">
        <v>9</v>
      </c>
      <c r="C5" s="135">
        <v>4871000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f>524462400+5085600</f>
        <v>529548000</v>
      </c>
      <c r="M5" s="135" t="e">
        <f>#REF!+36000000</f>
        <v>#REF!</v>
      </c>
      <c r="N5" s="135">
        <v>1598625600</v>
      </c>
      <c r="O5" s="135">
        <v>2158453440</v>
      </c>
      <c r="P5" s="135">
        <v>2623832640</v>
      </c>
      <c r="Q5" s="135">
        <f>P5-O5</f>
        <v>465379200</v>
      </c>
    </row>
    <row r="6" spans="1:17" ht="18.95" customHeight="1">
      <c r="A6" s="454">
        <v>21102</v>
      </c>
      <c r="B6" s="135" t="s">
        <v>421</v>
      </c>
      <c r="C6" s="135">
        <v>10800000</v>
      </c>
      <c r="D6" s="135">
        <v>10800000</v>
      </c>
      <c r="E6" s="135">
        <v>10800000</v>
      </c>
      <c r="F6" s="135">
        <v>10800000</v>
      </c>
      <c r="G6" s="135">
        <v>14400000</v>
      </c>
      <c r="H6" s="135">
        <f>G6</f>
        <v>14400000</v>
      </c>
      <c r="I6" s="135">
        <v>14400000</v>
      </c>
      <c r="J6" s="135">
        <f>14400000+32400000+1440000</f>
        <v>48240000</v>
      </c>
      <c r="K6" s="135">
        <f>48240000+1440000+7920000+2400000</f>
        <v>60000000</v>
      </c>
      <c r="L6" s="135">
        <v>0</v>
      </c>
      <c r="M6" s="135">
        <v>0</v>
      </c>
      <c r="N6" s="135">
        <v>97200000</v>
      </c>
      <c r="O6" s="135">
        <v>97200000</v>
      </c>
      <c r="P6" s="135">
        <v>97200000</v>
      </c>
      <c r="Q6" s="135">
        <f t="shared" ref="Q6:Q56" si="0">P6-O6</f>
        <v>0</v>
      </c>
    </row>
    <row r="7" spans="1:17" ht="18.95" customHeight="1">
      <c r="A7" s="454">
        <v>21103</v>
      </c>
      <c r="B7" s="135" t="s">
        <v>11</v>
      </c>
      <c r="C7" s="135"/>
      <c r="D7" s="135"/>
      <c r="E7" s="135"/>
      <c r="F7" s="135"/>
      <c r="G7" s="135">
        <v>0</v>
      </c>
      <c r="H7" s="135">
        <v>288000000</v>
      </c>
      <c r="I7" s="135">
        <v>282000000</v>
      </c>
      <c r="J7" s="135">
        <v>304200000</v>
      </c>
      <c r="K7" s="135">
        <v>0</v>
      </c>
      <c r="L7" s="135">
        <f>60000000+4800000</f>
        <v>64800000</v>
      </c>
      <c r="M7" s="135">
        <f>60000000+4800000</f>
        <v>64800000</v>
      </c>
      <c r="N7" s="135">
        <v>151200000</v>
      </c>
      <c r="O7" s="135">
        <v>216000000</v>
      </c>
      <c r="P7" s="135">
        <v>216000000</v>
      </c>
      <c r="Q7" s="135">
        <f t="shared" si="0"/>
        <v>0</v>
      </c>
    </row>
    <row r="8" spans="1:17" ht="18.95" customHeight="1">
      <c r="A8" s="454">
        <v>21105</v>
      </c>
      <c r="B8" s="135" t="s">
        <v>399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>
        <v>315600000</v>
      </c>
      <c r="N8" s="135">
        <v>576600000</v>
      </c>
      <c r="O8" s="135">
        <v>658800000</v>
      </c>
      <c r="P8" s="135">
        <v>849000000</v>
      </c>
      <c r="Q8" s="135">
        <f t="shared" si="0"/>
        <v>190200000</v>
      </c>
    </row>
    <row r="9" spans="1:17" ht="18.95" customHeight="1">
      <c r="A9" s="450">
        <v>2120</v>
      </c>
      <c r="B9" s="136" t="s">
        <v>156</v>
      </c>
      <c r="C9" s="135">
        <v>0</v>
      </c>
      <c r="D9" s="135">
        <v>30000000</v>
      </c>
      <c r="E9" s="135">
        <v>30000000</v>
      </c>
      <c r="F9" s="135">
        <v>0</v>
      </c>
      <c r="G9" s="135">
        <v>24000000</v>
      </c>
      <c r="H9" s="135">
        <v>0</v>
      </c>
      <c r="I9" s="135">
        <v>0</v>
      </c>
      <c r="J9" s="135">
        <v>30000000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f t="shared" si="0"/>
        <v>0</v>
      </c>
    </row>
    <row r="10" spans="1:17" ht="18.95" customHeight="1">
      <c r="A10" s="454">
        <v>21202</v>
      </c>
      <c r="B10" s="135" t="s">
        <v>300</v>
      </c>
      <c r="C10" s="135">
        <v>2700000</v>
      </c>
      <c r="D10" s="135">
        <v>8500000</v>
      </c>
      <c r="E10" s="135">
        <v>8500000</v>
      </c>
      <c r="F10" s="135">
        <v>13900000</v>
      </c>
      <c r="G10" s="135">
        <v>11120000</v>
      </c>
      <c r="H10" s="135">
        <v>13900000</v>
      </c>
      <c r="I10" s="135">
        <v>11172000</v>
      </c>
      <c r="J10" s="135">
        <v>11172000</v>
      </c>
      <c r="K10" s="135"/>
      <c r="L10" s="135">
        <v>9997000</v>
      </c>
      <c r="M10" s="135">
        <v>3192000</v>
      </c>
      <c r="N10" s="135">
        <v>0</v>
      </c>
      <c r="O10" s="135">
        <v>0</v>
      </c>
      <c r="P10" s="135">
        <v>0</v>
      </c>
      <c r="Q10" s="135">
        <f t="shared" si="0"/>
        <v>0</v>
      </c>
    </row>
    <row r="11" spans="1:17" ht="18.95" customHeight="1">
      <c r="A11" s="454"/>
      <c r="B11" s="136" t="s">
        <v>59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6">
        <f>SUM(L5:L10)</f>
        <v>604345000</v>
      </c>
      <c r="M11" s="136" t="e">
        <f>SUM(M5:M10)</f>
        <v>#REF!</v>
      </c>
      <c r="N11" s="136">
        <f>SUM(N5:N10)</f>
        <v>2423625600</v>
      </c>
      <c r="O11" s="136">
        <f>SUM(O5:O10)</f>
        <v>3130453440</v>
      </c>
      <c r="P11" s="136">
        <f>SUM(P5:P10)</f>
        <v>3786032640</v>
      </c>
      <c r="Q11" s="136">
        <f t="shared" si="0"/>
        <v>655579200</v>
      </c>
    </row>
    <row r="12" spans="1:17" ht="18.95" customHeight="1">
      <c r="A12" s="450">
        <v>220</v>
      </c>
      <c r="B12" s="136" t="s">
        <v>159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/>
      <c r="M12" s="135"/>
      <c r="N12" s="135"/>
      <c r="O12" s="135"/>
      <c r="P12" s="135"/>
      <c r="Q12" s="135">
        <f t="shared" si="0"/>
        <v>0</v>
      </c>
    </row>
    <row r="13" spans="1:17" ht="18.95" customHeight="1">
      <c r="A13" s="450">
        <v>2210</v>
      </c>
      <c r="B13" s="136" t="s">
        <v>160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20913984</v>
      </c>
      <c r="L13" s="135"/>
      <c r="M13" s="135"/>
      <c r="N13" s="135"/>
      <c r="O13" s="135"/>
      <c r="P13" s="135"/>
      <c r="Q13" s="135">
        <f t="shared" si="0"/>
        <v>0</v>
      </c>
    </row>
    <row r="14" spans="1:17" ht="18.95" customHeight="1">
      <c r="A14" s="454">
        <v>22101</v>
      </c>
      <c r="B14" s="135" t="s">
        <v>14</v>
      </c>
      <c r="C14" s="135">
        <v>0</v>
      </c>
      <c r="D14" s="135">
        <v>0</v>
      </c>
      <c r="E14" s="135">
        <v>0</v>
      </c>
      <c r="F14" s="135">
        <v>0</v>
      </c>
      <c r="G14" s="135">
        <v>12000000</v>
      </c>
      <c r="H14" s="135">
        <v>0</v>
      </c>
      <c r="I14" s="135">
        <v>0</v>
      </c>
      <c r="J14" s="135">
        <v>0</v>
      </c>
      <c r="K14" s="141">
        <v>7448000</v>
      </c>
      <c r="L14" s="141">
        <v>27110720</v>
      </c>
      <c r="M14" s="141">
        <f>27110720*70%</f>
        <v>18977504</v>
      </c>
      <c r="N14" s="141">
        <f>27110720*70%</f>
        <v>18977504</v>
      </c>
      <c r="O14" s="141">
        <f>27110720*70%</f>
        <v>18977504</v>
      </c>
      <c r="P14" s="141">
        <f>27110720*70%</f>
        <v>18977504</v>
      </c>
      <c r="Q14" s="135">
        <f t="shared" si="0"/>
        <v>0</v>
      </c>
    </row>
    <row r="15" spans="1:17" ht="18.95" customHeight="1">
      <c r="A15" s="454">
        <v>22102</v>
      </c>
      <c r="B15" s="135" t="s">
        <v>82</v>
      </c>
      <c r="C15" s="135">
        <v>0</v>
      </c>
      <c r="D15" s="135">
        <v>141000000</v>
      </c>
      <c r="E15" s="135">
        <v>0</v>
      </c>
      <c r="F15" s="135">
        <v>0</v>
      </c>
      <c r="G15" s="135">
        <v>0</v>
      </c>
      <c r="H15" s="135">
        <v>65000000</v>
      </c>
      <c r="I15" s="135">
        <v>0</v>
      </c>
      <c r="J15" s="135"/>
      <c r="K15" s="135">
        <v>14517642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f t="shared" si="0"/>
        <v>0</v>
      </c>
    </row>
    <row r="16" spans="1:17" ht="18.95" customHeight="1">
      <c r="A16" s="454">
        <v>22103</v>
      </c>
      <c r="B16" s="135" t="s">
        <v>83</v>
      </c>
      <c r="C16" s="135"/>
      <c r="D16" s="135"/>
      <c r="E16" s="135"/>
      <c r="F16" s="135">
        <v>0</v>
      </c>
      <c r="G16" s="135">
        <v>3200000</v>
      </c>
      <c r="H16" s="135">
        <v>4000000</v>
      </c>
      <c r="I16" s="135">
        <v>4096400</v>
      </c>
      <c r="J16" s="135">
        <v>4096400</v>
      </c>
      <c r="K16" s="135">
        <v>64201760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f t="shared" si="0"/>
        <v>0</v>
      </c>
    </row>
    <row r="17" spans="1:17" ht="18.95" customHeight="1">
      <c r="A17" s="454">
        <v>22104</v>
      </c>
      <c r="B17" s="135" t="s">
        <v>116</v>
      </c>
      <c r="C17" s="135"/>
      <c r="D17" s="135"/>
      <c r="E17" s="135"/>
      <c r="F17" s="135"/>
      <c r="G17" s="135"/>
      <c r="H17" s="135"/>
      <c r="I17" s="135"/>
      <c r="J17" s="135"/>
      <c r="K17" s="135">
        <v>20824608</v>
      </c>
      <c r="L17" s="135">
        <v>20913984</v>
      </c>
      <c r="M17" s="135">
        <f>L17*70%</f>
        <v>14639788.799999999</v>
      </c>
      <c r="N17" s="135">
        <f>M17</f>
        <v>14639788.799999999</v>
      </c>
      <c r="O17" s="135">
        <f>N17</f>
        <v>14639788.799999999</v>
      </c>
      <c r="P17" s="135">
        <v>19639789</v>
      </c>
      <c r="Q17" s="135">
        <f t="shared" si="0"/>
        <v>5000000.2000000011</v>
      </c>
    </row>
    <row r="18" spans="1:17" ht="18.95" customHeight="1">
      <c r="A18" s="454">
        <v>22105</v>
      </c>
      <c r="B18" s="135" t="s">
        <v>436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>
        <v>0</v>
      </c>
      <c r="N18" s="135">
        <v>81000000</v>
      </c>
      <c r="O18" s="135">
        <v>81000000</v>
      </c>
      <c r="P18" s="135">
        <v>0</v>
      </c>
      <c r="Q18" s="135">
        <f t="shared" si="0"/>
        <v>-81000000</v>
      </c>
    </row>
    <row r="19" spans="1:17" ht="18.95" customHeight="1">
      <c r="A19" s="454">
        <v>22107</v>
      </c>
      <c r="B19" s="135" t="s">
        <v>30</v>
      </c>
      <c r="C19" s="135"/>
      <c r="D19" s="135"/>
      <c r="E19" s="135"/>
      <c r="F19" s="135"/>
      <c r="G19" s="135"/>
      <c r="H19" s="135"/>
      <c r="I19" s="135"/>
      <c r="J19" s="135"/>
      <c r="K19" s="136">
        <f>SUM(K11:K17)</f>
        <v>127905994</v>
      </c>
      <c r="L19" s="135">
        <v>12448000</v>
      </c>
      <c r="M19" s="135">
        <v>8713600</v>
      </c>
      <c r="N19" s="135">
        <v>6099520</v>
      </c>
      <c r="O19" s="135">
        <f>N19</f>
        <v>6099520</v>
      </c>
      <c r="P19" s="135">
        <f>O19</f>
        <v>6099520</v>
      </c>
      <c r="Q19" s="135">
        <f t="shared" si="0"/>
        <v>0</v>
      </c>
    </row>
    <row r="20" spans="1:17" ht="18.95" customHeight="1">
      <c r="A20" s="454">
        <v>22109</v>
      </c>
      <c r="B20" s="135" t="s">
        <v>94</v>
      </c>
      <c r="C20" s="135"/>
      <c r="D20" s="135"/>
      <c r="E20" s="135"/>
      <c r="F20" s="135"/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17429880</v>
      </c>
      <c r="M20" s="135">
        <f>17429880*70%</f>
        <v>12200916</v>
      </c>
      <c r="N20" s="135">
        <f>17429880*70%</f>
        <v>12200916</v>
      </c>
      <c r="O20" s="135">
        <f>17429880*70%</f>
        <v>12200916</v>
      </c>
      <c r="P20" s="135">
        <f>17429880*70%</f>
        <v>12200916</v>
      </c>
      <c r="Q20" s="135">
        <f t="shared" si="0"/>
        <v>0</v>
      </c>
    </row>
    <row r="21" spans="1:17" ht="18.95" customHeight="1">
      <c r="A21" s="454">
        <v>22112</v>
      </c>
      <c r="B21" s="135" t="s">
        <v>16</v>
      </c>
      <c r="C21" s="135"/>
      <c r="D21" s="135">
        <v>0</v>
      </c>
      <c r="E21" s="135">
        <v>0</v>
      </c>
      <c r="F21" s="135">
        <v>0</v>
      </c>
      <c r="G21" s="135">
        <v>4000000</v>
      </c>
      <c r="H21" s="135">
        <v>5000000</v>
      </c>
      <c r="I21" s="135">
        <v>3724000</v>
      </c>
      <c r="J21" s="135">
        <v>3724000</v>
      </c>
      <c r="K21" s="135">
        <v>443347200</v>
      </c>
      <c r="L21" s="135">
        <v>84201760</v>
      </c>
      <c r="M21" s="135">
        <f>84201760*70%</f>
        <v>58941231.999999993</v>
      </c>
      <c r="N21" s="135">
        <v>158941232</v>
      </c>
      <c r="O21" s="135">
        <v>258941232</v>
      </c>
      <c r="P21" s="135">
        <v>308941232</v>
      </c>
      <c r="Q21" s="135">
        <f t="shared" si="0"/>
        <v>50000000</v>
      </c>
    </row>
    <row r="22" spans="1:17" ht="18.95" customHeight="1">
      <c r="A22" s="454">
        <v>22137</v>
      </c>
      <c r="B22" s="135" t="s">
        <v>841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>
        <v>200000000</v>
      </c>
      <c r="Q22" s="135">
        <f t="shared" si="0"/>
        <v>200000000</v>
      </c>
    </row>
    <row r="23" spans="1:17" ht="18.95" customHeight="1">
      <c r="A23" s="454">
        <v>22132</v>
      </c>
      <c r="B23" s="135" t="s">
        <v>144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>
        <v>58625600</v>
      </c>
      <c r="M23" s="135">
        <f>58625600*70%</f>
        <v>41037920</v>
      </c>
      <c r="N23" s="135">
        <v>0</v>
      </c>
      <c r="O23" s="135">
        <v>0</v>
      </c>
      <c r="P23" s="135">
        <v>0</v>
      </c>
      <c r="Q23" s="135">
        <f t="shared" si="0"/>
        <v>0</v>
      </c>
    </row>
    <row r="24" spans="1:17" ht="18.95" customHeight="1">
      <c r="A24" s="454">
        <v>22141</v>
      </c>
      <c r="B24" s="135" t="s">
        <v>381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>
        <v>200000000</v>
      </c>
      <c r="O24" s="135">
        <v>724218000</v>
      </c>
      <c r="P24" s="135">
        <v>778218000</v>
      </c>
      <c r="Q24" s="135">
        <f t="shared" si="0"/>
        <v>54000000</v>
      </c>
    </row>
    <row r="25" spans="1:17" ht="18.95" customHeight="1">
      <c r="A25" s="454">
        <v>22149</v>
      </c>
      <c r="B25" s="135" t="s">
        <v>379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>
        <v>0</v>
      </c>
      <c r="N25" s="135">
        <v>210000000</v>
      </c>
      <c r="O25" s="135">
        <v>0</v>
      </c>
      <c r="P25" s="135">
        <v>0</v>
      </c>
      <c r="Q25" s="135">
        <f t="shared" si="0"/>
        <v>0</v>
      </c>
    </row>
    <row r="26" spans="1:17" ht="18.95" customHeight="1">
      <c r="A26" s="454">
        <v>22177</v>
      </c>
      <c r="B26" s="135" t="s">
        <v>897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>
        <v>0</v>
      </c>
      <c r="P26" s="135">
        <v>700000000</v>
      </c>
      <c r="Q26" s="135">
        <f t="shared" si="0"/>
        <v>700000000</v>
      </c>
    </row>
    <row r="27" spans="1:17" ht="18.95" customHeight="1">
      <c r="A27" s="454">
        <v>22178</v>
      </c>
      <c r="B27" s="135" t="s">
        <v>984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>
        <v>0</v>
      </c>
      <c r="P27" s="135">
        <v>6000000000</v>
      </c>
      <c r="Q27" s="135">
        <f t="shared" si="0"/>
        <v>6000000000</v>
      </c>
    </row>
    <row r="28" spans="1:17" ht="18.95" customHeight="1">
      <c r="A28" s="454"/>
      <c r="B28" s="136" t="s">
        <v>59</v>
      </c>
      <c r="C28" s="135">
        <v>1000000</v>
      </c>
      <c r="D28" s="135">
        <v>20000000</v>
      </c>
      <c r="E28" s="135">
        <v>20000000</v>
      </c>
      <c r="F28" s="135">
        <v>25000000</v>
      </c>
      <c r="G28" s="135">
        <v>22464000</v>
      </c>
      <c r="H28" s="135">
        <v>28080000</v>
      </c>
      <c r="I28" s="135">
        <v>20913984</v>
      </c>
      <c r="J28" s="135">
        <v>20913984</v>
      </c>
      <c r="K28" s="135">
        <v>0</v>
      </c>
      <c r="L28" s="136">
        <f>SUM(L14:L23)</f>
        <v>220729944</v>
      </c>
      <c r="M28" s="136">
        <f>SUM(M14:M23)</f>
        <v>154510960.79999998</v>
      </c>
      <c r="N28" s="136">
        <f>SUM(N13:N25)</f>
        <v>701858960.79999995</v>
      </c>
      <c r="O28" s="136">
        <f>SUM(O13:O27)</f>
        <v>1116076960.8</v>
      </c>
      <c r="P28" s="136">
        <f>SUM(P14:P27)</f>
        <v>8044076961</v>
      </c>
      <c r="Q28" s="136">
        <f t="shared" si="0"/>
        <v>6928000000.1999998</v>
      </c>
    </row>
    <row r="29" spans="1:17" ht="18.95" customHeight="1">
      <c r="A29" s="450">
        <v>2220</v>
      </c>
      <c r="B29" s="136" t="s">
        <v>161</v>
      </c>
      <c r="C29" s="135"/>
      <c r="D29" s="135"/>
      <c r="E29" s="135"/>
      <c r="F29" s="135">
        <v>0</v>
      </c>
      <c r="G29" s="135">
        <v>8000000</v>
      </c>
      <c r="H29" s="135">
        <v>10000000</v>
      </c>
      <c r="I29" s="135">
        <v>7448000</v>
      </c>
      <c r="J29" s="135">
        <v>7448000</v>
      </c>
      <c r="K29" s="135">
        <v>4096400</v>
      </c>
      <c r="L29" s="135"/>
      <c r="M29" s="135"/>
      <c r="N29" s="135"/>
      <c r="O29" s="135"/>
      <c r="P29" s="135"/>
      <c r="Q29" s="135">
        <f t="shared" si="0"/>
        <v>0</v>
      </c>
    </row>
    <row r="30" spans="1:17" ht="18.95" customHeight="1">
      <c r="A30" s="454">
        <v>22201</v>
      </c>
      <c r="B30" s="135" t="s">
        <v>90</v>
      </c>
      <c r="C30" s="135"/>
      <c r="D30" s="135"/>
      <c r="E30" s="135"/>
      <c r="F30" s="135"/>
      <c r="G30" s="135"/>
      <c r="H30" s="135"/>
      <c r="I30" s="135"/>
      <c r="J30" s="135"/>
      <c r="K30" s="135">
        <v>2979200</v>
      </c>
      <c r="L30" s="135">
        <v>0</v>
      </c>
      <c r="M30" s="135">
        <v>0</v>
      </c>
      <c r="N30" s="135">
        <v>50000000</v>
      </c>
      <c r="O30" s="135">
        <v>50000000</v>
      </c>
      <c r="P30" s="135">
        <v>50000000</v>
      </c>
      <c r="Q30" s="135">
        <f t="shared" si="0"/>
        <v>0</v>
      </c>
    </row>
    <row r="31" spans="1:17" ht="18.95" customHeight="1">
      <c r="A31" s="454">
        <v>22202</v>
      </c>
      <c r="B31" s="135" t="s">
        <v>91</v>
      </c>
      <c r="C31" s="135"/>
      <c r="D31" s="135"/>
      <c r="E31" s="135">
        <v>0</v>
      </c>
      <c r="F31" s="135">
        <v>27960000</v>
      </c>
      <c r="G31" s="135">
        <v>27960000</v>
      </c>
      <c r="H31" s="135">
        <v>27960000</v>
      </c>
      <c r="I31" s="135">
        <v>20824608</v>
      </c>
      <c r="J31" s="135">
        <v>20824608</v>
      </c>
      <c r="K31" s="136">
        <f>SUM(K28:K30)</f>
        <v>7075600</v>
      </c>
      <c r="L31" s="135">
        <v>787684000</v>
      </c>
      <c r="M31" s="135">
        <f>787684000</f>
        <v>787684000</v>
      </c>
      <c r="N31" s="135">
        <v>680147200</v>
      </c>
      <c r="O31" s="135">
        <v>880147200</v>
      </c>
      <c r="P31" s="135">
        <v>880147200</v>
      </c>
      <c r="Q31" s="135">
        <f t="shared" si="0"/>
        <v>0</v>
      </c>
    </row>
    <row r="32" spans="1:17" ht="18.95" customHeight="1">
      <c r="A32" s="454">
        <v>22202</v>
      </c>
      <c r="B32" s="135" t="s">
        <v>437</v>
      </c>
      <c r="C32" s="135"/>
      <c r="D32" s="135"/>
      <c r="E32" s="135"/>
      <c r="F32" s="135"/>
      <c r="G32" s="135"/>
      <c r="H32" s="135"/>
      <c r="I32" s="135"/>
      <c r="J32" s="135"/>
      <c r="K32" s="136"/>
      <c r="L32" s="135"/>
      <c r="M32" s="135">
        <v>0</v>
      </c>
      <c r="N32" s="135">
        <v>126650000</v>
      </c>
      <c r="O32" s="135">
        <v>176650000</v>
      </c>
      <c r="P32" s="135">
        <v>176650000</v>
      </c>
      <c r="Q32" s="135">
        <f t="shared" si="0"/>
        <v>0</v>
      </c>
    </row>
    <row r="33" spans="1:17" ht="18.95" customHeight="1">
      <c r="A33" s="454">
        <v>22203</v>
      </c>
      <c r="B33" s="135" t="s">
        <v>85</v>
      </c>
      <c r="C33" s="135">
        <v>0</v>
      </c>
      <c r="D33" s="135">
        <v>134933200</v>
      </c>
      <c r="E33" s="135">
        <v>392992000</v>
      </c>
      <c r="F33" s="135">
        <v>252083954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16172000</v>
      </c>
      <c r="M33" s="135">
        <v>11320400</v>
      </c>
      <c r="N33" s="135">
        <v>11320400</v>
      </c>
      <c r="O33" s="135">
        <v>11320400</v>
      </c>
      <c r="P33" s="135">
        <v>11320400</v>
      </c>
      <c r="Q33" s="135">
        <f t="shared" si="0"/>
        <v>0</v>
      </c>
    </row>
    <row r="34" spans="1:17" ht="18.95" customHeight="1">
      <c r="A34" s="454">
        <v>22204</v>
      </c>
      <c r="B34" s="135" t="s">
        <v>86</v>
      </c>
      <c r="C34" s="453">
        <f t="shared" ref="C34:J34" si="1">SUM(C28:C33)</f>
        <v>1000000</v>
      </c>
      <c r="D34" s="453">
        <f t="shared" si="1"/>
        <v>154933200</v>
      </c>
      <c r="E34" s="453">
        <f t="shared" si="1"/>
        <v>412992000</v>
      </c>
      <c r="F34" s="453">
        <f t="shared" si="1"/>
        <v>305043954</v>
      </c>
      <c r="G34" s="453">
        <f t="shared" si="1"/>
        <v>58424000</v>
      </c>
      <c r="H34" s="453">
        <f t="shared" si="1"/>
        <v>66040000</v>
      </c>
      <c r="I34" s="453">
        <f t="shared" si="1"/>
        <v>49186592</v>
      </c>
      <c r="J34" s="453">
        <f t="shared" si="1"/>
        <v>49186592</v>
      </c>
      <c r="K34" s="141">
        <v>74480000</v>
      </c>
      <c r="L34" s="141">
        <v>12448000</v>
      </c>
      <c r="M34" s="141">
        <f>12448000*70%</f>
        <v>8713600</v>
      </c>
      <c r="N34" s="141">
        <f>12448000*70%</f>
        <v>8713600</v>
      </c>
      <c r="O34" s="141">
        <f>12448000*70%</f>
        <v>8713600</v>
      </c>
      <c r="P34" s="141">
        <f>12448000*70%</f>
        <v>8713600</v>
      </c>
      <c r="Q34" s="135">
        <f t="shared" si="0"/>
        <v>0</v>
      </c>
    </row>
    <row r="35" spans="1:17" ht="18.95" customHeight="1">
      <c r="A35" s="454"/>
      <c r="B35" s="136" t="s">
        <v>59</v>
      </c>
      <c r="C35" s="448"/>
      <c r="D35" s="455" t="s">
        <v>4</v>
      </c>
      <c r="E35" s="448"/>
      <c r="F35" s="455">
        <f>SUM(F23:F34)</f>
        <v>610087908</v>
      </c>
      <c r="G35" s="455"/>
      <c r="H35" s="455"/>
      <c r="I35" s="455"/>
      <c r="J35" s="455"/>
      <c r="K35" s="456">
        <f>SUM(K33:K34)</f>
        <v>74480000</v>
      </c>
      <c r="L35" s="456">
        <f>SUM(L30:L34)</f>
        <v>816304000</v>
      </c>
      <c r="M35" s="456">
        <f>SUM(M30:M34)</f>
        <v>807718000</v>
      </c>
      <c r="N35" s="136">
        <f>SUM(N30:N34)</f>
        <v>876831200</v>
      </c>
      <c r="O35" s="136">
        <f>SUM(O30:O34)</f>
        <v>1126831200</v>
      </c>
      <c r="P35" s="136">
        <f>SUM(P30:P34)</f>
        <v>1126831200</v>
      </c>
      <c r="Q35" s="136">
        <f t="shared" si="0"/>
        <v>0</v>
      </c>
    </row>
    <row r="36" spans="1:17" ht="18.95" customHeight="1">
      <c r="A36" s="450">
        <v>2230</v>
      </c>
      <c r="B36" s="136" t="s">
        <v>88</v>
      </c>
      <c r="C36" s="448"/>
      <c r="D36" s="448"/>
      <c r="E36" s="448"/>
      <c r="F36" s="448"/>
      <c r="G36" s="448"/>
      <c r="H36" s="448"/>
      <c r="I36" s="448"/>
      <c r="J36" s="448"/>
      <c r="K36" s="456" t="e">
        <f>K35+K31+#REF!+K19+#REF!</f>
        <v>#REF!</v>
      </c>
      <c r="L36" s="456"/>
      <c r="M36" s="456"/>
      <c r="N36" s="136"/>
      <c r="O36" s="136"/>
      <c r="P36" s="136"/>
      <c r="Q36" s="135">
        <f t="shared" si="0"/>
        <v>0</v>
      </c>
    </row>
    <row r="37" spans="1:17" ht="18.95" customHeight="1">
      <c r="A37" s="454">
        <v>22301</v>
      </c>
      <c r="B37" s="135" t="s">
        <v>31</v>
      </c>
      <c r="C37" s="448"/>
      <c r="D37" s="448"/>
      <c r="E37" s="448"/>
      <c r="F37" s="448">
        <f>1386274192-71600000-798000-176160000-12600000</f>
        <v>1125116192</v>
      </c>
      <c r="G37" s="448"/>
      <c r="H37" s="448"/>
      <c r="I37" s="448"/>
      <c r="J37" s="448"/>
      <c r="K37" s="448"/>
      <c r="L37" s="457">
        <v>84480000</v>
      </c>
      <c r="M37" s="457">
        <v>59136000</v>
      </c>
      <c r="N37" s="135">
        <v>69136000</v>
      </c>
      <c r="O37" s="135">
        <v>69136000</v>
      </c>
      <c r="P37" s="135">
        <v>69136000</v>
      </c>
      <c r="Q37" s="135">
        <f t="shared" si="0"/>
        <v>0</v>
      </c>
    </row>
    <row r="38" spans="1:17" ht="18.95" customHeight="1">
      <c r="A38" s="454">
        <v>22302</v>
      </c>
      <c r="B38" s="135" t="s">
        <v>162</v>
      </c>
      <c r="C38" s="448"/>
      <c r="D38" s="448"/>
      <c r="E38" s="448"/>
      <c r="F38" s="455">
        <v>1420744824</v>
      </c>
      <c r="G38" s="455"/>
      <c r="H38" s="455"/>
      <c r="I38" s="455"/>
      <c r="J38" s="455"/>
      <c r="K38" s="455"/>
      <c r="L38" s="457">
        <v>0</v>
      </c>
      <c r="M38" s="457">
        <v>0</v>
      </c>
      <c r="N38" s="135">
        <v>0</v>
      </c>
      <c r="O38" s="135">
        <v>0</v>
      </c>
      <c r="P38" s="135">
        <v>0</v>
      </c>
      <c r="Q38" s="135">
        <f t="shared" si="0"/>
        <v>0</v>
      </c>
    </row>
    <row r="39" spans="1:17" ht="18.95" customHeight="1">
      <c r="A39" s="454">
        <v>22306</v>
      </c>
      <c r="B39" s="135" t="s">
        <v>183</v>
      </c>
      <c r="C39" s="448"/>
      <c r="D39" s="448"/>
      <c r="E39" s="448"/>
      <c r="F39" s="455" t="e">
        <f>F38-#REF!</f>
        <v>#REF!</v>
      </c>
      <c r="G39" s="455"/>
      <c r="H39" s="455"/>
      <c r="I39" s="455"/>
      <c r="J39" s="455"/>
      <c r="K39" s="455"/>
      <c r="L39" s="457">
        <v>140000000</v>
      </c>
      <c r="M39" s="457">
        <f>140000000*70%</f>
        <v>98000000</v>
      </c>
      <c r="N39" s="135">
        <f>140000000*70%</f>
        <v>98000000</v>
      </c>
      <c r="O39" s="135">
        <f>140000000*70%</f>
        <v>98000000</v>
      </c>
      <c r="P39" s="135">
        <f>140000000*70%</f>
        <v>98000000</v>
      </c>
      <c r="Q39" s="135">
        <f t="shared" si="0"/>
        <v>0</v>
      </c>
    </row>
    <row r="40" spans="1:17" ht="18.95" customHeight="1">
      <c r="A40" s="454">
        <v>22314</v>
      </c>
      <c r="B40" s="135" t="s">
        <v>163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57">
        <v>3724000</v>
      </c>
      <c r="M40" s="457">
        <f>3724000*70%</f>
        <v>2606800</v>
      </c>
      <c r="N40" s="135">
        <f>3724000*70%</f>
        <v>2606800</v>
      </c>
      <c r="O40" s="135">
        <f>3724000*70%</f>
        <v>2606800</v>
      </c>
      <c r="P40" s="135">
        <f>3724000*70%</f>
        <v>2606800</v>
      </c>
      <c r="Q40" s="135">
        <f t="shared" si="0"/>
        <v>0</v>
      </c>
    </row>
    <row r="41" spans="1:17" ht="18.95" customHeight="1">
      <c r="A41" s="454"/>
      <c r="B41" s="136" t="s">
        <v>59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58">
        <f>SUM(L37:L40)</f>
        <v>228204000</v>
      </c>
      <c r="M41" s="458">
        <f>SUM(M37:M40)</f>
        <v>159742800</v>
      </c>
      <c r="N41" s="136">
        <f>SUM(N37:N40)</f>
        <v>169742800</v>
      </c>
      <c r="O41" s="136">
        <f>SUM(O37:O40)</f>
        <v>169742800</v>
      </c>
      <c r="P41" s="136">
        <f>SUM(P37:P40)</f>
        <v>169742800</v>
      </c>
      <c r="Q41" s="136">
        <f t="shared" si="0"/>
        <v>0</v>
      </c>
    </row>
    <row r="42" spans="1:17" ht="18.95" customHeight="1">
      <c r="A42" s="450">
        <v>230</v>
      </c>
      <c r="B42" s="136" t="s">
        <v>165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57"/>
      <c r="M42" s="457"/>
      <c r="N42" s="135"/>
      <c r="O42" s="135"/>
      <c r="P42" s="135"/>
      <c r="Q42" s="135">
        <f t="shared" si="0"/>
        <v>0</v>
      </c>
    </row>
    <row r="43" spans="1:17" ht="18.95" customHeight="1">
      <c r="A43" s="450">
        <v>2310</v>
      </c>
      <c r="B43" s="136" t="s">
        <v>164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57"/>
      <c r="M43" s="457"/>
      <c r="N43" s="135"/>
      <c r="O43" s="135"/>
      <c r="P43" s="135"/>
      <c r="Q43" s="135">
        <f t="shared" si="0"/>
        <v>0</v>
      </c>
    </row>
    <row r="44" spans="1:17" ht="18.95" customHeight="1">
      <c r="A44" s="454">
        <v>23101</v>
      </c>
      <c r="B44" s="135" t="s">
        <v>172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57"/>
      <c r="M44" s="457"/>
      <c r="N44" s="135">
        <v>120000000</v>
      </c>
      <c r="O44" s="135">
        <v>120000000</v>
      </c>
      <c r="P44" s="135">
        <v>60000000</v>
      </c>
      <c r="Q44" s="135">
        <f t="shared" si="0"/>
        <v>-60000000</v>
      </c>
    </row>
    <row r="45" spans="1:17" ht="18.95" customHeight="1">
      <c r="A45" s="454">
        <v>23103</v>
      </c>
      <c r="B45" s="135" t="s">
        <v>106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57">
        <v>4096400</v>
      </c>
      <c r="M45" s="457">
        <f>4096400*70%</f>
        <v>2867480</v>
      </c>
      <c r="N45" s="135">
        <v>0</v>
      </c>
      <c r="O45" s="135">
        <v>0</v>
      </c>
      <c r="P45" s="135">
        <v>0</v>
      </c>
      <c r="Q45" s="135">
        <f t="shared" si="0"/>
        <v>0</v>
      </c>
    </row>
    <row r="46" spans="1:17" ht="18.95" customHeight="1">
      <c r="A46" s="454">
        <v>23104</v>
      </c>
      <c r="B46" s="135" t="s">
        <v>107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57">
        <v>2979200</v>
      </c>
      <c r="M46" s="457">
        <f>2979200*70%</f>
        <v>2085439.9999999998</v>
      </c>
      <c r="N46" s="135">
        <v>0</v>
      </c>
      <c r="O46" s="135">
        <v>0</v>
      </c>
      <c r="P46" s="135">
        <v>0</v>
      </c>
      <c r="Q46" s="135">
        <f t="shared" si="0"/>
        <v>0</v>
      </c>
    </row>
    <row r="47" spans="1:17" ht="18.95" customHeight="1">
      <c r="A47" s="454"/>
      <c r="B47" s="136" t="s">
        <v>59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58">
        <f>SUM(L45:L46)</f>
        <v>7075600</v>
      </c>
      <c r="M47" s="458">
        <f>SUM(M45:M46)</f>
        <v>4952920</v>
      </c>
      <c r="N47" s="136">
        <f>SUM(N44:N46)</f>
        <v>120000000</v>
      </c>
      <c r="O47" s="136">
        <f>SUM(O44:O46)</f>
        <v>120000000</v>
      </c>
      <c r="P47" s="136">
        <f>SUM(P44:P46)</f>
        <v>60000000</v>
      </c>
      <c r="Q47" s="136">
        <f t="shared" si="0"/>
        <v>-60000000</v>
      </c>
    </row>
    <row r="48" spans="1:17" ht="18.95" customHeight="1">
      <c r="A48" s="459">
        <v>2630</v>
      </c>
      <c r="B48" s="460" t="s">
        <v>306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>
        <f t="shared" si="0"/>
        <v>0</v>
      </c>
    </row>
    <row r="49" spans="1:17" ht="18.95" customHeight="1">
      <c r="A49" s="454">
        <v>26301</v>
      </c>
      <c r="B49" s="135" t="s">
        <v>218</v>
      </c>
      <c r="C49" s="136"/>
      <c r="D49" s="136"/>
      <c r="E49" s="136"/>
      <c r="F49" s="136"/>
      <c r="G49" s="136"/>
      <c r="H49" s="136"/>
      <c r="I49" s="136"/>
      <c r="J49" s="136"/>
      <c r="K49" s="135"/>
      <c r="L49" s="135">
        <v>20824000</v>
      </c>
      <c r="M49" s="135">
        <f>20824000*70%</f>
        <v>14576800</v>
      </c>
      <c r="N49" s="135">
        <v>0</v>
      </c>
      <c r="O49" s="135">
        <v>20000000</v>
      </c>
      <c r="P49" s="135">
        <v>20000000</v>
      </c>
      <c r="Q49" s="135">
        <f t="shared" si="0"/>
        <v>0</v>
      </c>
    </row>
    <row r="50" spans="1:17" ht="18.95" customHeight="1">
      <c r="A50" s="454"/>
      <c r="B50" s="136" t="s">
        <v>59</v>
      </c>
      <c r="C50" s="135"/>
      <c r="D50" s="135"/>
      <c r="E50" s="135"/>
      <c r="F50" s="135"/>
      <c r="G50" s="135"/>
      <c r="H50" s="135"/>
      <c r="I50" s="135"/>
      <c r="J50" s="136">
        <f t="shared" ref="J50:P50" si="2">SUM(J49)</f>
        <v>0</v>
      </c>
      <c r="K50" s="136">
        <f t="shared" si="2"/>
        <v>0</v>
      </c>
      <c r="L50" s="136">
        <f t="shared" si="2"/>
        <v>20824000</v>
      </c>
      <c r="M50" s="136">
        <f t="shared" si="2"/>
        <v>14576800</v>
      </c>
      <c r="N50" s="136">
        <f t="shared" si="2"/>
        <v>0</v>
      </c>
      <c r="O50" s="136">
        <f t="shared" si="2"/>
        <v>20000000</v>
      </c>
      <c r="P50" s="136">
        <f t="shared" si="2"/>
        <v>20000000</v>
      </c>
      <c r="Q50" s="136">
        <f t="shared" si="0"/>
        <v>0</v>
      </c>
    </row>
    <row r="51" spans="1:17" ht="18.95" customHeight="1">
      <c r="A51" s="450">
        <v>2320</v>
      </c>
      <c r="B51" s="136" t="s">
        <v>372</v>
      </c>
      <c r="C51" s="135"/>
      <c r="D51" s="135"/>
      <c r="E51" s="135"/>
      <c r="F51" s="135"/>
      <c r="G51" s="135"/>
      <c r="H51" s="135"/>
      <c r="I51" s="135"/>
      <c r="J51" s="136"/>
      <c r="K51" s="136"/>
      <c r="L51" s="136"/>
      <c r="M51" s="135">
        <v>0</v>
      </c>
      <c r="N51" s="135"/>
      <c r="O51" s="135"/>
      <c r="P51" s="135"/>
      <c r="Q51" s="135">
        <f t="shared" si="0"/>
        <v>0</v>
      </c>
    </row>
    <row r="52" spans="1:17" ht="18.95" customHeight="1">
      <c r="A52" s="454">
        <v>23201</v>
      </c>
      <c r="B52" s="135" t="s">
        <v>342</v>
      </c>
      <c r="C52" s="135"/>
      <c r="D52" s="135"/>
      <c r="E52" s="135"/>
      <c r="F52" s="135"/>
      <c r="G52" s="135"/>
      <c r="H52" s="135"/>
      <c r="I52" s="135"/>
      <c r="J52" s="136"/>
      <c r="K52" s="136"/>
      <c r="L52" s="136"/>
      <c r="M52" s="135">
        <v>0</v>
      </c>
      <c r="N52" s="135">
        <v>1650000000</v>
      </c>
      <c r="O52" s="135">
        <v>0</v>
      </c>
      <c r="P52" s="135">
        <v>0</v>
      </c>
      <c r="Q52" s="135">
        <f t="shared" si="0"/>
        <v>0</v>
      </c>
    </row>
    <row r="53" spans="1:17" ht="18.95" customHeight="1">
      <c r="A53" s="454">
        <v>23201</v>
      </c>
      <c r="B53" s="135" t="s">
        <v>428</v>
      </c>
      <c r="C53" s="135"/>
      <c r="D53" s="135"/>
      <c r="E53" s="135"/>
      <c r="F53" s="135"/>
      <c r="G53" s="135"/>
      <c r="H53" s="135"/>
      <c r="I53" s="135"/>
      <c r="J53" s="136"/>
      <c r="K53" s="136"/>
      <c r="L53" s="136"/>
      <c r="M53" s="135">
        <v>0</v>
      </c>
      <c r="N53" s="135"/>
      <c r="O53" s="135">
        <v>0</v>
      </c>
      <c r="P53" s="135">
        <v>0</v>
      </c>
      <c r="Q53" s="135">
        <f t="shared" si="0"/>
        <v>0</v>
      </c>
    </row>
    <row r="54" spans="1:17" ht="18.95" customHeight="1">
      <c r="A54" s="454">
        <v>23201</v>
      </c>
      <c r="B54" s="135" t="s">
        <v>635</v>
      </c>
      <c r="C54" s="135"/>
      <c r="D54" s="135"/>
      <c r="E54" s="135"/>
      <c r="F54" s="135"/>
      <c r="G54" s="135"/>
      <c r="H54" s="135"/>
      <c r="I54" s="135"/>
      <c r="J54" s="136"/>
      <c r="K54" s="136"/>
      <c r="L54" s="136"/>
      <c r="M54" s="135"/>
      <c r="N54" s="135">
        <v>0</v>
      </c>
      <c r="O54" s="135">
        <v>0</v>
      </c>
      <c r="P54" s="135">
        <v>0</v>
      </c>
      <c r="Q54" s="135">
        <f t="shared" si="0"/>
        <v>0</v>
      </c>
    </row>
    <row r="55" spans="1:17" ht="18.95" customHeight="1">
      <c r="A55" s="454"/>
      <c r="B55" s="136" t="s">
        <v>59</v>
      </c>
      <c r="C55" s="135"/>
      <c r="D55" s="135"/>
      <c r="E55" s="135"/>
      <c r="F55" s="135"/>
      <c r="G55" s="135"/>
      <c r="H55" s="135"/>
      <c r="I55" s="135"/>
      <c r="J55" s="136"/>
      <c r="K55" s="136"/>
      <c r="L55" s="136"/>
      <c r="M55" s="136"/>
      <c r="N55" s="136">
        <f>SUM(N52:N53)</f>
        <v>1650000000</v>
      </c>
      <c r="O55" s="136">
        <f>SUM(O53:O54)</f>
        <v>0</v>
      </c>
      <c r="P55" s="136">
        <f>SUM(P53:P54)</f>
        <v>0</v>
      </c>
      <c r="Q55" s="135">
        <f t="shared" si="0"/>
        <v>0</v>
      </c>
    </row>
    <row r="56" spans="1:17" ht="18.95" customHeight="1">
      <c r="A56" s="454"/>
      <c r="B56" s="136" t="s">
        <v>18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58">
        <f>L50+L47+L41+L35+L28+L11</f>
        <v>1897482544</v>
      </c>
      <c r="M56" s="458" t="e">
        <f>M50+M47+M41+M35+M28+M11</f>
        <v>#REF!</v>
      </c>
      <c r="N56" s="136">
        <f>N55+N50+N47+N41+N35+N28+N11</f>
        <v>5942058560.8000002</v>
      </c>
      <c r="O56" s="136">
        <f>O55+O50+O47+O41+O35+O28+O11</f>
        <v>5683104400.8000002</v>
      </c>
      <c r="P56" s="136">
        <f>P55+P50+P47+P41+P35+P28+P11</f>
        <v>13206683601</v>
      </c>
      <c r="Q56" s="136">
        <f t="shared" si="0"/>
        <v>7523579200.1999998</v>
      </c>
    </row>
  </sheetData>
  <pageMargins left="0.7" right="0.42" top="1.01" bottom="0.64" header="0.36" footer="0.22"/>
  <pageSetup scale="60" orientation="portrait" r:id="rId1"/>
  <headerFooter>
    <oddHeader>&amp;C&amp;"Algerian,Bold"&amp;36WASAARAdDA DUULISTA IYO HAWADA</oddHeader>
    <oddFooter>&amp;R&amp;"Times New Roman,Bold"&amp;14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60" zoomScaleNormal="100" workbookViewId="0">
      <selection activeCell="Q4" sqref="Q4"/>
    </sheetView>
  </sheetViews>
  <sheetFormatPr defaultRowHeight="39.950000000000003" customHeight="1"/>
  <cols>
    <col min="1" max="1" width="13.33203125" style="181" bestFit="1" customWidth="1"/>
    <col min="2" max="2" width="66.83203125" style="181" bestFit="1" customWidth="1"/>
    <col min="3" max="3" width="35" style="181" customWidth="1"/>
    <col min="4" max="4" width="35" style="181" hidden="1" customWidth="1"/>
    <col min="5" max="5" width="29.83203125" style="352" bestFit="1" customWidth="1"/>
    <col min="6" max="10" width="9.33203125" style="181"/>
    <col min="11" max="11" width="22.1640625" style="181" bestFit="1" customWidth="1"/>
    <col min="12" max="16384" width="9.33203125" style="181"/>
  </cols>
  <sheetData>
    <row r="1" spans="1:5" ht="39.950000000000003" customHeight="1">
      <c r="A1" s="309" t="s">
        <v>973</v>
      </c>
      <c r="B1" s="310" t="s">
        <v>475</v>
      </c>
      <c r="C1" s="309" t="s">
        <v>349</v>
      </c>
      <c r="D1" s="309"/>
      <c r="E1" s="310" t="s">
        <v>974</v>
      </c>
    </row>
    <row r="2" spans="1:5" ht="39.950000000000003" customHeight="1">
      <c r="A2" s="311">
        <v>1</v>
      </c>
      <c r="B2" s="312" t="s">
        <v>975</v>
      </c>
      <c r="C2" s="313">
        <v>60369869966</v>
      </c>
      <c r="D2" s="313">
        <f>C20</f>
        <v>1080000000000.234</v>
      </c>
      <c r="E2" s="351">
        <f>C2/D2</f>
        <v>5.5898027746284183E-2</v>
      </c>
    </row>
    <row r="3" spans="1:5" ht="39.950000000000003" customHeight="1">
      <c r="A3" s="311">
        <v>2</v>
      </c>
      <c r="B3" s="314" t="s">
        <v>477</v>
      </c>
      <c r="C3" s="313">
        <v>667477257679.6001</v>
      </c>
      <c r="D3" s="313">
        <v>1080000000000</v>
      </c>
      <c r="E3" s="351">
        <f t="shared" ref="E3:E19" si="0">C3/D3</f>
        <v>0.61803449785148157</v>
      </c>
    </row>
    <row r="4" spans="1:5" ht="39.950000000000003" customHeight="1">
      <c r="A4" s="311">
        <v>3</v>
      </c>
      <c r="B4" s="314" t="s">
        <v>976</v>
      </c>
      <c r="C4" s="313">
        <v>139069900911.07397</v>
      </c>
      <c r="D4" s="313">
        <v>1080000000000</v>
      </c>
      <c r="E4" s="351">
        <f t="shared" si="0"/>
        <v>0.12876842676951294</v>
      </c>
    </row>
    <row r="5" spans="1:5" ht="39.950000000000003" customHeight="1">
      <c r="A5" s="311">
        <v>4</v>
      </c>
      <c r="B5" s="314" t="s">
        <v>478</v>
      </c>
      <c r="C5" s="313">
        <v>5999999999.999999</v>
      </c>
      <c r="D5" s="313">
        <v>1080000000000</v>
      </c>
      <c r="E5" s="351">
        <f t="shared" si="0"/>
        <v>5.5555555555555549E-3</v>
      </c>
    </row>
    <row r="6" spans="1:5" ht="39.950000000000003" customHeight="1">
      <c r="A6" s="311">
        <v>5</v>
      </c>
      <c r="B6" s="314" t="s">
        <v>479</v>
      </c>
      <c r="C6" s="313">
        <v>25350645667</v>
      </c>
      <c r="D6" s="313">
        <v>1080000000000</v>
      </c>
      <c r="E6" s="351">
        <f t="shared" si="0"/>
        <v>2.3472820062037037E-2</v>
      </c>
    </row>
    <row r="7" spans="1:5" ht="39.950000000000003" customHeight="1">
      <c r="A7" s="311">
        <v>6</v>
      </c>
      <c r="B7" s="314" t="s">
        <v>480</v>
      </c>
      <c r="C7" s="313">
        <v>2000000000</v>
      </c>
      <c r="D7" s="313">
        <v>1080000000000</v>
      </c>
      <c r="E7" s="351">
        <f t="shared" si="0"/>
        <v>1.8518518518518519E-3</v>
      </c>
    </row>
    <row r="8" spans="1:5" ht="39.950000000000003" customHeight="1">
      <c r="A8" s="311">
        <v>7</v>
      </c>
      <c r="B8" s="314" t="s">
        <v>977</v>
      </c>
      <c r="C8" s="313">
        <v>2335160018.0000043</v>
      </c>
      <c r="D8" s="313">
        <v>1080000000000</v>
      </c>
      <c r="E8" s="351">
        <f t="shared" si="0"/>
        <v>2.162185201851856E-3</v>
      </c>
    </row>
    <row r="9" spans="1:5" ht="39.950000000000003" customHeight="1">
      <c r="A9" s="311">
        <v>8</v>
      </c>
      <c r="B9" s="314" t="s">
        <v>978</v>
      </c>
      <c r="C9" s="313">
        <v>11398538552</v>
      </c>
      <c r="D9" s="313">
        <v>1080000000000</v>
      </c>
      <c r="E9" s="351">
        <f t="shared" si="0"/>
        <v>1.0554202362962962E-2</v>
      </c>
    </row>
    <row r="10" spans="1:5" ht="39.950000000000003" customHeight="1">
      <c r="A10" s="311">
        <v>9</v>
      </c>
      <c r="B10" s="314" t="s">
        <v>717</v>
      </c>
      <c r="C10" s="313">
        <v>999999999.99999988</v>
      </c>
      <c r="D10" s="313">
        <v>1080000000000</v>
      </c>
      <c r="E10" s="351">
        <f t="shared" si="0"/>
        <v>9.2592592592592585E-4</v>
      </c>
    </row>
    <row r="11" spans="1:5" ht="39.950000000000003" customHeight="1">
      <c r="A11" s="311">
        <v>10</v>
      </c>
      <c r="B11" s="314" t="s">
        <v>481</v>
      </c>
      <c r="C11" s="313">
        <v>4574452820</v>
      </c>
      <c r="D11" s="313">
        <v>1080000000000</v>
      </c>
      <c r="E11" s="351">
        <f t="shared" si="0"/>
        <v>4.2356044629629627E-3</v>
      </c>
    </row>
    <row r="12" spans="1:5" ht="39.950000000000003" customHeight="1">
      <c r="A12" s="311">
        <v>11</v>
      </c>
      <c r="B12" s="314" t="s">
        <v>979</v>
      </c>
      <c r="C12" s="313">
        <v>1700000000</v>
      </c>
      <c r="D12" s="313">
        <v>1080000000000</v>
      </c>
      <c r="E12" s="351">
        <f t="shared" si="0"/>
        <v>1.5740740740740741E-3</v>
      </c>
    </row>
    <row r="13" spans="1:5" ht="39.950000000000003" customHeight="1">
      <c r="A13" s="311">
        <v>12</v>
      </c>
      <c r="B13" s="314" t="s">
        <v>482</v>
      </c>
      <c r="C13" s="313">
        <v>4800000000</v>
      </c>
      <c r="D13" s="313">
        <v>1080000000000</v>
      </c>
      <c r="E13" s="351">
        <f t="shared" si="0"/>
        <v>4.4444444444444444E-3</v>
      </c>
    </row>
    <row r="14" spans="1:5" ht="39.950000000000003" customHeight="1">
      <c r="A14" s="311">
        <v>13</v>
      </c>
      <c r="B14" s="314" t="s">
        <v>980</v>
      </c>
      <c r="C14" s="313">
        <v>3000000000</v>
      </c>
      <c r="D14" s="313">
        <v>1080000000000</v>
      </c>
      <c r="E14" s="351">
        <f t="shared" si="0"/>
        <v>2.7777777777777779E-3</v>
      </c>
    </row>
    <row r="15" spans="1:5" ht="39.950000000000003" customHeight="1">
      <c r="A15" s="311">
        <v>14</v>
      </c>
      <c r="B15" s="314" t="s">
        <v>981</v>
      </c>
      <c r="C15" s="313">
        <v>36000000000</v>
      </c>
      <c r="D15" s="313">
        <v>1080000000000</v>
      </c>
      <c r="E15" s="351">
        <f t="shared" si="0"/>
        <v>3.3333333333333333E-2</v>
      </c>
    </row>
    <row r="16" spans="1:5" ht="39.950000000000003" customHeight="1">
      <c r="A16" s="311">
        <v>15</v>
      </c>
      <c r="B16" s="314" t="s">
        <v>982</v>
      </c>
      <c r="C16" s="313">
        <v>45000000000</v>
      </c>
      <c r="D16" s="313">
        <v>1080000000000</v>
      </c>
      <c r="E16" s="351">
        <f t="shared" si="0"/>
        <v>4.1666666666666664E-2</v>
      </c>
    </row>
    <row r="17" spans="1:5" ht="39.950000000000003" customHeight="1">
      <c r="A17" s="311">
        <v>16</v>
      </c>
      <c r="B17" s="314" t="s">
        <v>718</v>
      </c>
      <c r="C17" s="313">
        <v>10933391988.480001</v>
      </c>
      <c r="D17" s="313">
        <v>1080000000000</v>
      </c>
      <c r="E17" s="351">
        <f t="shared" si="0"/>
        <v>1.0123511100444446E-2</v>
      </c>
    </row>
    <row r="18" spans="1:5" ht="39.950000000000003" customHeight="1">
      <c r="A18" s="311">
        <v>17</v>
      </c>
      <c r="B18" s="314" t="s">
        <v>719</v>
      </c>
      <c r="C18" s="313">
        <v>26000000000</v>
      </c>
      <c r="D18" s="313">
        <v>1080000000000</v>
      </c>
      <c r="E18" s="351">
        <f t="shared" si="0"/>
        <v>2.4074074074074074E-2</v>
      </c>
    </row>
    <row r="19" spans="1:5" ht="39.950000000000003" customHeight="1">
      <c r="A19" s="311">
        <v>18</v>
      </c>
      <c r="B19" s="314" t="s">
        <v>983</v>
      </c>
      <c r="C19" s="313">
        <v>32990782398.080006</v>
      </c>
      <c r="D19" s="313">
        <v>1080000000000</v>
      </c>
      <c r="E19" s="351">
        <f t="shared" si="0"/>
        <v>3.0547020738962968E-2</v>
      </c>
    </row>
    <row r="20" spans="1:5" ht="39.950000000000003" customHeight="1">
      <c r="A20" s="314"/>
      <c r="B20" s="315" t="s">
        <v>476</v>
      </c>
      <c r="C20" s="316">
        <f>SUM(C2:C19)</f>
        <v>1080000000000.234</v>
      </c>
      <c r="D20" s="316"/>
      <c r="E20" s="351">
        <f>SUM(E2:E19)</f>
        <v>1.0000000000002045</v>
      </c>
    </row>
    <row r="21" spans="1:5" ht="39.950000000000003" customHeight="1">
      <c r="A21" s="317"/>
      <c r="B21" s="317"/>
      <c r="C21" s="317"/>
      <c r="D21" s="317"/>
    </row>
    <row r="22" spans="1:5" ht="39.950000000000003" customHeight="1">
      <c r="A22" s="317"/>
      <c r="B22" s="317"/>
      <c r="C22" s="317"/>
      <c r="D22" s="317"/>
    </row>
    <row r="23" spans="1:5" ht="39.950000000000003" customHeight="1">
      <c r="A23" s="317"/>
      <c r="B23" s="317"/>
      <c r="C23" s="317"/>
      <c r="D23" s="317"/>
    </row>
    <row r="24" spans="1:5" ht="39.950000000000003" customHeight="1">
      <c r="A24" s="317"/>
      <c r="B24" s="317"/>
      <c r="C24" s="317"/>
      <c r="D24" s="317"/>
    </row>
    <row r="25" spans="1:5" ht="39.950000000000003" customHeight="1">
      <c r="A25" s="317"/>
      <c r="B25" s="317"/>
      <c r="C25" s="317"/>
      <c r="D25" s="317"/>
    </row>
    <row r="26" spans="1:5" ht="39.950000000000003" customHeight="1">
      <c r="A26" s="317"/>
      <c r="B26" s="317"/>
      <c r="C26" s="317"/>
      <c r="D26" s="317"/>
    </row>
    <row r="27" spans="1:5" ht="39.950000000000003" customHeight="1">
      <c r="A27" s="317"/>
      <c r="B27" s="317"/>
      <c r="C27" s="317"/>
      <c r="D27" s="317"/>
    </row>
    <row r="28" spans="1:5" ht="39.950000000000003" customHeight="1">
      <c r="A28" s="317"/>
      <c r="B28" s="317"/>
      <c r="C28" s="317"/>
      <c r="D28" s="317"/>
    </row>
    <row r="29" spans="1:5" ht="39.950000000000003" customHeight="1">
      <c r="A29" s="317"/>
      <c r="B29" s="317"/>
      <c r="C29" s="317"/>
      <c r="D29" s="317"/>
    </row>
    <row r="30" spans="1:5" ht="39.950000000000003" customHeight="1">
      <c r="A30" s="317"/>
      <c r="B30" s="317"/>
      <c r="C30" s="317"/>
      <c r="D30" s="317"/>
    </row>
    <row r="31" spans="1:5" ht="39.950000000000003" customHeight="1">
      <c r="A31" s="317"/>
      <c r="B31" s="317"/>
      <c r="C31" s="317"/>
      <c r="D31" s="317"/>
    </row>
    <row r="32" spans="1:5" ht="39.950000000000003" customHeight="1">
      <c r="A32" s="317"/>
      <c r="B32" s="317"/>
      <c r="C32" s="317"/>
      <c r="D32" s="317"/>
    </row>
    <row r="33" spans="1:4" ht="39.950000000000003" customHeight="1">
      <c r="A33" s="317"/>
      <c r="B33" s="317"/>
      <c r="C33" s="317"/>
      <c r="D33" s="317"/>
    </row>
    <row r="34" spans="1:4" ht="39.950000000000003" customHeight="1">
      <c r="A34" s="317"/>
      <c r="B34" s="317"/>
      <c r="C34" s="317"/>
      <c r="D34" s="317"/>
    </row>
    <row r="35" spans="1:4" ht="39.950000000000003" customHeight="1">
      <c r="A35" s="317"/>
      <c r="B35" s="317"/>
      <c r="C35" s="317"/>
      <c r="D35" s="317"/>
    </row>
    <row r="36" spans="1:4" ht="39.950000000000003" customHeight="1">
      <c r="A36" s="317"/>
      <c r="B36" s="317"/>
      <c r="C36" s="317"/>
      <c r="D36" s="317"/>
    </row>
    <row r="37" spans="1:4" ht="39.950000000000003" customHeight="1">
      <c r="A37" s="317"/>
      <c r="B37" s="317"/>
      <c r="C37" s="317"/>
      <c r="D37" s="317"/>
    </row>
    <row r="38" spans="1:4" ht="39.950000000000003" customHeight="1">
      <c r="A38" s="317"/>
      <c r="B38" s="317"/>
      <c r="C38" s="317"/>
      <c r="D38" s="317"/>
    </row>
    <row r="39" spans="1:4" ht="39.950000000000003" customHeight="1">
      <c r="A39" s="317"/>
      <c r="B39" s="317"/>
      <c r="C39" s="317"/>
      <c r="D39" s="317"/>
    </row>
    <row r="40" spans="1:4" ht="39.950000000000003" customHeight="1">
      <c r="A40" s="317"/>
      <c r="B40" s="317"/>
      <c r="C40" s="317"/>
      <c r="D40" s="317"/>
    </row>
    <row r="41" spans="1:4" ht="39.950000000000003" customHeight="1">
      <c r="A41" s="317"/>
      <c r="B41" s="317"/>
      <c r="C41" s="317"/>
      <c r="D41" s="317"/>
    </row>
    <row r="42" spans="1:4" ht="39.950000000000003" customHeight="1">
      <c r="A42" s="317"/>
      <c r="B42" s="317"/>
      <c r="C42" s="317"/>
      <c r="D42" s="317"/>
    </row>
    <row r="43" spans="1:4" ht="39.950000000000003" customHeight="1">
      <c r="A43" s="317"/>
      <c r="B43" s="317"/>
      <c r="C43" s="317"/>
      <c r="D43" s="317"/>
    </row>
  </sheetData>
  <pageMargins left="0.7" right="0.7" top="0.75" bottom="0.75" header="0.3" footer="0.3"/>
  <pageSetup scale="65" orientation="portrait" verticalDpi="4294967295" r:id="rId1"/>
  <headerFooter>
    <oddHeader>&amp;C&amp;"Agency FB,Bold"&amp;36SOO KOOBIDA GUUD EE DAKHLIGA MIISAANIYADDA 2015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8"/>
  <dimension ref="A1:R51"/>
  <sheetViews>
    <sheetView view="pageBreakPreview" topLeftCell="A34" zoomScale="66" zoomScaleSheetLayoutView="66" workbookViewId="0">
      <selection sqref="A1:XFD1048576"/>
    </sheetView>
  </sheetViews>
  <sheetFormatPr defaultRowHeight="12.75"/>
  <cols>
    <col min="1" max="1" width="18.6640625" style="402" bestFit="1" customWidth="1"/>
    <col min="2" max="2" width="100.1640625" style="304" customWidth="1"/>
    <col min="3" max="3" width="17.1640625" style="304" hidden="1" customWidth="1"/>
    <col min="4" max="4" width="13.5" style="304" hidden="1" customWidth="1"/>
    <col min="5" max="5" width="18" style="304" hidden="1" customWidth="1"/>
    <col min="6" max="6" width="15.33203125" style="304" hidden="1" customWidth="1"/>
    <col min="7" max="7" width="18.6640625" style="304" hidden="1" customWidth="1"/>
    <col min="8" max="9" width="17.1640625" style="304" hidden="1" customWidth="1"/>
    <col min="10" max="10" width="0.33203125" style="304" hidden="1" customWidth="1"/>
    <col min="11" max="11" width="3.33203125" style="304" hidden="1" customWidth="1"/>
    <col min="12" max="12" width="21.83203125" style="304" hidden="1" customWidth="1"/>
    <col min="13" max="13" width="23.33203125" style="304" hidden="1" customWidth="1"/>
    <col min="14" max="14" width="0.33203125" style="273" customWidth="1"/>
    <col min="15" max="15" width="30.1640625" style="273" bestFit="1" customWidth="1"/>
    <col min="16" max="16" width="30.1640625" style="273" customWidth="1"/>
    <col min="17" max="17" width="28.1640625" style="273" bestFit="1" customWidth="1"/>
    <col min="18" max="18" width="18.6640625" style="304" customWidth="1"/>
    <col min="19" max="19" width="18.5" style="304" customWidth="1"/>
    <col min="20" max="20" width="15.83203125" style="304" customWidth="1"/>
    <col min="21" max="16384" width="9.33203125" style="304"/>
  </cols>
  <sheetData>
    <row r="1" spans="1:18" ht="27" customHeight="1">
      <c r="A1" s="382" t="s">
        <v>20</v>
      </c>
      <c r="B1" s="146" t="s">
        <v>800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99"/>
      <c r="O1" s="99"/>
      <c r="P1" s="99"/>
      <c r="Q1" s="99"/>
    </row>
    <row r="2" spans="1:18" ht="27" customHeight="1">
      <c r="A2" s="385" t="s">
        <v>6</v>
      </c>
      <c r="B2" s="461" t="s">
        <v>7</v>
      </c>
      <c r="C2" s="462" t="s">
        <v>7</v>
      </c>
      <c r="D2" s="462" t="s">
        <v>2</v>
      </c>
      <c r="E2" s="462" t="s">
        <v>24</v>
      </c>
      <c r="F2" s="462" t="s">
        <v>28</v>
      </c>
      <c r="G2" s="357" t="s">
        <v>33</v>
      </c>
      <c r="H2" s="357" t="s">
        <v>40</v>
      </c>
      <c r="I2" s="357" t="s">
        <v>64</v>
      </c>
      <c r="J2" s="357" t="s">
        <v>69</v>
      </c>
      <c r="K2" s="357" t="s">
        <v>78</v>
      </c>
      <c r="L2" s="357" t="s">
        <v>110</v>
      </c>
      <c r="M2" s="357" t="s">
        <v>166</v>
      </c>
      <c r="N2" s="405" t="s">
        <v>538</v>
      </c>
      <c r="O2" s="405" t="s">
        <v>607</v>
      </c>
      <c r="P2" s="405" t="s">
        <v>722</v>
      </c>
      <c r="Q2" s="405" t="s">
        <v>34</v>
      </c>
    </row>
    <row r="3" spans="1:18" ht="27" customHeight="1">
      <c r="A3" s="385">
        <v>210</v>
      </c>
      <c r="B3" s="125" t="s">
        <v>95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9"/>
      <c r="O3" s="99"/>
      <c r="P3" s="99"/>
      <c r="Q3" s="99"/>
    </row>
    <row r="4" spans="1:18" ht="27" customHeight="1">
      <c r="A4" s="385">
        <v>2110</v>
      </c>
      <c r="B4" s="125" t="s">
        <v>155</v>
      </c>
      <c r="C4" s="99">
        <v>68778000</v>
      </c>
      <c r="D4" s="99">
        <v>118728000</v>
      </c>
      <c r="E4" s="99">
        <v>97620000</v>
      </c>
      <c r="F4" s="99">
        <v>100812000</v>
      </c>
      <c r="G4" s="99">
        <f>100812000+3192000</f>
        <v>104004000</v>
      </c>
      <c r="H4" s="99">
        <v>104004000</v>
      </c>
      <c r="I4" s="99">
        <v>136156800</v>
      </c>
      <c r="J4" s="99">
        <v>140306400</v>
      </c>
      <c r="K4" s="99">
        <v>140306400</v>
      </c>
      <c r="L4" s="99"/>
      <c r="M4" s="99"/>
      <c r="N4" s="99"/>
      <c r="O4" s="99"/>
      <c r="P4" s="99"/>
      <c r="Q4" s="99"/>
      <c r="R4" s="273"/>
    </row>
    <row r="5" spans="1:18" ht="27" customHeight="1">
      <c r="A5" s="386">
        <v>21101</v>
      </c>
      <c r="B5" s="99" t="s">
        <v>9</v>
      </c>
      <c r="C5" s="99">
        <v>4228000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140306400</v>
      </c>
      <c r="M5" s="99" t="e">
        <f>#REF!+36000000</f>
        <v>#REF!</v>
      </c>
      <c r="N5" s="99">
        <v>282235200</v>
      </c>
      <c r="O5" s="99">
        <v>408695040</v>
      </c>
      <c r="P5" s="99">
        <v>437673600</v>
      </c>
      <c r="Q5" s="99">
        <f>P5-O5</f>
        <v>28978560</v>
      </c>
    </row>
    <row r="6" spans="1:18" ht="27" customHeight="1">
      <c r="A6" s="386">
        <v>21102</v>
      </c>
      <c r="B6" s="99" t="s">
        <v>10</v>
      </c>
      <c r="C6" s="99">
        <v>10800000</v>
      </c>
      <c r="D6" s="99">
        <v>10800000</v>
      </c>
      <c r="E6" s="99">
        <v>10800000</v>
      </c>
      <c r="F6" s="99">
        <v>21288000</v>
      </c>
      <c r="G6" s="99">
        <v>26088000</v>
      </c>
      <c r="H6" s="99">
        <v>26088000</v>
      </c>
      <c r="I6" s="99">
        <v>26088000</v>
      </c>
      <c r="J6" s="99">
        <v>26088000</v>
      </c>
      <c r="K6" s="99">
        <v>26088000</v>
      </c>
      <c r="L6" s="99">
        <v>0</v>
      </c>
      <c r="M6" s="99">
        <v>0</v>
      </c>
      <c r="N6" s="99">
        <v>54000000</v>
      </c>
      <c r="O6" s="99">
        <v>60000000</v>
      </c>
      <c r="P6" s="99">
        <v>60000000</v>
      </c>
      <c r="Q6" s="99">
        <f t="shared" ref="Q6:Q50" si="0">P6-O6</f>
        <v>0</v>
      </c>
    </row>
    <row r="7" spans="1:18" ht="27" customHeight="1">
      <c r="A7" s="386" t="s">
        <v>731</v>
      </c>
      <c r="B7" s="99" t="s">
        <v>818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>
        <v>0</v>
      </c>
      <c r="N7" s="99">
        <v>19234425600</v>
      </c>
      <c r="O7" s="99">
        <v>19425369600</v>
      </c>
      <c r="P7" s="99">
        <v>19425369600</v>
      </c>
      <c r="Q7" s="99">
        <f t="shared" si="0"/>
        <v>0</v>
      </c>
    </row>
    <row r="8" spans="1:18" ht="27" customHeight="1">
      <c r="A8" s="386" t="s">
        <v>732</v>
      </c>
      <c r="B8" s="99" t="s">
        <v>904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>
        <v>0</v>
      </c>
      <c r="N8" s="99">
        <v>4608115200</v>
      </c>
      <c r="O8" s="99">
        <v>4608115200</v>
      </c>
      <c r="P8" s="99">
        <v>4741776000</v>
      </c>
      <c r="Q8" s="99">
        <f t="shared" si="0"/>
        <v>133660800</v>
      </c>
    </row>
    <row r="9" spans="1:18" ht="27" customHeight="1">
      <c r="A9" s="386">
        <v>21103</v>
      </c>
      <c r="B9" s="99" t="s">
        <v>429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f>26088000+2400000</f>
        <v>28488000</v>
      </c>
      <c r="M9" s="99">
        <f>26088000+2400000</f>
        <v>28488000</v>
      </c>
      <c r="N9" s="99">
        <v>75600000</v>
      </c>
      <c r="O9" s="99">
        <v>144000000</v>
      </c>
      <c r="P9" s="99">
        <v>144000000</v>
      </c>
      <c r="Q9" s="99">
        <f t="shared" si="0"/>
        <v>0</v>
      </c>
    </row>
    <row r="10" spans="1:18" ht="27" customHeight="1">
      <c r="A10" s="386">
        <v>21105</v>
      </c>
      <c r="B10" s="99" t="s">
        <v>852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>
        <v>24000000</v>
      </c>
      <c r="N10" s="99">
        <v>24000000</v>
      </c>
      <c r="O10" s="99">
        <v>24000000</v>
      </c>
      <c r="P10" s="99">
        <v>98000000</v>
      </c>
      <c r="Q10" s="99">
        <f t="shared" si="0"/>
        <v>74000000</v>
      </c>
    </row>
    <row r="11" spans="1:18" ht="27" customHeight="1">
      <c r="A11" s="386"/>
      <c r="B11" s="125" t="s">
        <v>59</v>
      </c>
      <c r="C11" s="99">
        <v>4492260</v>
      </c>
      <c r="D11" s="99">
        <v>5300000</v>
      </c>
      <c r="E11" s="99">
        <v>5300000</v>
      </c>
      <c r="F11" s="99">
        <v>5300000</v>
      </c>
      <c r="G11" s="99">
        <v>12000000</v>
      </c>
      <c r="H11" s="99">
        <v>15000000</v>
      </c>
      <c r="I11" s="99">
        <v>11172000</v>
      </c>
      <c r="J11" s="99">
        <v>15000000</v>
      </c>
      <c r="K11" s="99">
        <v>8365594</v>
      </c>
      <c r="L11" s="125">
        <f>SUM(L5:L9)</f>
        <v>168794400</v>
      </c>
      <c r="M11" s="125" t="e">
        <f>M10+M9+M7+M6+M5</f>
        <v>#REF!</v>
      </c>
      <c r="N11" s="125">
        <f>SUM(N5:N10)</f>
        <v>24278376000</v>
      </c>
      <c r="O11" s="125">
        <f>SUM(O5:O10)</f>
        <v>24670179840</v>
      </c>
      <c r="P11" s="125">
        <f>SUM(P5:P10)</f>
        <v>24906819200</v>
      </c>
      <c r="Q11" s="125">
        <f t="shared" si="0"/>
        <v>236639360</v>
      </c>
    </row>
    <row r="12" spans="1:18" ht="27" customHeight="1">
      <c r="A12" s="385">
        <v>220</v>
      </c>
      <c r="B12" s="125" t="s">
        <v>159</v>
      </c>
      <c r="C12" s="99"/>
      <c r="D12" s="99"/>
      <c r="E12" s="99"/>
      <c r="F12" s="99"/>
      <c r="G12" s="99"/>
      <c r="H12" s="99"/>
      <c r="I12" s="99"/>
      <c r="J12" s="99"/>
      <c r="K12" s="99">
        <v>0</v>
      </c>
      <c r="L12" s="99"/>
      <c r="M12" s="99"/>
      <c r="N12" s="99"/>
      <c r="O12" s="99"/>
      <c r="P12" s="99"/>
      <c r="Q12" s="99">
        <f t="shared" si="0"/>
        <v>0</v>
      </c>
    </row>
    <row r="13" spans="1:18" ht="27" customHeight="1">
      <c r="A13" s="385">
        <v>2210</v>
      </c>
      <c r="B13" s="125" t="s">
        <v>160</v>
      </c>
      <c r="C13" s="99"/>
      <c r="D13" s="99">
        <v>0</v>
      </c>
      <c r="E13" s="99">
        <v>0</v>
      </c>
      <c r="F13" s="99">
        <v>2394000</v>
      </c>
      <c r="G13" s="99">
        <v>4000000</v>
      </c>
      <c r="H13" s="99">
        <v>5000000</v>
      </c>
      <c r="I13" s="99">
        <v>5213600</v>
      </c>
      <c r="J13" s="99">
        <v>6000000</v>
      </c>
      <c r="K13" s="99">
        <v>1117200</v>
      </c>
      <c r="L13" s="99"/>
      <c r="M13" s="99"/>
      <c r="N13" s="99"/>
      <c r="O13" s="99"/>
      <c r="P13" s="99"/>
      <c r="Q13" s="99">
        <f t="shared" si="0"/>
        <v>0</v>
      </c>
    </row>
    <row r="14" spans="1:18" ht="27" customHeight="1">
      <c r="A14" s="386">
        <v>22101</v>
      </c>
      <c r="B14" s="99" t="s">
        <v>14</v>
      </c>
      <c r="C14" s="99"/>
      <c r="D14" s="99"/>
      <c r="E14" s="99"/>
      <c r="F14" s="99"/>
      <c r="G14" s="99"/>
      <c r="H14" s="99"/>
      <c r="I14" s="99">
        <v>0</v>
      </c>
      <c r="J14" s="99">
        <v>6000000</v>
      </c>
      <c r="K14" s="99">
        <v>2979200</v>
      </c>
      <c r="L14" s="99">
        <v>11172000</v>
      </c>
      <c r="M14" s="99">
        <f>11172000*70%</f>
        <v>7820399.9999999991</v>
      </c>
      <c r="N14" s="99">
        <f>11172000*70%</f>
        <v>7820399.9999999991</v>
      </c>
      <c r="O14" s="99">
        <v>68920400</v>
      </c>
      <c r="P14" s="99">
        <v>68920400</v>
      </c>
      <c r="Q14" s="99">
        <f t="shared" si="0"/>
        <v>0</v>
      </c>
    </row>
    <row r="15" spans="1:18" s="306" customFormat="1" ht="27" customHeight="1">
      <c r="A15" s="386">
        <v>22102</v>
      </c>
      <c r="B15" s="99" t="s">
        <v>82</v>
      </c>
      <c r="C15" s="125">
        <f>SUM(C11:C11)</f>
        <v>4492260</v>
      </c>
      <c r="D15" s="125">
        <f>SUM(D11:D11)</f>
        <v>5300000</v>
      </c>
      <c r="E15" s="125">
        <f>SUM(E11:E13)</f>
        <v>5300000</v>
      </c>
      <c r="F15" s="125">
        <f>SUM(F11:F13)</f>
        <v>7694000</v>
      </c>
      <c r="G15" s="125">
        <f>SUM(G11:G13)</f>
        <v>16000000</v>
      </c>
      <c r="H15" s="125">
        <f>SUM(H11:H13)</f>
        <v>20000000</v>
      </c>
      <c r="I15" s="125">
        <f>SUM(I11:I14)</f>
        <v>16385600</v>
      </c>
      <c r="J15" s="125">
        <f>SUM(J11:J14)</f>
        <v>27000000</v>
      </c>
      <c r="K15" s="99">
        <v>11172000</v>
      </c>
      <c r="L15" s="99">
        <v>13705000</v>
      </c>
      <c r="M15" s="99">
        <f>13705000*70%</f>
        <v>9593500</v>
      </c>
      <c r="N15" s="99">
        <v>38100000</v>
      </c>
      <c r="O15" s="99"/>
      <c r="P15" s="99"/>
      <c r="Q15" s="99">
        <f t="shared" si="0"/>
        <v>0</v>
      </c>
    </row>
    <row r="16" spans="1:18" ht="27" customHeight="1">
      <c r="A16" s="386">
        <v>22103</v>
      </c>
      <c r="B16" s="99" t="s">
        <v>83</v>
      </c>
      <c r="C16" s="99"/>
      <c r="D16" s="99"/>
      <c r="E16" s="99"/>
      <c r="F16" s="99"/>
      <c r="G16" s="99"/>
      <c r="H16" s="99"/>
      <c r="I16" s="99"/>
      <c r="J16" s="99"/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f t="shared" si="0"/>
        <v>0</v>
      </c>
    </row>
    <row r="17" spans="1:17" ht="27" customHeight="1">
      <c r="A17" s="386">
        <v>22104</v>
      </c>
      <c r="B17" s="99" t="s">
        <v>116</v>
      </c>
      <c r="C17" s="99"/>
      <c r="D17" s="356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15000000</v>
      </c>
      <c r="M17" s="99">
        <v>10500000</v>
      </c>
      <c r="N17" s="99">
        <v>10500000</v>
      </c>
      <c r="O17" s="99">
        <v>10500000</v>
      </c>
      <c r="P17" s="99">
        <v>10500000</v>
      </c>
      <c r="Q17" s="99">
        <f t="shared" si="0"/>
        <v>0</v>
      </c>
    </row>
    <row r="18" spans="1:17" ht="27" customHeight="1">
      <c r="A18" s="386">
        <v>22105</v>
      </c>
      <c r="B18" s="99" t="s">
        <v>93</v>
      </c>
      <c r="C18" s="99"/>
      <c r="D18" s="356"/>
      <c r="E18" s="99"/>
      <c r="F18" s="99"/>
      <c r="G18" s="99"/>
      <c r="H18" s="99"/>
      <c r="I18" s="99"/>
      <c r="J18" s="99"/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f t="shared" si="0"/>
        <v>0</v>
      </c>
    </row>
    <row r="19" spans="1:17" ht="27" customHeight="1">
      <c r="A19" s="386">
        <v>22106</v>
      </c>
      <c r="B19" s="99" t="s">
        <v>84</v>
      </c>
      <c r="C19" s="99"/>
      <c r="D19" s="99"/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125">
        <f>SUM(K11:K18)</f>
        <v>23633994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99">
        <f t="shared" si="0"/>
        <v>0</v>
      </c>
    </row>
    <row r="20" spans="1:17" ht="27" customHeight="1">
      <c r="A20" s="386">
        <v>22107</v>
      </c>
      <c r="B20" s="99" t="s">
        <v>30</v>
      </c>
      <c r="C20" s="99"/>
      <c r="D20" s="99"/>
      <c r="E20" s="99">
        <v>0</v>
      </c>
      <c r="F20" s="99">
        <v>0</v>
      </c>
      <c r="G20" s="99">
        <v>0</v>
      </c>
      <c r="H20" s="99">
        <v>45500000</v>
      </c>
      <c r="I20" s="99">
        <v>0</v>
      </c>
      <c r="J20" s="99">
        <v>0</v>
      </c>
      <c r="K20" s="99"/>
      <c r="L20" s="99">
        <v>8205500</v>
      </c>
      <c r="M20" s="99">
        <v>5743850</v>
      </c>
      <c r="N20" s="99">
        <v>4020695</v>
      </c>
      <c r="O20" s="99">
        <f>N20</f>
        <v>4020695</v>
      </c>
      <c r="P20" s="99">
        <f>O20</f>
        <v>4020695</v>
      </c>
      <c r="Q20" s="99">
        <f t="shared" si="0"/>
        <v>0</v>
      </c>
    </row>
    <row r="21" spans="1:17" ht="27" customHeight="1">
      <c r="A21" s="386">
        <v>22109</v>
      </c>
      <c r="B21" s="99" t="s">
        <v>94</v>
      </c>
      <c r="C21" s="99">
        <v>2500000</v>
      </c>
      <c r="D21" s="99">
        <v>3274130</v>
      </c>
      <c r="E21" s="99">
        <v>3274130</v>
      </c>
      <c r="F21" s="99">
        <v>3274130</v>
      </c>
      <c r="G21" s="99">
        <v>2400000</v>
      </c>
      <c r="H21" s="99">
        <v>3000000</v>
      </c>
      <c r="I21" s="99">
        <v>2234400</v>
      </c>
      <c r="J21" s="99">
        <v>4000000</v>
      </c>
      <c r="K21" s="99">
        <v>84125000</v>
      </c>
      <c r="L21" s="99">
        <v>10468800</v>
      </c>
      <c r="M21" s="99">
        <f>10468800*70%</f>
        <v>7328160</v>
      </c>
      <c r="N21" s="99">
        <f>10468800*70%</f>
        <v>7328160</v>
      </c>
      <c r="O21" s="99">
        <f>10468800*70%</f>
        <v>7328160</v>
      </c>
      <c r="P21" s="99">
        <f>10468800*70%</f>
        <v>7328160</v>
      </c>
      <c r="Q21" s="99">
        <f t="shared" si="0"/>
        <v>0</v>
      </c>
    </row>
    <row r="22" spans="1:17" s="306" customFormat="1" ht="27" customHeight="1">
      <c r="A22" s="386">
        <v>22112</v>
      </c>
      <c r="B22" s="99" t="s">
        <v>16</v>
      </c>
      <c r="C22" s="125">
        <f>SUM(C21:C21)</f>
        <v>2500000</v>
      </c>
      <c r="D22" s="125">
        <f>SUM(D21:D21)</f>
        <v>3274130</v>
      </c>
      <c r="E22" s="125">
        <f t="shared" ref="E22:J22" si="1">SUM(E17:E21)</f>
        <v>3274130</v>
      </c>
      <c r="F22" s="125">
        <f t="shared" si="1"/>
        <v>3274130</v>
      </c>
      <c r="G22" s="125">
        <f t="shared" si="1"/>
        <v>2400000</v>
      </c>
      <c r="H22" s="125">
        <f t="shared" si="1"/>
        <v>48500000</v>
      </c>
      <c r="I22" s="125">
        <f t="shared" si="1"/>
        <v>2234400</v>
      </c>
      <c r="J22" s="125">
        <f t="shared" si="1"/>
        <v>4000000</v>
      </c>
      <c r="K22" s="99">
        <v>11172000</v>
      </c>
      <c r="L22" s="99">
        <v>28758400</v>
      </c>
      <c r="M22" s="99">
        <f>20130880*70%</f>
        <v>14091616</v>
      </c>
      <c r="N22" s="99">
        <f>20130880*70%</f>
        <v>14091616</v>
      </c>
      <c r="O22" s="99">
        <f>20130880*70%</f>
        <v>14091616</v>
      </c>
      <c r="P22" s="99">
        <f>20130880*70%</f>
        <v>14091616</v>
      </c>
      <c r="Q22" s="99">
        <f t="shared" si="0"/>
        <v>0</v>
      </c>
    </row>
    <row r="23" spans="1:17" ht="27" customHeight="1">
      <c r="A23" s="386">
        <v>22129</v>
      </c>
      <c r="B23" s="99" t="s">
        <v>101</v>
      </c>
      <c r="C23" s="99">
        <v>900000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/>
      <c r="L23" s="99">
        <v>3000000</v>
      </c>
      <c r="M23" s="99">
        <f>3000000*70%</f>
        <v>2100000</v>
      </c>
      <c r="N23" s="99">
        <v>0</v>
      </c>
      <c r="O23" s="99">
        <v>0</v>
      </c>
      <c r="P23" s="99">
        <v>0</v>
      </c>
      <c r="Q23" s="99">
        <f t="shared" si="0"/>
        <v>0</v>
      </c>
    </row>
    <row r="24" spans="1:17" ht="27" customHeight="1">
      <c r="A24" s="386">
        <v>22137</v>
      </c>
      <c r="B24" s="99" t="s">
        <v>180</v>
      </c>
      <c r="C24" s="99"/>
      <c r="D24" s="99"/>
      <c r="E24" s="99"/>
      <c r="F24" s="99"/>
      <c r="G24" s="99"/>
      <c r="H24" s="99"/>
      <c r="I24" s="99"/>
      <c r="J24" s="99"/>
      <c r="K24" s="99">
        <v>0</v>
      </c>
      <c r="L24" s="99">
        <v>18000000</v>
      </c>
      <c r="M24" s="99">
        <f>18000000*70%</f>
        <v>12600000</v>
      </c>
      <c r="N24" s="99">
        <v>30600000</v>
      </c>
      <c r="O24" s="99">
        <v>30600000</v>
      </c>
      <c r="P24" s="99">
        <v>30600000</v>
      </c>
      <c r="Q24" s="99">
        <f t="shared" si="0"/>
        <v>0</v>
      </c>
    </row>
    <row r="25" spans="1:17" ht="27" customHeight="1">
      <c r="A25" s="386">
        <v>22138</v>
      </c>
      <c r="B25" s="99" t="s">
        <v>869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>
        <v>0</v>
      </c>
      <c r="P25" s="99">
        <v>50000000</v>
      </c>
      <c r="Q25" s="99">
        <f t="shared" si="0"/>
        <v>50000000</v>
      </c>
    </row>
    <row r="26" spans="1:17" ht="27" customHeight="1">
      <c r="A26" s="386">
        <v>22141</v>
      </c>
      <c r="B26" s="99" t="s">
        <v>381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>
        <v>0</v>
      </c>
      <c r="N26" s="99">
        <v>3957844800</v>
      </c>
      <c r="O26" s="99">
        <v>0</v>
      </c>
      <c r="P26" s="99">
        <v>0</v>
      </c>
      <c r="Q26" s="99">
        <f t="shared" si="0"/>
        <v>0</v>
      </c>
    </row>
    <row r="27" spans="1:17" ht="27" customHeight="1">
      <c r="A27" s="386"/>
      <c r="B27" s="125" t="s">
        <v>59</v>
      </c>
      <c r="C27" s="99">
        <v>3563000</v>
      </c>
      <c r="D27" s="99">
        <v>0</v>
      </c>
      <c r="E27" s="99">
        <v>3600000</v>
      </c>
      <c r="F27" s="99">
        <v>3600000</v>
      </c>
      <c r="G27" s="99">
        <v>4000000</v>
      </c>
      <c r="H27" s="99">
        <v>10000000</v>
      </c>
      <c r="I27" s="99">
        <v>11172000</v>
      </c>
      <c r="J27" s="99">
        <v>15000000</v>
      </c>
      <c r="K27" s="99">
        <v>1489600</v>
      </c>
      <c r="L27" s="125">
        <f>SUM(L14:L24)</f>
        <v>108309700</v>
      </c>
      <c r="M27" s="125">
        <f>SUM(M14:M24)</f>
        <v>69777526</v>
      </c>
      <c r="N27" s="125">
        <f>SUM(N14:N26)</f>
        <v>4070305671</v>
      </c>
      <c r="O27" s="125">
        <f>SUM(O14:O26)</f>
        <v>135460871</v>
      </c>
      <c r="P27" s="125">
        <f>SUM(P14:P26)</f>
        <v>185460871</v>
      </c>
      <c r="Q27" s="125">
        <f t="shared" si="0"/>
        <v>50000000</v>
      </c>
    </row>
    <row r="28" spans="1:17" ht="27" customHeight="1">
      <c r="A28" s="385">
        <v>2220</v>
      </c>
      <c r="B28" s="125" t="s">
        <v>161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2234400</v>
      </c>
      <c r="L28" s="99"/>
      <c r="M28" s="99"/>
      <c r="N28" s="99"/>
      <c r="O28" s="99"/>
      <c r="P28" s="99"/>
      <c r="Q28" s="99">
        <f t="shared" si="0"/>
        <v>0</v>
      </c>
    </row>
    <row r="29" spans="1:17" ht="27" customHeight="1">
      <c r="A29" s="386">
        <v>22201</v>
      </c>
      <c r="B29" s="99" t="s">
        <v>90</v>
      </c>
      <c r="C29" s="99">
        <v>2500000</v>
      </c>
      <c r="D29" s="99">
        <v>6400000</v>
      </c>
      <c r="E29" s="99">
        <v>6400000</v>
      </c>
      <c r="F29" s="99">
        <v>6400000</v>
      </c>
      <c r="G29" s="99">
        <v>8985600</v>
      </c>
      <c r="H29" s="99">
        <v>11232000</v>
      </c>
      <c r="I29" s="99">
        <v>8365594</v>
      </c>
      <c r="J29" s="99">
        <v>10000000</v>
      </c>
      <c r="K29" s="125">
        <f>SUM(K24:K28)</f>
        <v>3724000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99">
        <f t="shared" si="0"/>
        <v>0</v>
      </c>
    </row>
    <row r="30" spans="1:17" ht="27" customHeight="1">
      <c r="A30" s="386">
        <v>22202</v>
      </c>
      <c r="B30" s="99" t="s">
        <v>91</v>
      </c>
      <c r="C30" s="99">
        <v>9750000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/>
      <c r="L30" s="99">
        <v>147218750</v>
      </c>
      <c r="M30" s="99">
        <v>103053125</v>
      </c>
      <c r="N30" s="99">
        <f>M30</f>
        <v>103053125</v>
      </c>
      <c r="O30" s="99">
        <v>133053125</v>
      </c>
      <c r="P30" s="99">
        <v>133053125</v>
      </c>
      <c r="Q30" s="99">
        <f t="shared" si="0"/>
        <v>0</v>
      </c>
    </row>
    <row r="31" spans="1:17" ht="27" customHeight="1">
      <c r="A31" s="386">
        <v>22203</v>
      </c>
      <c r="B31" s="99" t="s">
        <v>380</v>
      </c>
      <c r="C31" s="99">
        <v>1082500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11916800</v>
      </c>
      <c r="L31" s="99">
        <v>16758000</v>
      </c>
      <c r="M31" s="99">
        <v>11730600</v>
      </c>
      <c r="N31" s="99">
        <v>13703660</v>
      </c>
      <c r="O31" s="99">
        <v>13703660</v>
      </c>
      <c r="P31" s="99">
        <v>13703660</v>
      </c>
      <c r="Q31" s="99">
        <f t="shared" si="0"/>
        <v>0</v>
      </c>
    </row>
    <row r="32" spans="1:17" ht="27" customHeight="1">
      <c r="A32" s="386">
        <v>22204</v>
      </c>
      <c r="B32" s="99" t="s">
        <v>86</v>
      </c>
      <c r="C32" s="99"/>
      <c r="D32" s="99"/>
      <c r="E32" s="99"/>
      <c r="F32" s="99">
        <v>0</v>
      </c>
      <c r="G32" s="99">
        <v>1200000</v>
      </c>
      <c r="H32" s="99">
        <v>1500000</v>
      </c>
      <c r="I32" s="99">
        <v>1117200</v>
      </c>
      <c r="J32" s="99">
        <v>2000000</v>
      </c>
      <c r="K32" s="99">
        <v>0</v>
      </c>
      <c r="L32" s="99">
        <v>7820600</v>
      </c>
      <c r="M32" s="99">
        <f>7820600*70%</f>
        <v>5474420</v>
      </c>
      <c r="N32" s="99">
        <f>7820600*70%</f>
        <v>5474420</v>
      </c>
      <c r="O32" s="99">
        <f>7820600*70%</f>
        <v>5474420</v>
      </c>
      <c r="P32" s="99">
        <f>7820600*70%</f>
        <v>5474420</v>
      </c>
      <c r="Q32" s="99">
        <f t="shared" si="0"/>
        <v>0</v>
      </c>
    </row>
    <row r="33" spans="1:17" ht="27" customHeight="1">
      <c r="A33" s="386">
        <v>22208</v>
      </c>
      <c r="B33" s="99" t="s">
        <v>868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>
        <v>0</v>
      </c>
      <c r="N33" s="99">
        <v>4569687080</v>
      </c>
      <c r="O33" s="99">
        <v>4626063000</v>
      </c>
      <c r="P33" s="99">
        <v>5493600000</v>
      </c>
      <c r="Q33" s="99">
        <f t="shared" si="0"/>
        <v>867537000</v>
      </c>
    </row>
    <row r="34" spans="1:17" ht="27" customHeight="1">
      <c r="A34" s="386" t="s">
        <v>728</v>
      </c>
      <c r="B34" s="99" t="s">
        <v>905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>
        <v>0</v>
      </c>
      <c r="N34" s="99">
        <v>1080389400</v>
      </c>
      <c r="O34" s="99">
        <v>1097946000</v>
      </c>
      <c r="P34" s="99">
        <v>1341000000</v>
      </c>
      <c r="Q34" s="99">
        <f t="shared" si="0"/>
        <v>243054000</v>
      </c>
    </row>
    <row r="35" spans="1:17" ht="27" customHeight="1">
      <c r="A35" s="386">
        <v>22209</v>
      </c>
      <c r="B35" s="99" t="s">
        <v>259</v>
      </c>
      <c r="C35" s="99"/>
      <c r="D35" s="99"/>
      <c r="E35" s="99"/>
      <c r="F35" s="99"/>
      <c r="G35" s="99"/>
      <c r="H35" s="99"/>
      <c r="I35" s="99"/>
      <c r="J35" s="99"/>
      <c r="K35" s="99"/>
      <c r="L35" s="99">
        <v>9000000</v>
      </c>
      <c r="M35" s="99">
        <f>9000000*70%</f>
        <v>6300000</v>
      </c>
      <c r="N35" s="99">
        <v>0</v>
      </c>
      <c r="O35" s="99">
        <v>0</v>
      </c>
      <c r="P35" s="99">
        <v>0</v>
      </c>
      <c r="Q35" s="99">
        <f t="shared" si="0"/>
        <v>0</v>
      </c>
    </row>
    <row r="36" spans="1:17" ht="27" customHeight="1">
      <c r="A36" s="386"/>
      <c r="B36" s="125" t="s">
        <v>59</v>
      </c>
      <c r="C36" s="99"/>
      <c r="D36" s="99"/>
      <c r="E36" s="99">
        <v>0</v>
      </c>
      <c r="F36" s="99">
        <v>14632818</v>
      </c>
      <c r="G36" s="99">
        <v>0</v>
      </c>
      <c r="H36" s="99">
        <v>0</v>
      </c>
      <c r="I36" s="99">
        <v>0</v>
      </c>
      <c r="J36" s="99">
        <v>8000000</v>
      </c>
      <c r="K36" s="125" t="e">
        <f>K35+K29+#REF!+K19+#REF!</f>
        <v>#REF!</v>
      </c>
      <c r="L36" s="125">
        <f>SUM(L29:L35)</f>
        <v>180797350</v>
      </c>
      <c r="M36" s="125">
        <f>SUM(M29:M35)</f>
        <v>126558145</v>
      </c>
      <c r="N36" s="125">
        <f>SUM(N29:N35)</f>
        <v>5772307685</v>
      </c>
      <c r="O36" s="125">
        <f>SUM(O29:O35)</f>
        <v>5876240205</v>
      </c>
      <c r="P36" s="125">
        <f>SUM(P29:P35)</f>
        <v>6986831205</v>
      </c>
      <c r="Q36" s="99">
        <f t="shared" si="0"/>
        <v>1110591000</v>
      </c>
    </row>
    <row r="37" spans="1:17" ht="27" customHeight="1">
      <c r="A37" s="385">
        <v>2230</v>
      </c>
      <c r="B37" s="125" t="s">
        <v>88</v>
      </c>
      <c r="C37" s="356"/>
      <c r="D37" s="356"/>
      <c r="E37" s="356"/>
      <c r="F37" s="356"/>
      <c r="G37" s="356"/>
      <c r="H37" s="356"/>
      <c r="I37" s="356"/>
      <c r="J37" s="356"/>
      <c r="K37" s="356"/>
      <c r="L37" s="408"/>
      <c r="M37" s="408"/>
      <c r="N37" s="99"/>
      <c r="O37" s="99"/>
      <c r="P37" s="99"/>
      <c r="Q37" s="99">
        <f t="shared" si="0"/>
        <v>0</v>
      </c>
    </row>
    <row r="38" spans="1:17" ht="27" customHeight="1">
      <c r="A38" s="386">
        <v>22301</v>
      </c>
      <c r="B38" s="99" t="s">
        <v>31</v>
      </c>
      <c r="C38" s="356"/>
      <c r="D38" s="356"/>
      <c r="E38" s="356"/>
      <c r="F38" s="356"/>
      <c r="G38" s="356"/>
      <c r="H38" s="356"/>
      <c r="I38" s="356"/>
      <c r="J38" s="356"/>
      <c r="K38" s="356"/>
      <c r="L38" s="408">
        <v>58575000</v>
      </c>
      <c r="M38" s="408">
        <v>41002500</v>
      </c>
      <c r="N38" s="99">
        <v>41002500</v>
      </c>
      <c r="O38" s="99">
        <v>41002500</v>
      </c>
      <c r="P38" s="99">
        <v>41002500</v>
      </c>
      <c r="Q38" s="99">
        <f t="shared" si="0"/>
        <v>0</v>
      </c>
    </row>
    <row r="39" spans="1:17" ht="27" customHeight="1">
      <c r="A39" s="386">
        <v>22302</v>
      </c>
      <c r="B39" s="99" t="s">
        <v>162</v>
      </c>
      <c r="C39" s="356"/>
      <c r="D39" s="356"/>
      <c r="E39" s="356"/>
      <c r="F39" s="356"/>
      <c r="G39" s="356"/>
      <c r="H39" s="356"/>
      <c r="I39" s="356"/>
      <c r="J39" s="356"/>
      <c r="K39" s="356"/>
      <c r="L39" s="408">
        <v>0</v>
      </c>
      <c r="M39" s="408">
        <v>0</v>
      </c>
      <c r="N39" s="99">
        <v>0</v>
      </c>
      <c r="O39" s="99">
        <v>0</v>
      </c>
      <c r="P39" s="99">
        <v>0</v>
      </c>
      <c r="Q39" s="99">
        <f t="shared" si="0"/>
        <v>0</v>
      </c>
    </row>
    <row r="40" spans="1:17" ht="27" customHeight="1">
      <c r="A40" s="386">
        <v>22306</v>
      </c>
      <c r="B40" s="99" t="s">
        <v>183</v>
      </c>
      <c r="C40" s="356"/>
      <c r="D40" s="356"/>
      <c r="E40" s="356"/>
      <c r="F40" s="356">
        <v>0</v>
      </c>
      <c r="G40" s="356"/>
      <c r="H40" s="356"/>
      <c r="I40" s="356"/>
      <c r="J40" s="356"/>
      <c r="K40" s="356"/>
      <c r="L40" s="408">
        <v>0</v>
      </c>
      <c r="M40" s="408">
        <v>0</v>
      </c>
      <c r="N40" s="99">
        <v>0</v>
      </c>
      <c r="O40" s="99">
        <v>0</v>
      </c>
      <c r="P40" s="99">
        <v>0</v>
      </c>
      <c r="Q40" s="99">
        <f t="shared" si="0"/>
        <v>0</v>
      </c>
    </row>
    <row r="41" spans="1:17" ht="27" customHeight="1">
      <c r="A41" s="386">
        <v>22314</v>
      </c>
      <c r="B41" s="99" t="s">
        <v>163</v>
      </c>
      <c r="C41" s="356"/>
      <c r="D41" s="356"/>
      <c r="E41" s="356"/>
      <c r="F41" s="356"/>
      <c r="G41" s="356"/>
      <c r="H41" s="356"/>
      <c r="I41" s="356"/>
      <c r="J41" s="356"/>
      <c r="K41" s="356"/>
      <c r="L41" s="408">
        <v>4575000</v>
      </c>
      <c r="M41" s="408">
        <f>4575000*70%</f>
        <v>3202500</v>
      </c>
      <c r="N41" s="99">
        <f>4575000*70%</f>
        <v>3202500</v>
      </c>
      <c r="O41" s="99">
        <f>4575000*70%</f>
        <v>3202500</v>
      </c>
      <c r="P41" s="99">
        <f>4575000*70%</f>
        <v>3202500</v>
      </c>
      <c r="Q41" s="99">
        <f t="shared" si="0"/>
        <v>0</v>
      </c>
    </row>
    <row r="42" spans="1:17" ht="27" customHeight="1">
      <c r="A42" s="386"/>
      <c r="B42" s="125" t="s">
        <v>59</v>
      </c>
      <c r="C42" s="356"/>
      <c r="D42" s="356"/>
      <c r="E42" s="356"/>
      <c r="F42" s="387">
        <f>SUM(F24:F41)</f>
        <v>24632818</v>
      </c>
      <c r="G42" s="387"/>
      <c r="H42" s="387"/>
      <c r="I42" s="387"/>
      <c r="J42" s="387"/>
      <c r="K42" s="387"/>
      <c r="L42" s="409">
        <f>SUM(L38:L41)</f>
        <v>63150000</v>
      </c>
      <c r="M42" s="409">
        <f>SUM(M38:M41)</f>
        <v>44205000</v>
      </c>
      <c r="N42" s="125">
        <f>SUM(N38:N41)</f>
        <v>44205000</v>
      </c>
      <c r="O42" s="125">
        <f>SUM(O38:O41)</f>
        <v>44205000</v>
      </c>
      <c r="P42" s="125">
        <f>SUM(P38:P41)</f>
        <v>44205000</v>
      </c>
      <c r="Q42" s="125">
        <f t="shared" si="0"/>
        <v>0</v>
      </c>
    </row>
    <row r="43" spans="1:17" ht="27" customHeight="1">
      <c r="A43" s="385">
        <v>230</v>
      </c>
      <c r="B43" s="125" t="s">
        <v>165</v>
      </c>
      <c r="C43" s="356"/>
      <c r="D43" s="356"/>
      <c r="E43" s="356"/>
      <c r="F43" s="356"/>
      <c r="G43" s="356"/>
      <c r="H43" s="356"/>
      <c r="I43" s="356"/>
      <c r="J43" s="356"/>
      <c r="K43" s="356"/>
      <c r="L43" s="408"/>
      <c r="M43" s="408"/>
      <c r="N43" s="99"/>
      <c r="O43" s="99"/>
      <c r="P43" s="99"/>
      <c r="Q43" s="99">
        <f t="shared" si="0"/>
        <v>0</v>
      </c>
    </row>
    <row r="44" spans="1:17" ht="27" customHeight="1">
      <c r="A44" s="385">
        <v>2310</v>
      </c>
      <c r="B44" s="125" t="s">
        <v>164</v>
      </c>
      <c r="C44" s="356"/>
      <c r="D44" s="356"/>
      <c r="E44" s="356"/>
      <c r="F44" s="356"/>
      <c r="G44" s="356"/>
      <c r="H44" s="356"/>
      <c r="I44" s="356"/>
      <c r="J44" s="356"/>
      <c r="K44" s="356"/>
      <c r="L44" s="408"/>
      <c r="M44" s="408"/>
      <c r="N44" s="99"/>
      <c r="O44" s="99"/>
      <c r="P44" s="99"/>
      <c r="Q44" s="99">
        <f t="shared" si="0"/>
        <v>0</v>
      </c>
    </row>
    <row r="45" spans="1:17" ht="27" customHeight="1">
      <c r="A45" s="386">
        <v>23101</v>
      </c>
      <c r="B45" s="99" t="s">
        <v>172</v>
      </c>
      <c r="C45" s="356"/>
      <c r="D45" s="356"/>
      <c r="E45" s="356"/>
      <c r="F45" s="356">
        <f>1386274192-71600000-798000-176160000-12600000</f>
        <v>1125116192</v>
      </c>
      <c r="G45" s="356"/>
      <c r="H45" s="356"/>
      <c r="I45" s="356"/>
      <c r="J45" s="356"/>
      <c r="K45" s="356"/>
      <c r="L45" s="408">
        <v>15120800</v>
      </c>
      <c r="M45" s="408"/>
      <c r="N45" s="99">
        <v>0</v>
      </c>
      <c r="O45" s="99">
        <v>20000000</v>
      </c>
      <c r="P45" s="99">
        <v>10000000</v>
      </c>
      <c r="Q45" s="99">
        <f t="shared" si="0"/>
        <v>-10000000</v>
      </c>
    </row>
    <row r="46" spans="1:17" ht="27" customHeight="1">
      <c r="A46" s="386">
        <v>23102</v>
      </c>
      <c r="B46" s="99" t="s">
        <v>456</v>
      </c>
      <c r="C46" s="356"/>
      <c r="D46" s="356"/>
      <c r="E46" s="356"/>
      <c r="F46" s="356"/>
      <c r="G46" s="356"/>
      <c r="H46" s="356"/>
      <c r="I46" s="356"/>
      <c r="J46" s="356"/>
      <c r="K46" s="356"/>
      <c r="L46" s="408">
        <v>0</v>
      </c>
      <c r="M46" s="408">
        <v>54000000</v>
      </c>
      <c r="N46" s="99">
        <v>78000000</v>
      </c>
      <c r="O46" s="99">
        <f>N46</f>
        <v>78000000</v>
      </c>
      <c r="P46" s="99">
        <v>0</v>
      </c>
      <c r="Q46" s="99">
        <f t="shared" si="0"/>
        <v>-78000000</v>
      </c>
    </row>
    <row r="47" spans="1:17" ht="27" customHeight="1">
      <c r="A47" s="386">
        <v>23103</v>
      </c>
      <c r="B47" s="99" t="s">
        <v>106</v>
      </c>
      <c r="C47" s="356"/>
      <c r="D47" s="356"/>
      <c r="E47" s="356"/>
      <c r="F47" s="356"/>
      <c r="G47" s="356"/>
      <c r="H47" s="356"/>
      <c r="I47" s="356"/>
      <c r="J47" s="356"/>
      <c r="K47" s="356"/>
      <c r="L47" s="408">
        <v>5958400</v>
      </c>
      <c r="M47" s="408">
        <f>5958400*70%</f>
        <v>4170879.9999999995</v>
      </c>
      <c r="N47" s="99">
        <v>0</v>
      </c>
      <c r="O47" s="99">
        <v>0</v>
      </c>
      <c r="P47" s="99">
        <v>0</v>
      </c>
      <c r="Q47" s="99">
        <f t="shared" si="0"/>
        <v>0</v>
      </c>
    </row>
    <row r="48" spans="1:17" ht="27" customHeight="1">
      <c r="A48" s="386">
        <v>23104</v>
      </c>
      <c r="B48" s="99" t="s">
        <v>107</v>
      </c>
      <c r="C48" s="356"/>
      <c r="D48" s="356"/>
      <c r="E48" s="356"/>
      <c r="F48" s="356"/>
      <c r="G48" s="356"/>
      <c r="H48" s="356"/>
      <c r="I48" s="356"/>
      <c r="J48" s="356"/>
      <c r="K48" s="356"/>
      <c r="L48" s="408">
        <v>47916000</v>
      </c>
      <c r="M48" s="408">
        <f>47916000*70%</f>
        <v>33541199.999999996</v>
      </c>
      <c r="N48" s="99">
        <v>0</v>
      </c>
      <c r="O48" s="99">
        <v>0</v>
      </c>
      <c r="P48" s="99">
        <v>0</v>
      </c>
      <c r="Q48" s="99">
        <f t="shared" si="0"/>
        <v>0</v>
      </c>
    </row>
    <row r="49" spans="1:17" ht="27" customHeight="1">
      <c r="A49" s="386"/>
      <c r="B49" s="125" t="s">
        <v>59</v>
      </c>
      <c r="C49" s="356"/>
      <c r="D49" s="356"/>
      <c r="E49" s="356"/>
      <c r="F49" s="356"/>
      <c r="G49" s="356"/>
      <c r="H49" s="356"/>
      <c r="I49" s="356"/>
      <c r="J49" s="356"/>
      <c r="K49" s="356"/>
      <c r="L49" s="409">
        <f>SUM(L45:L48)</f>
        <v>68995200</v>
      </c>
      <c r="M49" s="409">
        <f>SUM(M45:M48)</f>
        <v>91712080</v>
      </c>
      <c r="N49" s="125">
        <f>SUM(N45:N48)</f>
        <v>78000000</v>
      </c>
      <c r="O49" s="125">
        <f>SUM(O45:O48)</f>
        <v>98000000</v>
      </c>
      <c r="P49" s="125">
        <f>SUM(P45:P48)</f>
        <v>10000000</v>
      </c>
      <c r="Q49" s="125">
        <f t="shared" si="0"/>
        <v>-88000000</v>
      </c>
    </row>
    <row r="50" spans="1:17" ht="27" customHeight="1">
      <c r="A50" s="386"/>
      <c r="B50" s="125" t="s">
        <v>18</v>
      </c>
      <c r="C50" s="356"/>
      <c r="D50" s="356"/>
      <c r="E50" s="356"/>
      <c r="F50" s="356"/>
      <c r="G50" s="356"/>
      <c r="H50" s="356"/>
      <c r="I50" s="356"/>
      <c r="J50" s="356"/>
      <c r="K50" s="356"/>
      <c r="L50" s="409">
        <f>L49+L42+L36+L27+L11</f>
        <v>590046650</v>
      </c>
      <c r="M50" s="409" t="e">
        <f>M49+M42+M36+M27+M11</f>
        <v>#REF!</v>
      </c>
      <c r="N50" s="125">
        <f>N49+N42+N36+N27+N11</f>
        <v>34243194356</v>
      </c>
      <c r="O50" s="125">
        <f>O49+O42+O36+O27+O11</f>
        <v>30824085916</v>
      </c>
      <c r="P50" s="125">
        <f>P49+P42+P36+P27+P11</f>
        <v>32133316276</v>
      </c>
      <c r="Q50" s="125">
        <f t="shared" si="0"/>
        <v>1309230360</v>
      </c>
    </row>
    <row r="51" spans="1:17">
      <c r="Q51" s="273">
        <f>N51-O51</f>
        <v>0</v>
      </c>
    </row>
  </sheetData>
  <phoneticPr fontId="0" type="noConversion"/>
  <printOptions gridLines="1"/>
  <pageMargins left="0.41" right="0.28000000000000003" top="0.91" bottom="0.62" header="0.33" footer="0.17"/>
  <pageSetup scale="50" orientation="portrait" r:id="rId1"/>
  <headerFooter alignWithMargins="0">
    <oddHeader>&amp;C&amp;"Algerian,Bold"&amp;28HAY'ADDA ABAABUL-KASAARKA QARANKA (NDRC)</oddHeader>
    <oddFooter>&amp;R&amp;"Times New Roman,Bold"&amp;14 45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34" zoomScale="60" workbookViewId="0">
      <selection sqref="A1:XFD1048576"/>
    </sheetView>
  </sheetViews>
  <sheetFormatPr defaultRowHeight="12.75"/>
  <cols>
    <col min="1" max="1" width="16.33203125" style="376" customWidth="1"/>
    <col min="2" max="2" width="78.33203125" style="181" customWidth="1"/>
    <col min="3" max="11" width="9.33203125" style="181" hidden="1" customWidth="1"/>
    <col min="12" max="12" width="17.6640625" style="181" hidden="1" customWidth="1"/>
    <col min="13" max="14" width="24.5" style="181" hidden="1" customWidth="1"/>
    <col min="15" max="15" width="27.6640625" style="181" bestFit="1" customWidth="1"/>
    <col min="16" max="16" width="27.6640625" style="181" customWidth="1"/>
    <col min="17" max="17" width="24.5" style="181" customWidth="1"/>
    <col min="18" max="18" width="18.33203125" style="181" customWidth="1"/>
    <col min="19" max="16384" width="9.33203125" style="181"/>
  </cols>
  <sheetData>
    <row r="1" spans="1:18" ht="24" customHeight="1">
      <c r="A1" s="353" t="s">
        <v>20</v>
      </c>
      <c r="B1" s="354" t="s">
        <v>801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251"/>
      <c r="O1" s="251"/>
      <c r="P1" s="251"/>
      <c r="Q1" s="251"/>
      <c r="R1" s="463"/>
    </row>
    <row r="2" spans="1:18" ht="24" customHeight="1">
      <c r="A2" s="353" t="s">
        <v>6</v>
      </c>
      <c r="B2" s="354" t="s">
        <v>1</v>
      </c>
      <c r="C2" s="256" t="s">
        <v>7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42</v>
      </c>
      <c r="I2" s="256" t="s">
        <v>64</v>
      </c>
      <c r="J2" s="256" t="s">
        <v>69</v>
      </c>
      <c r="K2" s="256" t="s">
        <v>78</v>
      </c>
      <c r="L2" s="256" t="s">
        <v>110</v>
      </c>
      <c r="M2" s="256" t="s">
        <v>166</v>
      </c>
      <c r="N2" s="256" t="s">
        <v>538</v>
      </c>
      <c r="O2" s="256" t="s">
        <v>607</v>
      </c>
      <c r="P2" s="256" t="s">
        <v>722</v>
      </c>
      <c r="Q2" s="256" t="s">
        <v>34</v>
      </c>
      <c r="R2" s="464"/>
    </row>
    <row r="3" spans="1:18" ht="24" customHeight="1">
      <c r="A3" s="430">
        <v>210</v>
      </c>
      <c r="B3" s="354" t="s">
        <v>260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464"/>
    </row>
    <row r="4" spans="1:18" ht="24" customHeight="1">
      <c r="A4" s="430">
        <v>2110</v>
      </c>
      <c r="B4" s="251" t="s">
        <v>8</v>
      </c>
      <c r="C4" s="251"/>
      <c r="D4" s="251"/>
      <c r="E4" s="251"/>
      <c r="F4" s="251" t="s">
        <v>4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463"/>
    </row>
    <row r="5" spans="1:18" ht="24" customHeight="1">
      <c r="A5" s="169">
        <v>21101</v>
      </c>
      <c r="B5" s="66" t="s">
        <v>9</v>
      </c>
      <c r="C5" s="66">
        <v>180000</v>
      </c>
      <c r="D5" s="66">
        <v>21588000</v>
      </c>
      <c r="E5" s="66">
        <v>21588000</v>
      </c>
      <c r="F5" s="66">
        <v>14196000</v>
      </c>
      <c r="G5" s="66">
        <v>17388000</v>
      </c>
      <c r="H5" s="66">
        <f>G5+3912000</f>
        <v>21300000</v>
      </c>
      <c r="I5" s="66">
        <f>25802400+3198000</f>
        <v>29000400</v>
      </c>
      <c r="J5" s="66">
        <f>25802400+27000000+3000000</f>
        <v>55802400</v>
      </c>
      <c r="K5" s="66">
        <f>55802400+6000000</f>
        <v>61802400</v>
      </c>
      <c r="L5" s="66">
        <f>55802400+6000000</f>
        <v>61802400</v>
      </c>
      <c r="M5" s="66" t="e">
        <f>#REF!-74131200-108000000</f>
        <v>#REF!</v>
      </c>
      <c r="N5" s="66">
        <v>141211200</v>
      </c>
      <c r="O5" s="66">
        <v>368858880</v>
      </c>
      <c r="P5" s="66">
        <v>424756800</v>
      </c>
      <c r="Q5" s="66">
        <f>P5-O5</f>
        <v>55897920</v>
      </c>
      <c r="R5" s="465"/>
    </row>
    <row r="6" spans="1:18" ht="24" customHeight="1">
      <c r="A6" s="169">
        <v>21102</v>
      </c>
      <c r="B6" s="66" t="s">
        <v>10</v>
      </c>
      <c r="C6" s="66">
        <v>3219320</v>
      </c>
      <c r="D6" s="66">
        <v>0</v>
      </c>
      <c r="E6" s="66">
        <v>0</v>
      </c>
      <c r="F6" s="66">
        <v>0</v>
      </c>
      <c r="G6" s="66">
        <f>F6</f>
        <v>0</v>
      </c>
      <c r="H6" s="66">
        <f>G6</f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97200000</v>
      </c>
      <c r="O6" s="66">
        <v>97200000</v>
      </c>
      <c r="P6" s="66">
        <v>97200000</v>
      </c>
      <c r="Q6" s="66">
        <f t="shared" ref="Q6:Q45" si="0">P6-O6</f>
        <v>0</v>
      </c>
      <c r="R6" s="465"/>
    </row>
    <row r="7" spans="1:18" ht="24" customHeight="1">
      <c r="A7" s="169">
        <v>21103</v>
      </c>
      <c r="B7" s="66" t="s">
        <v>340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>
        <v>32400000</v>
      </c>
      <c r="N7" s="66">
        <v>43200000</v>
      </c>
      <c r="O7" s="66">
        <v>252000000</v>
      </c>
      <c r="P7" s="66">
        <v>270000000</v>
      </c>
      <c r="Q7" s="66">
        <f t="shared" si="0"/>
        <v>18000000</v>
      </c>
      <c r="R7" s="465"/>
    </row>
    <row r="8" spans="1:18" ht="24" customHeight="1">
      <c r="A8" s="169">
        <v>21105</v>
      </c>
      <c r="B8" s="66" t="s">
        <v>338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>
        <v>24000000</v>
      </c>
      <c r="N8" s="66">
        <f>M8</f>
        <v>24000000</v>
      </c>
      <c r="O8" s="66">
        <v>48000000</v>
      </c>
      <c r="P8" s="66">
        <v>91584000</v>
      </c>
      <c r="Q8" s="66">
        <f t="shared" si="0"/>
        <v>43584000</v>
      </c>
      <c r="R8" s="465"/>
    </row>
    <row r="9" spans="1:18" ht="24" customHeight="1">
      <c r="A9" s="169"/>
      <c r="B9" s="106" t="s">
        <v>5</v>
      </c>
      <c r="C9" s="66"/>
      <c r="D9" s="66"/>
      <c r="E9" s="66"/>
      <c r="F9" s="66"/>
      <c r="G9" s="66"/>
      <c r="H9" s="66"/>
      <c r="I9" s="66"/>
      <c r="J9" s="66"/>
      <c r="K9" s="106">
        <f>SUM(K5:K6)</f>
        <v>61802400</v>
      </c>
      <c r="L9" s="106">
        <f>SUM(L5:L6)</f>
        <v>61802400</v>
      </c>
      <c r="M9" s="106" t="e">
        <f>M8+M7+M6+M5</f>
        <v>#REF!</v>
      </c>
      <c r="N9" s="106">
        <f>SUM(N5:N8)</f>
        <v>305611200</v>
      </c>
      <c r="O9" s="106">
        <f>SUM(O5:O8)</f>
        <v>766058880</v>
      </c>
      <c r="P9" s="106">
        <f>SUM(P5:P8)</f>
        <v>883540800</v>
      </c>
      <c r="Q9" s="106">
        <f t="shared" si="0"/>
        <v>117481920</v>
      </c>
      <c r="R9" s="466"/>
    </row>
    <row r="10" spans="1:18" ht="24" customHeight="1">
      <c r="A10" s="249">
        <v>220</v>
      </c>
      <c r="B10" s="106" t="s">
        <v>119</v>
      </c>
      <c r="C10" s="66">
        <v>0</v>
      </c>
      <c r="D10" s="66">
        <v>0</v>
      </c>
      <c r="E10" s="66">
        <v>0</v>
      </c>
      <c r="F10" s="66">
        <v>0</v>
      </c>
      <c r="G10" s="118"/>
      <c r="H10" s="442" t="s">
        <v>65</v>
      </c>
      <c r="I10" s="442"/>
      <c r="J10" s="442"/>
      <c r="K10" s="442"/>
      <c r="L10" s="442"/>
      <c r="M10" s="442"/>
      <c r="N10" s="442"/>
      <c r="O10" s="442"/>
      <c r="P10" s="442"/>
      <c r="Q10" s="66">
        <f t="shared" si="0"/>
        <v>0</v>
      </c>
      <c r="R10" s="465"/>
    </row>
    <row r="11" spans="1:18" ht="24" customHeight="1">
      <c r="A11" s="249">
        <v>2210</v>
      </c>
      <c r="B11" s="106" t="s">
        <v>261</v>
      </c>
      <c r="C11" s="66"/>
      <c r="D11" s="66"/>
      <c r="E11" s="66"/>
      <c r="F11" s="66"/>
      <c r="G11" s="118"/>
      <c r="H11" s="442"/>
      <c r="I11" s="442"/>
      <c r="J11" s="442"/>
      <c r="K11" s="442"/>
      <c r="L11" s="442"/>
      <c r="M11" s="442"/>
      <c r="N11" s="442"/>
      <c r="O11" s="442"/>
      <c r="P11" s="442"/>
      <c r="Q11" s="66">
        <f t="shared" si="0"/>
        <v>0</v>
      </c>
      <c r="R11" s="465"/>
    </row>
    <row r="12" spans="1:18" ht="24" customHeight="1">
      <c r="A12" s="169">
        <v>22101</v>
      </c>
      <c r="B12" s="66" t="s">
        <v>118</v>
      </c>
      <c r="C12" s="66">
        <v>6300000</v>
      </c>
      <c r="D12" s="66">
        <v>9000000</v>
      </c>
      <c r="E12" s="66">
        <f>9000000+2000000</f>
        <v>11000000</v>
      </c>
      <c r="F12" s="66">
        <f>9000000+2000000</f>
        <v>11000000</v>
      </c>
      <c r="G12" s="66">
        <v>21600000</v>
      </c>
      <c r="H12" s="66">
        <v>27000000</v>
      </c>
      <c r="I12" s="66">
        <v>27000000</v>
      </c>
      <c r="J12" s="66">
        <v>59942000</v>
      </c>
      <c r="K12" s="66">
        <v>7448000</v>
      </c>
      <c r="L12" s="66">
        <v>7448000</v>
      </c>
      <c r="M12" s="66">
        <f>7448000*70%</f>
        <v>5213600</v>
      </c>
      <c r="N12" s="66">
        <f>7448000*70%</f>
        <v>5213600</v>
      </c>
      <c r="O12" s="66">
        <f>7448000*70%</f>
        <v>5213600</v>
      </c>
      <c r="P12" s="66">
        <f>7448000*70%</f>
        <v>5213600</v>
      </c>
      <c r="Q12" s="66">
        <f t="shared" si="0"/>
        <v>0</v>
      </c>
      <c r="R12" s="465"/>
    </row>
    <row r="13" spans="1:18" ht="24" customHeight="1">
      <c r="A13" s="169">
        <v>22102</v>
      </c>
      <c r="B13" s="66" t="s">
        <v>82</v>
      </c>
      <c r="C13" s="66">
        <v>5150000</v>
      </c>
      <c r="D13" s="66">
        <v>6000000</v>
      </c>
      <c r="E13" s="66">
        <v>6000000</v>
      </c>
      <c r="F13" s="66">
        <v>6000000</v>
      </c>
      <c r="G13" s="66">
        <v>6400000</v>
      </c>
      <c r="H13" s="66">
        <v>8400000</v>
      </c>
      <c r="I13" s="66">
        <v>6256320</v>
      </c>
      <c r="J13" s="66">
        <v>10000000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f t="shared" si="0"/>
        <v>0</v>
      </c>
      <c r="R13" s="465"/>
    </row>
    <row r="14" spans="1:18" ht="24" customHeight="1">
      <c r="A14" s="169">
        <v>22103</v>
      </c>
      <c r="B14" s="66" t="s">
        <v>117</v>
      </c>
      <c r="C14" s="66">
        <v>1500000</v>
      </c>
      <c r="D14" s="66">
        <v>726000</v>
      </c>
      <c r="E14" s="66">
        <v>726000</v>
      </c>
      <c r="F14" s="66">
        <v>726000</v>
      </c>
      <c r="G14" s="66">
        <v>38400000</v>
      </c>
      <c r="H14" s="66">
        <v>48000000</v>
      </c>
      <c r="I14" s="66">
        <v>5958400</v>
      </c>
      <c r="J14" s="66">
        <v>40000000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f t="shared" si="0"/>
        <v>0</v>
      </c>
      <c r="R14" s="465"/>
    </row>
    <row r="15" spans="1:18" ht="24" customHeight="1">
      <c r="A15" s="169">
        <v>22104</v>
      </c>
      <c r="B15" s="66" t="s">
        <v>116</v>
      </c>
      <c r="C15" s="66">
        <v>0</v>
      </c>
      <c r="D15" s="66">
        <v>0</v>
      </c>
      <c r="E15" s="66">
        <v>0</v>
      </c>
      <c r="F15" s="66">
        <v>0</v>
      </c>
      <c r="G15" s="66">
        <v>2400000</v>
      </c>
      <c r="H15" s="66">
        <v>3000000</v>
      </c>
      <c r="I15" s="66">
        <v>2234400</v>
      </c>
      <c r="J15" s="66">
        <v>3500000</v>
      </c>
      <c r="K15" s="66">
        <v>11172000</v>
      </c>
      <c r="L15" s="66">
        <v>30000000</v>
      </c>
      <c r="M15" s="66">
        <v>21000000</v>
      </c>
      <c r="N15" s="66">
        <v>21000000</v>
      </c>
      <c r="O15" s="66">
        <v>21000000</v>
      </c>
      <c r="P15" s="66">
        <v>21000000</v>
      </c>
      <c r="Q15" s="66">
        <f t="shared" si="0"/>
        <v>0</v>
      </c>
      <c r="R15" s="465"/>
    </row>
    <row r="16" spans="1:18" ht="24" customHeight="1">
      <c r="A16" s="169">
        <v>22105</v>
      </c>
      <c r="B16" s="66" t="s">
        <v>120</v>
      </c>
      <c r="C16" s="106">
        <f>SUM(C10:C15)</f>
        <v>12950000</v>
      </c>
      <c r="D16" s="106">
        <f>SUM(D10:D15)</f>
        <v>15726000</v>
      </c>
      <c r="E16" s="106">
        <f>SUM(E10:E15)</f>
        <v>17726000</v>
      </c>
      <c r="F16" s="106">
        <f>SUM(F10:F15)</f>
        <v>17726000</v>
      </c>
      <c r="G16" s="106">
        <f>SUM(G12:G15)</f>
        <v>68800000</v>
      </c>
      <c r="H16" s="106">
        <f>SUM(H12:H15)</f>
        <v>86400000</v>
      </c>
      <c r="I16" s="106">
        <f>SUM(I10:I15)</f>
        <v>41449120</v>
      </c>
      <c r="J16" s="106">
        <f>SUM(J12:J15)</f>
        <v>113442000</v>
      </c>
      <c r="K16" s="106">
        <v>0</v>
      </c>
      <c r="L16" s="106">
        <v>0</v>
      </c>
      <c r="M16" s="66">
        <f>97920000*70%</f>
        <v>68544000</v>
      </c>
      <c r="N16" s="66">
        <v>0</v>
      </c>
      <c r="O16" s="66">
        <v>72000000</v>
      </c>
      <c r="P16" s="66">
        <v>72000000</v>
      </c>
      <c r="Q16" s="66">
        <f t="shared" si="0"/>
        <v>0</v>
      </c>
      <c r="R16" s="465"/>
    </row>
    <row r="17" spans="1:18" ht="24" customHeight="1">
      <c r="A17" s="169">
        <v>22106</v>
      </c>
      <c r="B17" s="66" t="s">
        <v>287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>
        <v>0</v>
      </c>
      <c r="M17" s="66">
        <f>16800000*70%</f>
        <v>11760000</v>
      </c>
      <c r="N17" s="66">
        <v>0</v>
      </c>
      <c r="O17" s="66">
        <v>0</v>
      </c>
      <c r="P17" s="66">
        <v>0</v>
      </c>
      <c r="Q17" s="66">
        <f t="shared" si="0"/>
        <v>0</v>
      </c>
      <c r="R17" s="465"/>
    </row>
    <row r="18" spans="1:18" ht="24" customHeight="1">
      <c r="A18" s="169">
        <v>22107</v>
      </c>
      <c r="B18" s="66" t="s">
        <v>115</v>
      </c>
      <c r="C18" s="66"/>
      <c r="D18" s="66"/>
      <c r="E18" s="66"/>
      <c r="F18" s="66"/>
      <c r="G18" s="66"/>
      <c r="H18" s="66"/>
      <c r="I18" s="66"/>
      <c r="J18" s="66"/>
      <c r="K18" s="66">
        <v>22344000</v>
      </c>
      <c r="L18" s="66">
        <v>50000000</v>
      </c>
      <c r="M18" s="66">
        <f>50000000*70%</f>
        <v>35000000</v>
      </c>
      <c r="N18" s="66">
        <v>30000000</v>
      </c>
      <c r="O18" s="66">
        <v>60000000</v>
      </c>
      <c r="P18" s="66">
        <v>60000000</v>
      </c>
      <c r="Q18" s="66">
        <f t="shared" si="0"/>
        <v>0</v>
      </c>
      <c r="R18" s="465"/>
    </row>
    <row r="19" spans="1:18" ht="24" customHeight="1">
      <c r="A19" s="169">
        <v>22109</v>
      </c>
      <c r="B19" s="66" t="s">
        <v>114</v>
      </c>
      <c r="C19" s="66">
        <v>18500000</v>
      </c>
      <c r="D19" s="66">
        <v>2500000</v>
      </c>
      <c r="E19" s="66">
        <v>500000</v>
      </c>
      <c r="F19" s="66">
        <v>0</v>
      </c>
      <c r="G19" s="66">
        <v>4000000</v>
      </c>
      <c r="H19" s="66">
        <v>5000000</v>
      </c>
      <c r="I19" s="66">
        <v>0</v>
      </c>
      <c r="J19" s="66">
        <v>0</v>
      </c>
      <c r="K19" s="66">
        <v>7448000</v>
      </c>
      <c r="L19" s="66">
        <v>7448000</v>
      </c>
      <c r="M19" s="66">
        <f>7448000*70%</f>
        <v>5213600</v>
      </c>
      <c r="N19" s="66">
        <f>7448000*70%</f>
        <v>5213600</v>
      </c>
      <c r="O19" s="66">
        <f>7448000*70%</f>
        <v>5213600</v>
      </c>
      <c r="P19" s="66">
        <f>7448000*70%</f>
        <v>5213600</v>
      </c>
      <c r="Q19" s="66">
        <f t="shared" si="0"/>
        <v>0</v>
      </c>
      <c r="R19" s="465"/>
    </row>
    <row r="20" spans="1:18" ht="24" customHeight="1">
      <c r="A20" s="169">
        <v>22112</v>
      </c>
      <c r="B20" s="66" t="s">
        <v>113</v>
      </c>
      <c r="C20" s="66">
        <v>1000000</v>
      </c>
      <c r="D20" s="66">
        <v>1500000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f>5000000*70%</f>
        <v>3500000</v>
      </c>
      <c r="N20" s="66">
        <f>5000000*70%</f>
        <v>3500000</v>
      </c>
      <c r="O20" s="66">
        <f>5000000*70%</f>
        <v>3500000</v>
      </c>
      <c r="P20" s="66">
        <v>25000000</v>
      </c>
      <c r="Q20" s="66">
        <f t="shared" si="0"/>
        <v>21500000</v>
      </c>
      <c r="R20" s="465"/>
    </row>
    <row r="21" spans="1:18" ht="24" customHeight="1">
      <c r="A21" s="169">
        <v>22122</v>
      </c>
      <c r="B21" s="66" t="s">
        <v>636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>
        <v>0</v>
      </c>
      <c r="O21" s="66">
        <v>100000000</v>
      </c>
      <c r="P21" s="66">
        <v>150000000</v>
      </c>
      <c r="Q21" s="66">
        <f t="shared" si="0"/>
        <v>50000000</v>
      </c>
      <c r="R21" s="465"/>
    </row>
    <row r="22" spans="1:18" ht="24" customHeight="1">
      <c r="A22" s="169">
        <v>22129</v>
      </c>
      <c r="B22" s="66" t="s">
        <v>121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21450000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f t="shared" si="0"/>
        <v>0</v>
      </c>
      <c r="R22" s="465"/>
    </row>
    <row r="23" spans="1:18" ht="24" customHeight="1">
      <c r="A23" s="169">
        <v>22137</v>
      </c>
      <c r="B23" s="66" t="s">
        <v>122</v>
      </c>
      <c r="C23" s="66"/>
      <c r="D23" s="66"/>
      <c r="E23" s="66"/>
      <c r="F23" s="66">
        <v>0</v>
      </c>
      <c r="G23" s="66">
        <v>2400000</v>
      </c>
      <c r="H23" s="66">
        <v>3000000</v>
      </c>
      <c r="I23" s="66">
        <v>1117200</v>
      </c>
      <c r="J23" s="66">
        <v>1500000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f t="shared" si="0"/>
        <v>0</v>
      </c>
      <c r="R23" s="465"/>
    </row>
    <row r="24" spans="1:18" ht="24" customHeight="1">
      <c r="A24" s="169">
        <v>22141</v>
      </c>
      <c r="B24" s="66" t="s">
        <v>381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>
        <v>14000000</v>
      </c>
      <c r="O24" s="66">
        <v>58000000</v>
      </c>
      <c r="P24" s="66">
        <v>0</v>
      </c>
      <c r="Q24" s="66">
        <f t="shared" si="0"/>
        <v>-58000000</v>
      </c>
      <c r="R24" s="465"/>
    </row>
    <row r="25" spans="1:18" ht="24" customHeight="1">
      <c r="A25" s="169"/>
      <c r="B25" s="106" t="s">
        <v>5</v>
      </c>
      <c r="C25" s="66"/>
      <c r="D25" s="66"/>
      <c r="E25" s="66"/>
      <c r="F25" s="66"/>
      <c r="G25" s="66"/>
      <c r="H25" s="66"/>
      <c r="I25" s="66"/>
      <c r="J25" s="66"/>
      <c r="K25" s="106">
        <f>SUM(K12:K23)</f>
        <v>48412000</v>
      </c>
      <c r="L25" s="106">
        <f>SUM(L12:L23)</f>
        <v>94896000</v>
      </c>
      <c r="M25" s="106">
        <f>SUM(M12:M23)</f>
        <v>150231200</v>
      </c>
      <c r="N25" s="106">
        <f>SUM(N12:N24)</f>
        <v>78927200</v>
      </c>
      <c r="O25" s="106">
        <f>SUM(O12:O24)</f>
        <v>324927200</v>
      </c>
      <c r="P25" s="106">
        <f>SUM(P12:P24)</f>
        <v>338427200</v>
      </c>
      <c r="Q25" s="106">
        <f t="shared" si="0"/>
        <v>13500000</v>
      </c>
      <c r="R25" s="466"/>
    </row>
    <row r="26" spans="1:18" ht="24" customHeight="1">
      <c r="A26" s="249">
        <v>2220</v>
      </c>
      <c r="B26" s="106" t="s">
        <v>307</v>
      </c>
      <c r="C26" s="66">
        <v>2500000</v>
      </c>
      <c r="D26" s="66">
        <v>1000000</v>
      </c>
      <c r="E26" s="66">
        <v>1000000</v>
      </c>
      <c r="F26" s="66">
        <v>2000000</v>
      </c>
      <c r="G26" s="66">
        <v>3200000</v>
      </c>
      <c r="H26" s="66">
        <v>6000000</v>
      </c>
      <c r="I26" s="66">
        <v>7448000</v>
      </c>
      <c r="J26" s="66">
        <v>10000000</v>
      </c>
      <c r="K26" s="66"/>
      <c r="L26" s="66"/>
      <c r="M26" s="66"/>
      <c r="N26" s="66"/>
      <c r="O26" s="66"/>
      <c r="P26" s="66"/>
      <c r="Q26" s="66">
        <f t="shared" si="0"/>
        <v>0</v>
      </c>
      <c r="R26" s="465"/>
    </row>
    <row r="27" spans="1:18" ht="24" customHeight="1">
      <c r="A27" s="169">
        <v>22201</v>
      </c>
      <c r="B27" s="66" t="s">
        <v>90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f t="shared" si="0"/>
        <v>0</v>
      </c>
      <c r="R27" s="465"/>
    </row>
    <row r="28" spans="1:18" ht="24" customHeight="1">
      <c r="A28" s="169">
        <v>22202</v>
      </c>
      <c r="B28" s="66" t="s">
        <v>91</v>
      </c>
      <c r="C28" s="66">
        <v>0</v>
      </c>
      <c r="D28" s="66">
        <v>500000</v>
      </c>
      <c r="E28" s="66">
        <v>500000</v>
      </c>
      <c r="F28" s="66">
        <v>0</v>
      </c>
      <c r="G28" s="66">
        <v>800000</v>
      </c>
      <c r="H28" s="66">
        <v>1500000</v>
      </c>
      <c r="I28" s="66">
        <v>1117200</v>
      </c>
      <c r="J28" s="66">
        <v>0</v>
      </c>
      <c r="K28" s="66">
        <v>27000000</v>
      </c>
      <c r="L28" s="66">
        <f>60000000+13730000</f>
        <v>73730000</v>
      </c>
      <c r="M28" s="66">
        <v>51611000</v>
      </c>
      <c r="N28" s="66">
        <v>100000000</v>
      </c>
      <c r="O28" s="66">
        <v>150000000</v>
      </c>
      <c r="P28" s="66">
        <v>200000000</v>
      </c>
      <c r="Q28" s="66">
        <f t="shared" si="0"/>
        <v>50000000</v>
      </c>
      <c r="R28" s="465"/>
    </row>
    <row r="29" spans="1:18" ht="24" customHeight="1">
      <c r="A29" s="169">
        <v>22203</v>
      </c>
      <c r="B29" s="66" t="s">
        <v>85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6256320</v>
      </c>
      <c r="L29" s="66">
        <v>6256320</v>
      </c>
      <c r="M29" s="66">
        <f>6256320*70%</f>
        <v>4379424</v>
      </c>
      <c r="N29" s="66">
        <v>14379424</v>
      </c>
      <c r="O29" s="66">
        <v>14379424</v>
      </c>
      <c r="P29" s="66">
        <v>14379424</v>
      </c>
      <c r="Q29" s="66">
        <f t="shared" si="0"/>
        <v>0</v>
      </c>
      <c r="R29" s="465"/>
    </row>
    <row r="30" spans="1:18" ht="24" customHeight="1">
      <c r="A30" s="169">
        <v>22204</v>
      </c>
      <c r="B30" s="66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5958400</v>
      </c>
      <c r="L30" s="66">
        <v>5958400</v>
      </c>
      <c r="M30" s="66">
        <f>78000000*70%</f>
        <v>54600000</v>
      </c>
      <c r="N30" s="66">
        <v>4600000</v>
      </c>
      <c r="O30" s="66">
        <v>4600000</v>
      </c>
      <c r="P30" s="66">
        <v>4600000</v>
      </c>
      <c r="Q30" s="66">
        <f t="shared" si="0"/>
        <v>0</v>
      </c>
      <c r="R30" s="465"/>
    </row>
    <row r="31" spans="1:18" ht="24" customHeight="1">
      <c r="A31" s="169">
        <v>22209</v>
      </c>
      <c r="B31" s="66" t="s">
        <v>262</v>
      </c>
      <c r="C31" s="106">
        <f>SUM(C26:C28)</f>
        <v>2500000</v>
      </c>
      <c r="D31" s="106">
        <f>SUM(D26:D28)</f>
        <v>1500000</v>
      </c>
      <c r="E31" s="106">
        <f>SUM(E26:E28)</f>
        <v>1500000</v>
      </c>
      <c r="F31" s="106">
        <f>SUM(F26:F28)</f>
        <v>2000000</v>
      </c>
      <c r="G31" s="106">
        <f>SUM(G26:G29)</f>
        <v>4000000</v>
      </c>
      <c r="H31" s="106">
        <f>SUM(H26:H29)</f>
        <v>7500000</v>
      </c>
      <c r="I31" s="106">
        <f>SUM(I26:I29)</f>
        <v>8565200</v>
      </c>
      <c r="J31" s="106">
        <f>SUM(J26:J29)</f>
        <v>10000000</v>
      </c>
      <c r="K31" s="66">
        <v>2234400</v>
      </c>
      <c r="L31" s="66">
        <v>5718446</v>
      </c>
      <c r="M31" s="66">
        <f>5718446*70%</f>
        <v>4002912.1999999997</v>
      </c>
      <c r="N31" s="66">
        <v>0</v>
      </c>
      <c r="O31" s="66">
        <v>0</v>
      </c>
      <c r="P31" s="66">
        <v>0</v>
      </c>
      <c r="Q31" s="66">
        <f t="shared" si="0"/>
        <v>0</v>
      </c>
      <c r="R31" s="465"/>
    </row>
    <row r="32" spans="1:18" ht="24" customHeight="1">
      <c r="A32" s="169"/>
      <c r="B32" s="106" t="s">
        <v>59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106">
        <f>SUM(K27:K30)</f>
        <v>39214720</v>
      </c>
      <c r="L32" s="106">
        <f>SUM(L27:L30)</f>
        <v>85944720</v>
      </c>
      <c r="M32" s="106">
        <f>SUM(M27:M30)</f>
        <v>110590424</v>
      </c>
      <c r="N32" s="106">
        <f>SUM(N27:N31)</f>
        <v>118979424</v>
      </c>
      <c r="O32" s="106">
        <f>SUM(O27:O31)</f>
        <v>168979424</v>
      </c>
      <c r="P32" s="106">
        <f>SUM(P27:P31)</f>
        <v>218979424</v>
      </c>
      <c r="Q32" s="106">
        <f t="shared" si="0"/>
        <v>50000000</v>
      </c>
      <c r="R32" s="466"/>
    </row>
    <row r="33" spans="1:18" ht="24" customHeight="1">
      <c r="A33" s="249">
        <v>2230</v>
      </c>
      <c r="B33" s="106" t="s">
        <v>88</v>
      </c>
      <c r="C33" s="66">
        <v>0</v>
      </c>
      <c r="D33" s="66">
        <v>0</v>
      </c>
      <c r="E33" s="66">
        <v>0</v>
      </c>
      <c r="F33" s="66">
        <v>0</v>
      </c>
      <c r="G33" s="66">
        <v>48000000</v>
      </c>
      <c r="H33" s="66">
        <v>48000000</v>
      </c>
      <c r="I33" s="66">
        <v>22344000</v>
      </c>
      <c r="J33" s="66">
        <v>35000000</v>
      </c>
      <c r="K33" s="66"/>
      <c r="L33" s="66"/>
      <c r="M33" s="66"/>
      <c r="N33" s="66"/>
      <c r="O33" s="66"/>
      <c r="P33" s="66"/>
      <c r="Q33" s="66">
        <f t="shared" si="0"/>
        <v>0</v>
      </c>
      <c r="R33" s="466"/>
    </row>
    <row r="34" spans="1:18" ht="24" customHeight="1">
      <c r="A34" s="169">
        <v>22301</v>
      </c>
      <c r="B34" s="66" t="s">
        <v>108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7448000</v>
      </c>
      <c r="L34" s="66">
        <v>10932000</v>
      </c>
      <c r="M34" s="66">
        <f>13932000*70%</f>
        <v>9752400</v>
      </c>
      <c r="N34" s="66">
        <v>29752400</v>
      </c>
      <c r="O34" s="66">
        <v>49752400</v>
      </c>
      <c r="P34" s="66">
        <v>49752400</v>
      </c>
      <c r="Q34" s="66">
        <f t="shared" si="0"/>
        <v>0</v>
      </c>
      <c r="R34" s="466"/>
    </row>
    <row r="35" spans="1:18" ht="24" customHeight="1">
      <c r="A35" s="169">
        <v>22302</v>
      </c>
      <c r="B35" s="66" t="s">
        <v>109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f t="shared" si="0"/>
        <v>0</v>
      </c>
      <c r="R35" s="466"/>
    </row>
    <row r="36" spans="1:18" ht="24" customHeight="1">
      <c r="A36" s="169">
        <v>22305</v>
      </c>
      <c r="B36" s="66" t="s">
        <v>111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1117200</v>
      </c>
      <c r="L36" s="66">
        <v>1117200</v>
      </c>
      <c r="M36" s="66">
        <v>1117200</v>
      </c>
      <c r="N36" s="66">
        <v>1117200</v>
      </c>
      <c r="O36" s="66">
        <v>1117200</v>
      </c>
      <c r="P36" s="66">
        <v>1117200</v>
      </c>
      <c r="Q36" s="66">
        <f t="shared" si="0"/>
        <v>0</v>
      </c>
      <c r="R36" s="465"/>
    </row>
    <row r="37" spans="1:18" ht="24" customHeight="1">
      <c r="A37" s="169"/>
      <c r="B37" s="106" t="s">
        <v>5</v>
      </c>
      <c r="C37" s="66">
        <v>5000000</v>
      </c>
      <c r="D37" s="66">
        <v>5000000</v>
      </c>
      <c r="E37" s="66">
        <v>5000000</v>
      </c>
      <c r="F37" s="66">
        <v>5000000</v>
      </c>
      <c r="G37" s="66">
        <v>4000000</v>
      </c>
      <c r="H37" s="66">
        <v>5000000</v>
      </c>
      <c r="I37" s="66">
        <v>7448000</v>
      </c>
      <c r="J37" s="66">
        <v>30000000</v>
      </c>
      <c r="K37" s="106">
        <f t="shared" ref="K37:P37" si="1">SUM(K34:K36)</f>
        <v>8565200</v>
      </c>
      <c r="L37" s="106">
        <f t="shared" si="1"/>
        <v>12049200</v>
      </c>
      <c r="M37" s="106">
        <f t="shared" si="1"/>
        <v>10869600</v>
      </c>
      <c r="N37" s="106">
        <f t="shared" si="1"/>
        <v>30869600</v>
      </c>
      <c r="O37" s="106">
        <f t="shared" si="1"/>
        <v>50869600</v>
      </c>
      <c r="P37" s="106">
        <f t="shared" si="1"/>
        <v>50869600</v>
      </c>
      <c r="Q37" s="106">
        <f t="shared" si="0"/>
        <v>0</v>
      </c>
      <c r="R37" s="465"/>
    </row>
    <row r="38" spans="1:18" ht="24" customHeight="1">
      <c r="A38" s="249">
        <v>230</v>
      </c>
      <c r="B38" s="106" t="s">
        <v>263</v>
      </c>
      <c r="C38" s="66"/>
      <c r="D38" s="66"/>
      <c r="E38" s="66"/>
      <c r="F38" s="66">
        <v>0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>
        <f t="shared" si="0"/>
        <v>0</v>
      </c>
      <c r="R38" s="465"/>
    </row>
    <row r="39" spans="1:18" ht="24" customHeight="1">
      <c r="A39" s="249">
        <v>2310</v>
      </c>
      <c r="B39" s="106" t="s">
        <v>264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>
        <f t="shared" si="0"/>
        <v>0</v>
      </c>
      <c r="R39" s="465"/>
    </row>
    <row r="40" spans="1:18" ht="24" customHeight="1">
      <c r="A40" s="169">
        <v>23101</v>
      </c>
      <c r="B40" s="66" t="s">
        <v>104</v>
      </c>
      <c r="C40" s="66">
        <v>0</v>
      </c>
      <c r="D40" s="66">
        <v>0</v>
      </c>
      <c r="E40" s="66">
        <v>0</v>
      </c>
      <c r="F40" s="66">
        <v>0</v>
      </c>
      <c r="G40" s="66">
        <v>9600000</v>
      </c>
      <c r="H40" s="66">
        <v>10000000</v>
      </c>
      <c r="I40" s="66">
        <v>7448000</v>
      </c>
      <c r="J40" s="66">
        <v>10000000</v>
      </c>
      <c r="K40" s="66">
        <v>0</v>
      </c>
      <c r="L40" s="66">
        <v>0</v>
      </c>
      <c r="M40" s="66">
        <f>5000000*70%</f>
        <v>3500000</v>
      </c>
      <c r="N40" s="66">
        <v>0</v>
      </c>
      <c r="O40" s="66">
        <v>60000000</v>
      </c>
      <c r="P40" s="66">
        <v>15000000</v>
      </c>
      <c r="Q40" s="66">
        <f t="shared" si="0"/>
        <v>-45000000</v>
      </c>
      <c r="R40" s="465"/>
    </row>
    <row r="41" spans="1:18" ht="24" customHeight="1">
      <c r="A41" s="169">
        <v>23102</v>
      </c>
      <c r="B41" s="66" t="s">
        <v>105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108000000</v>
      </c>
      <c r="N41" s="66">
        <v>138000000</v>
      </c>
      <c r="O41" s="66">
        <v>120000000</v>
      </c>
      <c r="P41" s="66">
        <v>75000000</v>
      </c>
      <c r="Q41" s="66">
        <f t="shared" si="0"/>
        <v>-45000000</v>
      </c>
      <c r="R41" s="465"/>
    </row>
    <row r="42" spans="1:18" ht="24" customHeight="1">
      <c r="A42" s="169">
        <v>23103</v>
      </c>
      <c r="B42" s="66" t="s">
        <v>106</v>
      </c>
      <c r="C42" s="66">
        <v>2500000</v>
      </c>
      <c r="D42" s="66">
        <v>2500000</v>
      </c>
      <c r="E42" s="66">
        <f>2500000+1500000</f>
        <v>4000000</v>
      </c>
      <c r="F42" s="66">
        <f>2500000+1500000</f>
        <v>4000000</v>
      </c>
      <c r="G42" s="66">
        <v>12000000</v>
      </c>
      <c r="H42" s="66">
        <v>15000000</v>
      </c>
      <c r="I42" s="66">
        <v>11172000</v>
      </c>
      <c r="J42" s="66">
        <v>25000000</v>
      </c>
      <c r="K42" s="66">
        <v>0</v>
      </c>
      <c r="L42" s="66"/>
      <c r="M42" s="66"/>
      <c r="N42" s="66"/>
      <c r="O42" s="66"/>
      <c r="P42" s="66"/>
      <c r="Q42" s="66">
        <f t="shared" si="0"/>
        <v>0</v>
      </c>
      <c r="R42" s="465"/>
    </row>
    <row r="43" spans="1:18" ht="24" customHeight="1">
      <c r="A43" s="169">
        <v>23104</v>
      </c>
      <c r="B43" s="66" t="s">
        <v>107</v>
      </c>
      <c r="C43" s="66">
        <v>6000000</v>
      </c>
      <c r="D43" s="66">
        <v>10000000</v>
      </c>
      <c r="E43" s="66">
        <v>10000000</v>
      </c>
      <c r="F43" s="66">
        <v>10000000</v>
      </c>
      <c r="G43" s="66">
        <v>0</v>
      </c>
      <c r="H43" s="66">
        <v>0</v>
      </c>
      <c r="I43" s="66">
        <v>0</v>
      </c>
      <c r="J43" s="66">
        <v>0</v>
      </c>
      <c r="K43" s="66">
        <v>1117200</v>
      </c>
      <c r="L43" s="66">
        <v>1117200</v>
      </c>
      <c r="M43" s="66">
        <v>1117200</v>
      </c>
      <c r="N43" s="66">
        <v>0</v>
      </c>
      <c r="O43" s="66">
        <v>0</v>
      </c>
      <c r="P43" s="66">
        <v>0</v>
      </c>
      <c r="Q43" s="66">
        <f t="shared" si="0"/>
        <v>0</v>
      </c>
      <c r="R43" s="465"/>
    </row>
    <row r="44" spans="1:18" ht="24" customHeight="1">
      <c r="A44" s="169"/>
      <c r="B44" s="106" t="s">
        <v>59</v>
      </c>
      <c r="C44" s="66">
        <v>0</v>
      </c>
      <c r="D44" s="66">
        <v>1300000</v>
      </c>
      <c r="E44" s="66">
        <v>1300000</v>
      </c>
      <c r="F44" s="66">
        <v>1300000</v>
      </c>
      <c r="G44" s="66">
        <v>0</v>
      </c>
      <c r="H44" s="66">
        <v>0</v>
      </c>
      <c r="I44" s="66">
        <v>0</v>
      </c>
      <c r="J44" s="66">
        <v>0</v>
      </c>
      <c r="K44" s="106">
        <f t="shared" ref="K44:P44" si="2">SUM(K40:K43)</f>
        <v>1117200</v>
      </c>
      <c r="L44" s="106">
        <f t="shared" si="2"/>
        <v>1117200</v>
      </c>
      <c r="M44" s="106">
        <f t="shared" si="2"/>
        <v>112617200</v>
      </c>
      <c r="N44" s="106">
        <f t="shared" si="2"/>
        <v>138000000</v>
      </c>
      <c r="O44" s="106">
        <f t="shared" si="2"/>
        <v>180000000</v>
      </c>
      <c r="P44" s="106">
        <f t="shared" si="2"/>
        <v>90000000</v>
      </c>
      <c r="Q44" s="106">
        <f t="shared" si="0"/>
        <v>-90000000</v>
      </c>
      <c r="R44" s="466"/>
    </row>
    <row r="45" spans="1:18" ht="33.75" customHeight="1">
      <c r="A45" s="169"/>
      <c r="B45" s="106" t="s">
        <v>18</v>
      </c>
      <c r="C45" s="66">
        <v>3600000</v>
      </c>
      <c r="D45" s="66">
        <v>1614000</v>
      </c>
      <c r="E45" s="66">
        <v>1614000</v>
      </c>
      <c r="F45" s="66">
        <v>1614000</v>
      </c>
      <c r="G45" s="66">
        <v>0</v>
      </c>
      <c r="H45" s="66">
        <v>0</v>
      </c>
      <c r="I45" s="66">
        <v>0</v>
      </c>
      <c r="J45" s="66">
        <v>0</v>
      </c>
      <c r="K45" s="106">
        <f>K37+K44+K32+K25+K9</f>
        <v>159111520</v>
      </c>
      <c r="L45" s="106">
        <f>L37+L44+L32+L25+L9</f>
        <v>255809520</v>
      </c>
      <c r="M45" s="106" t="e">
        <f>M37+M44+M32+M25+M9</f>
        <v>#REF!</v>
      </c>
      <c r="N45" s="106">
        <f>N37+N44+N32+N25+N9</f>
        <v>672387424</v>
      </c>
      <c r="O45" s="106">
        <f>O44+O37+O32+O25+O9</f>
        <v>1490835104</v>
      </c>
      <c r="P45" s="106">
        <f>P44+P37+P32+P25+P9</f>
        <v>1581817024</v>
      </c>
      <c r="Q45" s="106">
        <f t="shared" si="0"/>
        <v>90981920</v>
      </c>
      <c r="R45" s="466"/>
    </row>
    <row r="47" spans="1:18">
      <c r="A47" s="467"/>
    </row>
    <row r="48" spans="1:18">
      <c r="A48" s="467"/>
    </row>
    <row r="49" spans="1:1">
      <c r="A49" s="467"/>
    </row>
  </sheetData>
  <pageMargins left="0.39" right="0.26" top="0.68" bottom="0.64" header="0.23" footer="0.26"/>
  <pageSetup scale="64" orientation="portrait" r:id="rId1"/>
  <headerFooter>
    <oddHeader>&amp;C&amp;"Algerian,Bold"&amp;28WASAARADdA XIDH. GOLAYAASHA CILM. IYO TECH</oddHeader>
    <oddFooter>&amp;R&amp;"Times New Roman,Bold"&amp;14 46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6" zoomScaleNormal="66" zoomScaleSheetLayoutView="66" zoomScalePageLayoutView="85" workbookViewId="0">
      <selection activeCell="M7" sqref="M7"/>
    </sheetView>
  </sheetViews>
  <sheetFormatPr defaultRowHeight="27.95" customHeight="1"/>
  <cols>
    <col min="1" max="1" width="15.5" style="471" bestFit="1" customWidth="1"/>
    <col min="2" max="2" width="82.5" style="469" customWidth="1"/>
    <col min="3" max="3" width="1.83203125" style="469" hidden="1" customWidth="1"/>
    <col min="4" max="9" width="9.33203125" style="469" hidden="1" customWidth="1"/>
    <col min="10" max="10" width="18.5" style="469" hidden="1" customWidth="1"/>
    <col min="11" max="11" width="28.1640625" style="469" hidden="1" customWidth="1"/>
    <col min="12" max="12" width="27.6640625" style="472" hidden="1" customWidth="1"/>
    <col min="13" max="13" width="28.1640625" style="472" bestFit="1" customWidth="1"/>
    <col min="14" max="14" width="28.1640625" style="472" customWidth="1"/>
    <col min="15" max="15" width="28.1640625" style="472" bestFit="1" customWidth="1"/>
    <col min="16" max="16" width="9.33203125" style="469" hidden="1" customWidth="1"/>
    <col min="17" max="16384" width="9.33203125" style="469"/>
  </cols>
  <sheetData>
    <row r="1" spans="1:16" ht="27.95" customHeight="1">
      <c r="A1" s="353" t="s">
        <v>20</v>
      </c>
      <c r="B1" s="354" t="s">
        <v>802</v>
      </c>
      <c r="C1" s="251"/>
      <c r="D1" s="251"/>
      <c r="E1" s="251"/>
      <c r="F1" s="251"/>
      <c r="G1" s="251"/>
      <c r="H1" s="251"/>
      <c r="I1" s="251"/>
      <c r="J1" s="251"/>
      <c r="K1" s="251"/>
      <c r="L1" s="106"/>
      <c r="M1" s="106"/>
      <c r="N1" s="106"/>
      <c r="O1" s="106"/>
      <c r="P1" s="468"/>
    </row>
    <row r="2" spans="1:16" ht="27.95" customHeight="1">
      <c r="A2" s="249" t="s">
        <v>6</v>
      </c>
      <c r="B2" s="130" t="s">
        <v>7</v>
      </c>
      <c r="C2" s="256" t="s">
        <v>24</v>
      </c>
      <c r="D2" s="256" t="s">
        <v>28</v>
      </c>
      <c r="E2" s="256" t="s">
        <v>33</v>
      </c>
      <c r="F2" s="256" t="s">
        <v>40</v>
      </c>
      <c r="G2" s="256" t="s">
        <v>64</v>
      </c>
      <c r="H2" s="256" t="s">
        <v>69</v>
      </c>
      <c r="I2" s="256" t="s">
        <v>78</v>
      </c>
      <c r="J2" s="256" t="s">
        <v>110</v>
      </c>
      <c r="K2" s="256" t="s">
        <v>166</v>
      </c>
      <c r="L2" s="112" t="s">
        <v>538</v>
      </c>
      <c r="M2" s="112" t="s">
        <v>607</v>
      </c>
      <c r="N2" s="112" t="s">
        <v>722</v>
      </c>
      <c r="O2" s="112" t="s">
        <v>34</v>
      </c>
      <c r="P2" s="470"/>
    </row>
    <row r="3" spans="1:16" ht="27.95" customHeight="1">
      <c r="A3" s="249">
        <v>210</v>
      </c>
      <c r="B3" s="106" t="s">
        <v>95</v>
      </c>
      <c r="C3" s="251"/>
      <c r="D3" s="251"/>
      <c r="E3" s="251"/>
      <c r="F3" s="251"/>
      <c r="G3" s="251"/>
      <c r="H3" s="251"/>
      <c r="I3" s="251"/>
      <c r="J3" s="251"/>
      <c r="K3" s="251"/>
      <c r="L3" s="66"/>
      <c r="M3" s="66"/>
      <c r="N3" s="66"/>
      <c r="O3" s="66"/>
      <c r="P3" s="468"/>
    </row>
    <row r="4" spans="1:16" ht="27.95" customHeight="1">
      <c r="A4" s="249">
        <v>2110</v>
      </c>
      <c r="B4" s="106" t="s">
        <v>155</v>
      </c>
      <c r="C4" s="100">
        <v>0</v>
      </c>
      <c r="D4" s="100">
        <v>45168000</v>
      </c>
      <c r="E4" s="100">
        <v>82272000</v>
      </c>
      <c r="F4" s="100">
        <v>82272000</v>
      </c>
      <c r="G4" s="100">
        <v>167590800</v>
      </c>
      <c r="H4" s="100">
        <f>135236400+4149600+27000000+3000000</f>
        <v>169386000</v>
      </c>
      <c r="I4" s="100">
        <f>169386000+6000000+4149600</f>
        <v>179535600</v>
      </c>
      <c r="J4" s="100"/>
      <c r="K4" s="100"/>
      <c r="L4" s="66"/>
      <c r="M4" s="66"/>
      <c r="N4" s="66"/>
      <c r="O4" s="66"/>
      <c r="P4" s="468"/>
    </row>
    <row r="5" spans="1:16" ht="27.95" customHeight="1">
      <c r="A5" s="169">
        <v>21101</v>
      </c>
      <c r="B5" s="66" t="s">
        <v>9</v>
      </c>
      <c r="C5" s="100">
        <v>0</v>
      </c>
      <c r="D5" s="100">
        <v>24500000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f>179535600+5085600-4149600+108872400</f>
        <v>289344000</v>
      </c>
      <c r="K5" s="100" t="e">
        <f>#REF!+36000000+704589600</f>
        <v>#REF!</v>
      </c>
      <c r="L5" s="66">
        <v>1142731200</v>
      </c>
      <c r="M5" s="66">
        <v>1405085760</v>
      </c>
      <c r="N5" s="66">
        <v>1592472960</v>
      </c>
      <c r="O5" s="66">
        <f>N5-M5</f>
        <v>187387200</v>
      </c>
      <c r="P5" s="468"/>
    </row>
    <row r="6" spans="1:16" ht="27.95" customHeight="1">
      <c r="A6" s="169">
        <v>21102</v>
      </c>
      <c r="B6" s="66" t="s">
        <v>418</v>
      </c>
      <c r="C6" s="66">
        <v>0</v>
      </c>
      <c r="D6" s="66">
        <v>10800000</v>
      </c>
      <c r="E6" s="66">
        <v>14400000</v>
      </c>
      <c r="F6" s="66">
        <v>14400000</v>
      </c>
      <c r="G6" s="66">
        <v>14400000</v>
      </c>
      <c r="H6" s="66">
        <f>14400000+16200000+720000</f>
        <v>31320000</v>
      </c>
      <c r="I6" s="66">
        <f>31320000+720000+3960000</f>
        <v>36000000</v>
      </c>
      <c r="J6" s="100">
        <v>0</v>
      </c>
      <c r="K6" s="100">
        <v>0</v>
      </c>
      <c r="L6" s="66">
        <v>97200000</v>
      </c>
      <c r="M6" s="66">
        <v>194400000</v>
      </c>
      <c r="N6" s="66">
        <v>194400000</v>
      </c>
      <c r="O6" s="66">
        <f t="shared" ref="O6:O46" si="0">N6-M6</f>
        <v>0</v>
      </c>
      <c r="P6" s="468"/>
    </row>
    <row r="7" spans="1:16" ht="27.95" customHeight="1">
      <c r="A7" s="169">
        <v>21103</v>
      </c>
      <c r="B7" s="66" t="s">
        <v>11</v>
      </c>
      <c r="C7" s="106">
        <v>0</v>
      </c>
      <c r="D7" s="106">
        <f>SUM(D4:D6)</f>
        <v>80468000</v>
      </c>
      <c r="E7" s="106">
        <f>SUM(E4:E6)</f>
        <v>96672000</v>
      </c>
      <c r="F7" s="106">
        <f>SUM(F4:F6)</f>
        <v>96672000</v>
      </c>
      <c r="G7" s="106">
        <f>SUM(G4:G6)</f>
        <v>181990800</v>
      </c>
      <c r="H7" s="106">
        <f>SUM(H4:H6)</f>
        <v>200706000</v>
      </c>
      <c r="I7" s="66">
        <v>0</v>
      </c>
      <c r="J7" s="66">
        <f>36000000+2400000+13200000</f>
        <v>51600000</v>
      </c>
      <c r="K7" s="66">
        <f>36000000+2400000+13200000</f>
        <v>51600000</v>
      </c>
      <c r="L7" s="66">
        <v>140400000</v>
      </c>
      <c r="M7" s="66">
        <v>306000000</v>
      </c>
      <c r="N7" s="66">
        <v>306000000</v>
      </c>
      <c r="O7" s="66">
        <f t="shared" si="0"/>
        <v>0</v>
      </c>
      <c r="P7" s="468"/>
    </row>
    <row r="8" spans="1:16" ht="27.95" customHeight="1">
      <c r="A8" s="169"/>
      <c r="B8" s="106" t="s">
        <v>59</v>
      </c>
      <c r="C8" s="106">
        <v>0</v>
      </c>
      <c r="D8" s="106" t="e">
        <f>SUM(#REF!)</f>
        <v>#REF!</v>
      </c>
      <c r="E8" s="106" t="e">
        <f>SUM(#REF!)</f>
        <v>#REF!</v>
      </c>
      <c r="F8" s="106" t="e">
        <f>SUM(#REF!)</f>
        <v>#REF!</v>
      </c>
      <c r="G8" s="106" t="e">
        <f>SUM(#REF!)</f>
        <v>#REF!</v>
      </c>
      <c r="H8" s="106" t="e">
        <f>SUM(#REF!)</f>
        <v>#REF!</v>
      </c>
      <c r="I8" s="66">
        <v>0</v>
      </c>
      <c r="J8" s="106">
        <f>SUM(J5:J7)</f>
        <v>340944000</v>
      </c>
      <c r="K8" s="106" t="e">
        <f>SUM(K5:K7)</f>
        <v>#REF!</v>
      </c>
      <c r="L8" s="106">
        <f>SUM(L5:L7)</f>
        <v>1380331200</v>
      </c>
      <c r="M8" s="106">
        <f>SUM(M5:M7)</f>
        <v>1905485760</v>
      </c>
      <c r="N8" s="106">
        <f>SUM(N5:N7)</f>
        <v>2092872960</v>
      </c>
      <c r="O8" s="106">
        <f t="shared" si="0"/>
        <v>187387200</v>
      </c>
      <c r="P8" s="468"/>
    </row>
    <row r="9" spans="1:16" ht="27.95" customHeight="1">
      <c r="A9" s="249">
        <v>220</v>
      </c>
      <c r="B9" s="106" t="s">
        <v>159</v>
      </c>
      <c r="C9" s="66" t="s">
        <v>4</v>
      </c>
      <c r="D9" s="66"/>
      <c r="E9" s="66"/>
      <c r="F9" s="66"/>
      <c r="G9" s="66"/>
      <c r="H9" s="66"/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f t="shared" si="0"/>
        <v>0</v>
      </c>
      <c r="P9" s="468"/>
    </row>
    <row r="10" spans="1:16" ht="27.95" customHeight="1">
      <c r="A10" s="249">
        <v>2210</v>
      </c>
      <c r="B10" s="106" t="s">
        <v>160</v>
      </c>
      <c r="C10" s="66">
        <v>0</v>
      </c>
      <c r="D10" s="66">
        <v>22600000</v>
      </c>
      <c r="E10" s="66">
        <v>0</v>
      </c>
      <c r="F10" s="66">
        <v>0</v>
      </c>
      <c r="G10" s="66">
        <v>0</v>
      </c>
      <c r="H10" s="66">
        <v>0</v>
      </c>
      <c r="I10" s="66">
        <v>7448000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f t="shared" si="0"/>
        <v>0</v>
      </c>
      <c r="P10" s="468"/>
    </row>
    <row r="11" spans="1:16" ht="27.95" customHeight="1">
      <c r="A11" s="169">
        <v>22101</v>
      </c>
      <c r="B11" s="66" t="s">
        <v>14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7448000</v>
      </c>
      <c r="J11" s="66">
        <f>11172000+33516000</f>
        <v>44688000</v>
      </c>
      <c r="K11" s="66">
        <v>44688000</v>
      </c>
      <c r="L11" s="66">
        <v>44688000</v>
      </c>
      <c r="M11" s="66">
        <v>44688000</v>
      </c>
      <c r="N11" s="66">
        <v>44688000</v>
      </c>
      <c r="O11" s="66">
        <f t="shared" si="0"/>
        <v>0</v>
      </c>
      <c r="P11" s="468"/>
    </row>
    <row r="12" spans="1:16" ht="27.95" customHeight="1">
      <c r="A12" s="169">
        <v>22104</v>
      </c>
      <c r="B12" s="66" t="s">
        <v>116</v>
      </c>
      <c r="C12" s="66"/>
      <c r="D12" s="66"/>
      <c r="E12" s="66"/>
      <c r="F12" s="66"/>
      <c r="G12" s="66"/>
      <c r="H12" s="66"/>
      <c r="I12" s="66">
        <v>37240000</v>
      </c>
      <c r="J12" s="66">
        <f>43561192+20000000</f>
        <v>63561192</v>
      </c>
      <c r="K12" s="66">
        <f>J12*70%</f>
        <v>44492834.399999999</v>
      </c>
      <c r="L12" s="66">
        <f>K12</f>
        <v>44492834.399999999</v>
      </c>
      <c r="M12" s="66">
        <f>L12</f>
        <v>44492834.399999999</v>
      </c>
      <c r="N12" s="66">
        <f>M12</f>
        <v>44492834.399999999</v>
      </c>
      <c r="O12" s="66">
        <f t="shared" si="0"/>
        <v>0</v>
      </c>
      <c r="P12" s="468"/>
    </row>
    <row r="13" spans="1:16" ht="27.95" customHeight="1">
      <c r="A13" s="169">
        <v>22105</v>
      </c>
      <c r="B13" s="66" t="s">
        <v>874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>
        <v>0</v>
      </c>
      <c r="N13" s="66">
        <v>8400000</v>
      </c>
      <c r="O13" s="66">
        <f t="shared" si="0"/>
        <v>8400000</v>
      </c>
      <c r="P13" s="468"/>
    </row>
    <row r="14" spans="1:16" ht="27.95" customHeight="1">
      <c r="A14" s="169">
        <v>22107</v>
      </c>
      <c r="B14" s="66" t="s">
        <v>30</v>
      </c>
      <c r="C14" s="66">
        <v>0</v>
      </c>
      <c r="D14" s="66">
        <v>4000000</v>
      </c>
      <c r="E14" s="66">
        <v>8000000</v>
      </c>
      <c r="F14" s="66">
        <v>17000000</v>
      </c>
      <c r="G14" s="66">
        <v>12661600</v>
      </c>
      <c r="H14" s="66">
        <v>25000000</v>
      </c>
      <c r="I14" s="106">
        <f>SUM(I8:I12)</f>
        <v>52136000</v>
      </c>
      <c r="J14" s="66">
        <f>7448000+11000000</f>
        <v>18448000</v>
      </c>
      <c r="K14" s="66">
        <f>J14*70%</f>
        <v>12913600</v>
      </c>
      <c r="L14" s="66">
        <v>19039520</v>
      </c>
      <c r="M14" s="66">
        <v>19039520</v>
      </c>
      <c r="N14" s="66">
        <v>19039520</v>
      </c>
      <c r="O14" s="66">
        <f t="shared" si="0"/>
        <v>0</v>
      </c>
      <c r="P14" s="468"/>
    </row>
    <row r="15" spans="1:16" ht="27.95" customHeight="1">
      <c r="A15" s="169">
        <v>22108</v>
      </c>
      <c r="B15" s="66" t="s">
        <v>853</v>
      </c>
      <c r="C15" s="66"/>
      <c r="D15" s="66"/>
      <c r="E15" s="66"/>
      <c r="F15" s="66"/>
      <c r="G15" s="66"/>
      <c r="H15" s="66"/>
      <c r="I15" s="106"/>
      <c r="J15" s="66"/>
      <c r="K15" s="66"/>
      <c r="L15" s="66"/>
      <c r="M15" s="66">
        <v>0</v>
      </c>
      <c r="N15" s="66">
        <v>0</v>
      </c>
      <c r="O15" s="66">
        <f t="shared" si="0"/>
        <v>0</v>
      </c>
      <c r="P15" s="468"/>
    </row>
    <row r="16" spans="1:16" ht="27.95" customHeight="1">
      <c r="A16" s="169">
        <v>22109</v>
      </c>
      <c r="B16" s="66" t="s">
        <v>94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/>
      <c r="J16" s="66">
        <f>7448000+5586000</f>
        <v>13034000</v>
      </c>
      <c r="K16" s="66">
        <f>7448000+5586000</f>
        <v>13034000</v>
      </c>
      <c r="L16" s="66">
        <f>7448000+5586000</f>
        <v>13034000</v>
      </c>
      <c r="M16" s="66">
        <f>7448000+5586000</f>
        <v>13034000</v>
      </c>
      <c r="N16" s="66">
        <f>7448000+5586000</f>
        <v>13034000</v>
      </c>
      <c r="O16" s="66">
        <f t="shared" si="0"/>
        <v>0</v>
      </c>
      <c r="P16" s="468"/>
    </row>
    <row r="17" spans="1:16" ht="27.95" customHeight="1">
      <c r="A17" s="169">
        <v>22112</v>
      </c>
      <c r="B17" s="66" t="s">
        <v>16</v>
      </c>
      <c r="C17" s="66" t="s">
        <v>4</v>
      </c>
      <c r="D17" s="66">
        <v>0</v>
      </c>
      <c r="E17" s="66">
        <v>0</v>
      </c>
      <c r="F17" s="66">
        <v>3000000</v>
      </c>
      <c r="G17" s="66">
        <v>2234400</v>
      </c>
      <c r="H17" s="66">
        <v>2234400</v>
      </c>
      <c r="I17" s="66">
        <v>0</v>
      </c>
      <c r="J17" s="66">
        <f>27000000+5000000</f>
        <v>32000000</v>
      </c>
      <c r="K17" s="66">
        <f>J17*70%</f>
        <v>22400000</v>
      </c>
      <c r="L17" s="66">
        <f>K17</f>
        <v>22400000</v>
      </c>
      <c r="M17" s="66">
        <v>32400000</v>
      </c>
      <c r="N17" s="66">
        <v>63400000</v>
      </c>
      <c r="O17" s="66">
        <f t="shared" si="0"/>
        <v>31000000</v>
      </c>
      <c r="P17" s="468"/>
    </row>
    <row r="18" spans="1:16" ht="27.95" customHeight="1">
      <c r="A18" s="169">
        <v>22129</v>
      </c>
      <c r="B18" s="66" t="s">
        <v>101</v>
      </c>
      <c r="C18" s="66"/>
      <c r="D18" s="66"/>
      <c r="E18" s="66"/>
      <c r="F18" s="66"/>
      <c r="G18" s="66">
        <v>0</v>
      </c>
      <c r="H18" s="66">
        <v>100000000</v>
      </c>
      <c r="I18" s="66">
        <v>90000000</v>
      </c>
      <c r="J18" s="66">
        <v>10000000</v>
      </c>
      <c r="K18" s="66">
        <v>10000000</v>
      </c>
      <c r="L18" s="66">
        <v>0</v>
      </c>
      <c r="M18" s="66">
        <v>0</v>
      </c>
      <c r="N18" s="66">
        <v>0</v>
      </c>
      <c r="O18" s="66">
        <f t="shared" si="0"/>
        <v>0</v>
      </c>
      <c r="P18" s="468"/>
    </row>
    <row r="19" spans="1:16" ht="27.95" customHeight="1">
      <c r="A19" s="169">
        <v>22151</v>
      </c>
      <c r="B19" s="66" t="s">
        <v>637</v>
      </c>
      <c r="C19" s="106"/>
      <c r="D19" s="106"/>
      <c r="E19" s="106"/>
      <c r="F19" s="106"/>
      <c r="G19" s="106"/>
      <c r="H19" s="106"/>
      <c r="I19" s="66"/>
      <c r="J19" s="66"/>
      <c r="K19" s="66"/>
      <c r="L19" s="66">
        <v>0</v>
      </c>
      <c r="M19" s="66">
        <v>150000000</v>
      </c>
      <c r="N19" s="66">
        <v>150000000</v>
      </c>
      <c r="O19" s="66">
        <f t="shared" si="0"/>
        <v>0</v>
      </c>
      <c r="P19" s="468"/>
    </row>
    <row r="20" spans="1:16" ht="27.95" customHeight="1">
      <c r="A20" s="169"/>
      <c r="B20" s="106" t="s">
        <v>59</v>
      </c>
      <c r="C20" s="66" t="s">
        <v>4</v>
      </c>
      <c r="D20" s="66"/>
      <c r="E20" s="66"/>
      <c r="F20" s="66"/>
      <c r="G20" s="66"/>
      <c r="H20" s="66"/>
      <c r="I20" s="66">
        <v>3724000</v>
      </c>
      <c r="J20" s="106">
        <f>SUM(J9:J18)</f>
        <v>181731192</v>
      </c>
      <c r="K20" s="106">
        <f>SUM(K9:K18)</f>
        <v>147528434.40000001</v>
      </c>
      <c r="L20" s="106">
        <f>SUM(L9:L19)</f>
        <v>143654354.40000001</v>
      </c>
      <c r="M20" s="106">
        <f>SUM(M9:M19)</f>
        <v>303654354.39999998</v>
      </c>
      <c r="N20" s="106">
        <f>SUM(N9:N19)</f>
        <v>343054354.39999998</v>
      </c>
      <c r="O20" s="106">
        <f t="shared" si="0"/>
        <v>39400000</v>
      </c>
      <c r="P20" s="468"/>
    </row>
    <row r="21" spans="1:16" ht="27.95" customHeight="1">
      <c r="A21" s="249">
        <v>2220</v>
      </c>
      <c r="B21" s="106" t="s">
        <v>161</v>
      </c>
      <c r="C21" s="66">
        <v>0</v>
      </c>
      <c r="D21" s="66">
        <v>6000000</v>
      </c>
      <c r="E21" s="66">
        <v>7200000</v>
      </c>
      <c r="F21" s="66">
        <v>10000000</v>
      </c>
      <c r="G21" s="66">
        <v>11172000</v>
      </c>
      <c r="H21" s="66">
        <v>11172000</v>
      </c>
      <c r="I21" s="106">
        <f>SUM(I17:I20)</f>
        <v>93724000</v>
      </c>
      <c r="J21" s="106"/>
      <c r="K21" s="106"/>
      <c r="L21" s="106"/>
      <c r="M21" s="106"/>
      <c r="N21" s="106"/>
      <c r="O21" s="66">
        <f t="shared" si="0"/>
        <v>0</v>
      </c>
      <c r="P21" s="468"/>
    </row>
    <row r="22" spans="1:16" ht="27.95" customHeight="1">
      <c r="A22" s="169">
        <v>22202</v>
      </c>
      <c r="B22" s="66" t="s">
        <v>91</v>
      </c>
      <c r="C22" s="66">
        <v>0</v>
      </c>
      <c r="D22" s="66">
        <v>17000000</v>
      </c>
      <c r="E22" s="66">
        <v>9734400</v>
      </c>
      <c r="F22" s="66">
        <v>20000000</v>
      </c>
      <c r="G22" s="66">
        <v>18620000</v>
      </c>
      <c r="H22" s="66">
        <v>30000000</v>
      </c>
      <c r="I22" s="66"/>
      <c r="J22" s="66">
        <f>211531200+148960000</f>
        <v>360491200</v>
      </c>
      <c r="K22" s="66">
        <f>J22*70%</f>
        <v>252343839.99999997</v>
      </c>
      <c r="L22" s="66">
        <v>282343840</v>
      </c>
      <c r="M22" s="66">
        <v>302343840</v>
      </c>
      <c r="N22" s="66">
        <v>342343840</v>
      </c>
      <c r="O22" s="66">
        <f t="shared" si="0"/>
        <v>40000000</v>
      </c>
      <c r="P22" s="468"/>
    </row>
    <row r="23" spans="1:16" ht="27.95" customHeight="1">
      <c r="A23" s="169">
        <v>22203</v>
      </c>
      <c r="B23" s="66" t="s">
        <v>85</v>
      </c>
      <c r="C23" s="66">
        <v>0</v>
      </c>
      <c r="D23" s="66">
        <v>0</v>
      </c>
      <c r="E23" s="66">
        <v>14592000</v>
      </c>
      <c r="F23" s="66">
        <v>0</v>
      </c>
      <c r="G23" s="66">
        <v>0</v>
      </c>
      <c r="H23" s="66">
        <v>10000000</v>
      </c>
      <c r="I23" s="66">
        <v>0</v>
      </c>
      <c r="J23" s="66">
        <f>11172000+12000000</f>
        <v>23172000</v>
      </c>
      <c r="K23" s="66">
        <f>J23*70%</f>
        <v>16220399.999999998</v>
      </c>
      <c r="L23" s="66">
        <v>32440800</v>
      </c>
      <c r="M23" s="66">
        <f>L23</f>
        <v>32440800</v>
      </c>
      <c r="N23" s="66">
        <f>M23</f>
        <v>32440800</v>
      </c>
      <c r="O23" s="66">
        <f t="shared" si="0"/>
        <v>0</v>
      </c>
      <c r="P23" s="468"/>
    </row>
    <row r="24" spans="1:16" ht="27.95" customHeight="1">
      <c r="A24" s="169">
        <v>22204</v>
      </c>
      <c r="B24" s="66" t="s">
        <v>86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f>3724000+3724000</f>
        <v>7448000</v>
      </c>
      <c r="K24" s="66">
        <f>7448000*70%</f>
        <v>5213600</v>
      </c>
      <c r="L24" s="66">
        <f>7448000*70%</f>
        <v>5213600</v>
      </c>
      <c r="M24" s="66">
        <f>7448000*70%</f>
        <v>5213600</v>
      </c>
      <c r="N24" s="66">
        <f>7448000*70%</f>
        <v>5213600</v>
      </c>
      <c r="O24" s="66">
        <f t="shared" si="0"/>
        <v>0</v>
      </c>
      <c r="P24" s="468"/>
    </row>
    <row r="25" spans="1:16" ht="27.95" customHeight="1">
      <c r="A25" s="169">
        <v>22208</v>
      </c>
      <c r="B25" s="66" t="s">
        <v>424</v>
      </c>
      <c r="C25" s="66"/>
      <c r="D25" s="66"/>
      <c r="E25" s="66"/>
      <c r="F25" s="66"/>
      <c r="G25" s="66"/>
      <c r="H25" s="66"/>
      <c r="I25" s="66"/>
      <c r="J25" s="66"/>
      <c r="K25" s="66">
        <v>0</v>
      </c>
      <c r="L25" s="66">
        <v>280800000</v>
      </c>
      <c r="M25" s="66">
        <v>280800000</v>
      </c>
      <c r="N25" s="66">
        <v>380800000</v>
      </c>
      <c r="O25" s="66">
        <f t="shared" si="0"/>
        <v>100000000</v>
      </c>
      <c r="P25" s="468"/>
    </row>
    <row r="26" spans="1:16" ht="27.95" customHeight="1">
      <c r="A26" s="169">
        <v>22209</v>
      </c>
      <c r="B26" s="66" t="s">
        <v>145</v>
      </c>
      <c r="C26" s="66">
        <v>0</v>
      </c>
      <c r="D26" s="66">
        <v>3000000</v>
      </c>
      <c r="E26" s="66">
        <v>8000000</v>
      </c>
      <c r="F26" s="66">
        <v>10000000</v>
      </c>
      <c r="G26" s="66">
        <v>7448000</v>
      </c>
      <c r="H26" s="66">
        <v>7448000</v>
      </c>
      <c r="I26" s="66">
        <v>2979200</v>
      </c>
      <c r="J26" s="66">
        <f>14896000+8937600</f>
        <v>23833600</v>
      </c>
      <c r="K26" s="66">
        <f>23833600*70%</f>
        <v>16683519.999999998</v>
      </c>
      <c r="L26" s="66">
        <v>0</v>
      </c>
      <c r="M26" s="66">
        <v>0</v>
      </c>
      <c r="N26" s="66">
        <v>0</v>
      </c>
      <c r="O26" s="66">
        <f t="shared" si="0"/>
        <v>0</v>
      </c>
      <c r="P26" s="468"/>
    </row>
    <row r="27" spans="1:16" ht="27.95" customHeight="1">
      <c r="A27" s="169"/>
      <c r="B27" s="106" t="s">
        <v>59</v>
      </c>
      <c r="C27" s="66">
        <v>0</v>
      </c>
      <c r="D27" s="66">
        <v>0</v>
      </c>
      <c r="E27" s="66"/>
      <c r="F27" s="66">
        <v>0</v>
      </c>
      <c r="G27" s="66">
        <v>0</v>
      </c>
      <c r="H27" s="66">
        <v>0</v>
      </c>
      <c r="I27" s="66">
        <v>4468800</v>
      </c>
      <c r="J27" s="106">
        <f>SUM(J22:J26)</f>
        <v>414944800</v>
      </c>
      <c r="K27" s="106">
        <f>SUM(K22:K26)</f>
        <v>290461359.99999994</v>
      </c>
      <c r="L27" s="106">
        <f>SUM(L22:L26)</f>
        <v>600798240</v>
      </c>
      <c r="M27" s="106">
        <f>SUM(M22:M26)</f>
        <v>620798240</v>
      </c>
      <c r="N27" s="106">
        <f>SUM(N22:N26)</f>
        <v>760798240</v>
      </c>
      <c r="O27" s="106">
        <f t="shared" si="0"/>
        <v>140000000</v>
      </c>
      <c r="P27" s="468"/>
    </row>
    <row r="28" spans="1:16" ht="27.95" customHeight="1">
      <c r="A28" s="249">
        <v>2230</v>
      </c>
      <c r="B28" s="106" t="s">
        <v>88</v>
      </c>
      <c r="C28" s="66">
        <v>0</v>
      </c>
      <c r="D28" s="66">
        <v>0</v>
      </c>
      <c r="E28" s="66"/>
      <c r="F28" s="66">
        <v>0</v>
      </c>
      <c r="G28" s="66">
        <v>0</v>
      </c>
      <c r="H28" s="66">
        <v>0</v>
      </c>
      <c r="I28" s="106">
        <f>SUM(I23:I27)</f>
        <v>7448000</v>
      </c>
      <c r="J28" s="106"/>
      <c r="K28" s="106"/>
      <c r="L28" s="106"/>
      <c r="M28" s="106"/>
      <c r="N28" s="106"/>
      <c r="O28" s="66">
        <f t="shared" si="0"/>
        <v>0</v>
      </c>
      <c r="P28" s="468"/>
    </row>
    <row r="29" spans="1:16" ht="27.95" customHeight="1">
      <c r="A29" s="169">
        <v>22301</v>
      </c>
      <c r="B29" s="66" t="s">
        <v>31</v>
      </c>
      <c r="C29" s="66">
        <v>0</v>
      </c>
      <c r="D29" s="66">
        <v>0</v>
      </c>
      <c r="E29" s="66"/>
      <c r="F29" s="66">
        <v>0</v>
      </c>
      <c r="G29" s="66">
        <v>0</v>
      </c>
      <c r="H29" s="66">
        <v>0</v>
      </c>
      <c r="I29" s="66">
        <v>0</v>
      </c>
      <c r="J29" s="66">
        <f>33725600+18896000</f>
        <v>52621600</v>
      </c>
      <c r="K29" s="66">
        <f>J29*70%</f>
        <v>36835120</v>
      </c>
      <c r="L29" s="66">
        <f>K29</f>
        <v>36835120</v>
      </c>
      <c r="M29" s="66">
        <v>46835120</v>
      </c>
      <c r="N29" s="66">
        <v>46835120</v>
      </c>
      <c r="O29" s="66">
        <f t="shared" si="0"/>
        <v>0</v>
      </c>
      <c r="P29" s="468"/>
    </row>
    <row r="30" spans="1:16" ht="27.95" customHeight="1">
      <c r="A30" s="169">
        <v>22302</v>
      </c>
      <c r="B30" s="66" t="s">
        <v>162</v>
      </c>
      <c r="C30" s="66">
        <v>0</v>
      </c>
      <c r="D30" s="66">
        <v>5000000</v>
      </c>
      <c r="E30" s="66">
        <v>6400000</v>
      </c>
      <c r="F30" s="66">
        <v>10000000</v>
      </c>
      <c r="G30" s="66">
        <v>7448000</v>
      </c>
      <c r="H30" s="66">
        <v>7448000</v>
      </c>
      <c r="I30" s="66">
        <v>12661600</v>
      </c>
      <c r="J30" s="66">
        <f>2234400+8949691</f>
        <v>11184091</v>
      </c>
      <c r="K30" s="66">
        <f>11184091*70%</f>
        <v>7828863.6999999993</v>
      </c>
      <c r="L30" s="66">
        <f>11184091*70%</f>
        <v>7828863.6999999993</v>
      </c>
      <c r="M30" s="66">
        <f>11184091*70%</f>
        <v>7828863.6999999993</v>
      </c>
      <c r="N30" s="66">
        <f>11184091*70%</f>
        <v>7828863.6999999993</v>
      </c>
      <c r="O30" s="66">
        <f t="shared" si="0"/>
        <v>0</v>
      </c>
      <c r="P30" s="468"/>
    </row>
    <row r="31" spans="1:16" ht="27.95" customHeight="1">
      <c r="A31" s="169">
        <v>22314</v>
      </c>
      <c r="B31" s="66" t="s">
        <v>163</v>
      </c>
      <c r="C31" s="66">
        <v>0</v>
      </c>
      <c r="D31" s="66">
        <v>0</v>
      </c>
      <c r="E31" s="66">
        <v>28000000</v>
      </c>
      <c r="F31" s="66">
        <v>40000000</v>
      </c>
      <c r="G31" s="66">
        <v>37240000</v>
      </c>
      <c r="H31" s="66">
        <v>75000000</v>
      </c>
      <c r="I31" s="66">
        <v>0</v>
      </c>
      <c r="J31" s="66">
        <v>2979200</v>
      </c>
      <c r="K31" s="66">
        <f>2979200*70%</f>
        <v>2085439.9999999998</v>
      </c>
      <c r="L31" s="66">
        <f>2979200*70%</f>
        <v>2085439.9999999998</v>
      </c>
      <c r="M31" s="66">
        <f>2979200*70%</f>
        <v>2085439.9999999998</v>
      </c>
      <c r="N31" s="66">
        <f>2979200*70%</f>
        <v>2085439.9999999998</v>
      </c>
      <c r="O31" s="66">
        <f t="shared" si="0"/>
        <v>0</v>
      </c>
      <c r="P31" s="468"/>
    </row>
    <row r="32" spans="1:16" ht="27.95" customHeight="1">
      <c r="A32" s="169"/>
      <c r="B32" s="106" t="s">
        <v>59</v>
      </c>
      <c r="C32" s="66"/>
      <c r="D32" s="66"/>
      <c r="E32" s="66"/>
      <c r="F32" s="66">
        <v>0</v>
      </c>
      <c r="G32" s="66">
        <v>0</v>
      </c>
      <c r="H32" s="66">
        <v>0</v>
      </c>
      <c r="I32" s="106">
        <f t="shared" ref="I32:N32" si="1">SUM(I29:I31)</f>
        <v>12661600</v>
      </c>
      <c r="J32" s="106">
        <f t="shared" si="1"/>
        <v>66784891</v>
      </c>
      <c r="K32" s="106">
        <f t="shared" si="1"/>
        <v>46749423.700000003</v>
      </c>
      <c r="L32" s="106">
        <f t="shared" si="1"/>
        <v>46749423.700000003</v>
      </c>
      <c r="M32" s="106">
        <f t="shared" si="1"/>
        <v>56749423.700000003</v>
      </c>
      <c r="N32" s="106">
        <f t="shared" si="1"/>
        <v>56749423.700000003</v>
      </c>
      <c r="O32" s="106">
        <f t="shared" si="0"/>
        <v>0</v>
      </c>
      <c r="P32" s="468"/>
    </row>
    <row r="33" spans="1:16" ht="27.95" customHeight="1">
      <c r="A33" s="249">
        <v>230</v>
      </c>
      <c r="B33" s="106" t="s">
        <v>165</v>
      </c>
      <c r="C33" s="106">
        <v>0</v>
      </c>
      <c r="D33" s="106">
        <f>SUM(D21:D31)</f>
        <v>31000000</v>
      </c>
      <c r="E33" s="106">
        <f>SUM(E21:E31)</f>
        <v>73926400</v>
      </c>
      <c r="F33" s="106">
        <f>SUM(F21:F32)</f>
        <v>90000000</v>
      </c>
      <c r="G33" s="106">
        <f>SUM(G21:G32)</f>
        <v>81928000</v>
      </c>
      <c r="H33" s="106">
        <f>SUM(H21:H32)</f>
        <v>141068000</v>
      </c>
      <c r="I33" s="106" t="e">
        <f>I32+I28+I21+I14+#REF!</f>
        <v>#REF!</v>
      </c>
      <c r="J33" s="106"/>
      <c r="K33" s="106"/>
      <c r="L33" s="106"/>
      <c r="M33" s="106"/>
      <c r="N33" s="106"/>
      <c r="O33" s="66">
        <f t="shared" si="0"/>
        <v>0</v>
      </c>
      <c r="P33" s="468"/>
    </row>
    <row r="34" spans="1:16" ht="27.95" customHeight="1">
      <c r="A34" s="249">
        <v>2310</v>
      </c>
      <c r="B34" s="106" t="s">
        <v>164</v>
      </c>
      <c r="C34" s="66"/>
      <c r="D34" s="66">
        <v>0</v>
      </c>
      <c r="E34" s="66"/>
      <c r="F34" s="66"/>
      <c r="G34" s="66"/>
      <c r="H34" s="66"/>
      <c r="I34" s="66"/>
      <c r="J34" s="133"/>
      <c r="K34" s="133"/>
      <c r="L34" s="66"/>
      <c r="M34" s="66"/>
      <c r="N34" s="66"/>
      <c r="O34" s="66">
        <f t="shared" si="0"/>
        <v>0</v>
      </c>
      <c r="P34" s="468"/>
    </row>
    <row r="35" spans="1:16" ht="27.95" customHeight="1">
      <c r="A35" s="169">
        <v>23101</v>
      </c>
      <c r="B35" s="66" t="s">
        <v>172</v>
      </c>
      <c r="C35" s="66"/>
      <c r="D35" s="66" t="e">
        <f>#REF!-D34</f>
        <v>#REF!</v>
      </c>
      <c r="E35" s="66"/>
      <c r="F35" s="66"/>
      <c r="G35" s="66"/>
      <c r="H35" s="66"/>
      <c r="I35" s="66"/>
      <c r="J35" s="100">
        <f t="shared" ref="J35:N36" si="2">I35-H35</f>
        <v>0</v>
      </c>
      <c r="K35" s="100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0"/>
        <v>0</v>
      </c>
      <c r="P35" s="468"/>
    </row>
    <row r="36" spans="1:16" ht="27.95" customHeight="1">
      <c r="A36" s="169">
        <v>23102</v>
      </c>
      <c r="B36" s="66" t="s">
        <v>449</v>
      </c>
      <c r="C36" s="118"/>
      <c r="D36" s="118"/>
      <c r="E36" s="118"/>
      <c r="F36" s="118"/>
      <c r="G36" s="118"/>
      <c r="H36" s="118"/>
      <c r="I36" s="118"/>
      <c r="J36" s="100">
        <f t="shared" si="2"/>
        <v>0</v>
      </c>
      <c r="K36" s="116">
        <v>108000000</v>
      </c>
      <c r="L36" s="66"/>
      <c r="M36" s="66">
        <v>132000000</v>
      </c>
      <c r="N36" s="66">
        <v>0</v>
      </c>
      <c r="O36" s="66">
        <f t="shared" si="0"/>
        <v>-132000000</v>
      </c>
      <c r="P36" s="468"/>
    </row>
    <row r="37" spans="1:16" ht="27.95" customHeight="1">
      <c r="A37" s="169">
        <v>23103</v>
      </c>
      <c r="B37" s="66" t="s">
        <v>106</v>
      </c>
      <c r="C37" s="118"/>
      <c r="D37" s="118"/>
      <c r="E37" s="118"/>
      <c r="F37" s="118"/>
      <c r="G37" s="118"/>
      <c r="H37" s="118"/>
      <c r="I37" s="118"/>
      <c r="J37" s="116">
        <f>2979200+2234400</f>
        <v>5213600</v>
      </c>
      <c r="K37" s="116">
        <f>5213600*70%</f>
        <v>3649520</v>
      </c>
      <c r="L37" s="66">
        <v>0</v>
      </c>
      <c r="M37" s="66">
        <v>0</v>
      </c>
      <c r="N37" s="66">
        <v>0</v>
      </c>
      <c r="O37" s="66">
        <f t="shared" si="0"/>
        <v>0</v>
      </c>
      <c r="P37" s="468"/>
    </row>
    <row r="38" spans="1:16" ht="27.95" customHeight="1">
      <c r="A38" s="169">
        <v>23104</v>
      </c>
      <c r="B38" s="66" t="s">
        <v>107</v>
      </c>
      <c r="C38" s="118"/>
      <c r="D38" s="118"/>
      <c r="E38" s="118"/>
      <c r="F38" s="118"/>
      <c r="G38" s="118"/>
      <c r="H38" s="118"/>
      <c r="I38" s="118"/>
      <c r="J38" s="116">
        <f>4468800+5000000</f>
        <v>9468800</v>
      </c>
      <c r="K38" s="116">
        <f>9468800*70%</f>
        <v>6628160</v>
      </c>
      <c r="L38" s="66">
        <v>0</v>
      </c>
      <c r="M38" s="66">
        <v>0</v>
      </c>
      <c r="N38" s="66">
        <v>0</v>
      </c>
      <c r="O38" s="66">
        <f t="shared" si="0"/>
        <v>0</v>
      </c>
      <c r="P38" s="468"/>
    </row>
    <row r="39" spans="1:16" ht="27.95" customHeight="1">
      <c r="A39" s="249"/>
      <c r="B39" s="106" t="s">
        <v>59</v>
      </c>
      <c r="C39" s="118"/>
      <c r="D39" s="118"/>
      <c r="E39" s="118"/>
      <c r="F39" s="118"/>
      <c r="G39" s="118"/>
      <c r="H39" s="118"/>
      <c r="I39" s="118"/>
      <c r="J39" s="117">
        <f>SUM(J37:J38)</f>
        <v>14682400</v>
      </c>
      <c r="K39" s="117">
        <f>SUM(K35:K38)</f>
        <v>118277680</v>
      </c>
      <c r="L39" s="106">
        <f>SUM(L35:L38)</f>
        <v>0</v>
      </c>
      <c r="M39" s="106">
        <f>SUM(M35:M38)</f>
        <v>132000000</v>
      </c>
      <c r="N39" s="106">
        <f>SUM(N35:N38)</f>
        <v>0</v>
      </c>
      <c r="O39" s="106">
        <f t="shared" si="0"/>
        <v>-132000000</v>
      </c>
      <c r="P39" s="468"/>
    </row>
    <row r="40" spans="1:16" ht="27.95" customHeight="1">
      <c r="A40" s="249">
        <v>2320</v>
      </c>
      <c r="B40" s="106" t="s">
        <v>649</v>
      </c>
      <c r="C40" s="118"/>
      <c r="D40" s="118"/>
      <c r="E40" s="118"/>
      <c r="F40" s="118"/>
      <c r="G40" s="118"/>
      <c r="H40" s="118"/>
      <c r="I40" s="118"/>
      <c r="J40" s="117"/>
      <c r="K40" s="117"/>
      <c r="L40" s="106"/>
      <c r="M40" s="106"/>
      <c r="N40" s="106"/>
      <c r="O40" s="66">
        <f t="shared" si="0"/>
        <v>0</v>
      </c>
      <c r="P40" s="468"/>
    </row>
    <row r="41" spans="1:16" ht="27.95" customHeight="1">
      <c r="A41" s="169">
        <v>23201</v>
      </c>
      <c r="B41" s="66" t="s">
        <v>873</v>
      </c>
      <c r="C41" s="118"/>
      <c r="D41" s="118"/>
      <c r="E41" s="118"/>
      <c r="F41" s="118"/>
      <c r="G41" s="118"/>
      <c r="H41" s="118"/>
      <c r="I41" s="118"/>
      <c r="J41" s="117"/>
      <c r="K41" s="117"/>
      <c r="L41" s="106">
        <v>0</v>
      </c>
      <c r="M41" s="66">
        <v>300000000</v>
      </c>
      <c r="N41" s="66">
        <v>800000000</v>
      </c>
      <c r="O41" s="66">
        <f t="shared" si="0"/>
        <v>500000000</v>
      </c>
      <c r="P41" s="468"/>
    </row>
    <row r="42" spans="1:16" ht="27.95" customHeight="1">
      <c r="A42" s="169"/>
      <c r="B42" s="106" t="s">
        <v>59</v>
      </c>
      <c r="C42" s="118"/>
      <c r="D42" s="118"/>
      <c r="E42" s="118"/>
      <c r="F42" s="118"/>
      <c r="G42" s="118"/>
      <c r="H42" s="118"/>
      <c r="I42" s="118"/>
      <c r="J42" s="117"/>
      <c r="K42" s="117"/>
      <c r="L42" s="106"/>
      <c r="M42" s="106">
        <f>SUM(M41)</f>
        <v>300000000</v>
      </c>
      <c r="N42" s="106">
        <f>SUM(N41)</f>
        <v>800000000</v>
      </c>
      <c r="O42" s="106">
        <f t="shared" si="0"/>
        <v>500000000</v>
      </c>
      <c r="P42" s="468"/>
    </row>
    <row r="43" spans="1:16" ht="27.95" customHeight="1">
      <c r="A43" s="169">
        <v>2630</v>
      </c>
      <c r="B43" s="106" t="s">
        <v>854</v>
      </c>
      <c r="C43" s="118"/>
      <c r="D43" s="118"/>
      <c r="E43" s="118"/>
      <c r="F43" s="118"/>
      <c r="G43" s="118"/>
      <c r="H43" s="118"/>
      <c r="I43" s="118"/>
      <c r="J43" s="117"/>
      <c r="K43" s="117"/>
      <c r="L43" s="106"/>
      <c r="M43" s="106"/>
      <c r="N43" s="106"/>
      <c r="O43" s="106">
        <f t="shared" si="0"/>
        <v>0</v>
      </c>
      <c r="P43" s="468"/>
    </row>
    <row r="44" spans="1:16" ht="27.95" customHeight="1">
      <c r="A44" s="169">
        <v>26301</v>
      </c>
      <c r="B44" s="66" t="s">
        <v>855</v>
      </c>
      <c r="C44" s="118"/>
      <c r="D44" s="118"/>
      <c r="E44" s="118"/>
      <c r="F44" s="118"/>
      <c r="G44" s="118"/>
      <c r="H44" s="118"/>
      <c r="I44" s="118"/>
      <c r="J44" s="117"/>
      <c r="K44" s="117"/>
      <c r="L44" s="106"/>
      <c r="M44" s="106"/>
      <c r="N44" s="66">
        <v>50000000</v>
      </c>
      <c r="O44" s="66">
        <f t="shared" si="0"/>
        <v>50000000</v>
      </c>
      <c r="P44" s="468"/>
    </row>
    <row r="45" spans="1:16" ht="27.95" customHeight="1">
      <c r="A45" s="169"/>
      <c r="B45" s="106" t="s">
        <v>59</v>
      </c>
      <c r="C45" s="118"/>
      <c r="D45" s="118"/>
      <c r="E45" s="118"/>
      <c r="F45" s="118"/>
      <c r="G45" s="118"/>
      <c r="H45" s="118"/>
      <c r="I45" s="118"/>
      <c r="J45" s="117"/>
      <c r="K45" s="117"/>
      <c r="L45" s="106"/>
      <c r="M45" s="106"/>
      <c r="N45" s="106">
        <f>SUM(N44)</f>
        <v>50000000</v>
      </c>
      <c r="O45" s="66">
        <f t="shared" si="0"/>
        <v>50000000</v>
      </c>
      <c r="P45" s="468"/>
    </row>
    <row r="46" spans="1:16" ht="27.95" customHeight="1">
      <c r="A46" s="169"/>
      <c r="B46" s="106" t="s">
        <v>18</v>
      </c>
      <c r="C46" s="118"/>
      <c r="D46" s="118"/>
      <c r="E46" s="118"/>
      <c r="F46" s="118"/>
      <c r="G46" s="118"/>
      <c r="H46" s="118"/>
      <c r="I46" s="118"/>
      <c r="J46" s="117">
        <f>J39+J32+J27+J20+J8</f>
        <v>1019087283</v>
      </c>
      <c r="K46" s="117" t="e">
        <f>K39+K32+K27+K20+K8</f>
        <v>#REF!</v>
      </c>
      <c r="L46" s="106">
        <f>L39+L32+L27+L20+L8</f>
        <v>2171533218.0999999</v>
      </c>
      <c r="M46" s="106">
        <f>M39+M32+M27+M20+M8+M42</f>
        <v>3318687778.0999999</v>
      </c>
      <c r="N46" s="106">
        <f>N45+N42+N39+N32+N27+N20+N8</f>
        <v>4103474978.0999999</v>
      </c>
      <c r="O46" s="106">
        <f t="shared" si="0"/>
        <v>784787200</v>
      </c>
      <c r="P46" s="468"/>
    </row>
  </sheetData>
  <pageMargins left="0.67" right="0.31" top="0.75" bottom="0.45" header="0.3" footer="0.22"/>
  <pageSetup scale="54" orientation="portrait" r:id="rId1"/>
  <headerFooter>
    <oddHeader>&amp;C&amp;"Algerian,Bold"&amp;36WASAARADdA SHAQADA IYO ARIMAHA BULSHADA</oddHeader>
    <oddFooter>&amp;R&amp;"Times New Roman,Bold"&amp;14 47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</sheetPr>
  <dimension ref="A1:Q50"/>
  <sheetViews>
    <sheetView view="pageBreakPreview" topLeftCell="A31" zoomScale="61" zoomScaleSheetLayoutView="61" workbookViewId="0">
      <selection activeCell="O17" sqref="O17"/>
    </sheetView>
  </sheetViews>
  <sheetFormatPr defaultRowHeight="26.1" customHeight="1"/>
  <cols>
    <col min="1" max="1" width="18.1640625" style="376" bestFit="1" customWidth="1"/>
    <col min="2" max="2" width="81.6640625" style="181" bestFit="1" customWidth="1"/>
    <col min="3" max="11" width="9.33203125" style="181" hidden="1" customWidth="1"/>
    <col min="12" max="12" width="18.5" style="181" hidden="1" customWidth="1"/>
    <col min="13" max="14" width="27.6640625" style="181" hidden="1" customWidth="1"/>
    <col min="15" max="15" width="27.6640625" style="181" bestFit="1" customWidth="1"/>
    <col min="16" max="16" width="27.6640625" style="181" customWidth="1"/>
    <col min="17" max="17" width="27.6640625" style="181" bestFit="1" customWidth="1"/>
    <col min="18" max="16384" width="9.33203125" style="181"/>
  </cols>
  <sheetData>
    <row r="1" spans="1:17" ht="26.1" customHeight="1">
      <c r="A1" s="353" t="s">
        <v>20</v>
      </c>
      <c r="B1" s="354" t="s">
        <v>803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6.1" customHeight="1">
      <c r="A2" s="353" t="s">
        <v>6</v>
      </c>
      <c r="B2" s="354" t="s">
        <v>1</v>
      </c>
      <c r="C2" s="251" t="s">
        <v>25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41</v>
      </c>
      <c r="I2" s="256" t="s">
        <v>66</v>
      </c>
      <c r="J2" s="256" t="s">
        <v>71</v>
      </c>
      <c r="K2" s="256" t="s">
        <v>75</v>
      </c>
      <c r="L2" s="256" t="s">
        <v>110</v>
      </c>
      <c r="M2" s="256" t="s">
        <v>166</v>
      </c>
      <c r="N2" s="256" t="s">
        <v>538</v>
      </c>
      <c r="O2" s="256" t="s">
        <v>607</v>
      </c>
      <c r="P2" s="256" t="s">
        <v>722</v>
      </c>
      <c r="Q2" s="256" t="s">
        <v>34</v>
      </c>
    </row>
    <row r="3" spans="1:17" ht="26.1" customHeight="1">
      <c r="A3" s="249">
        <v>210</v>
      </c>
      <c r="B3" s="106" t="s">
        <v>95</v>
      </c>
      <c r="C3" s="251"/>
      <c r="D3" s="251"/>
      <c r="E3" s="251"/>
      <c r="F3" s="251"/>
      <c r="G3" s="251"/>
      <c r="H3" s="251"/>
      <c r="I3" s="251"/>
      <c r="J3" s="251"/>
      <c r="K3" s="251"/>
      <c r="L3" s="118"/>
      <c r="M3" s="118"/>
      <c r="N3" s="118"/>
      <c r="O3" s="118"/>
      <c r="P3" s="118"/>
      <c r="Q3" s="118"/>
    </row>
    <row r="4" spans="1:17" ht="26.1" customHeight="1">
      <c r="A4" s="249">
        <v>2110</v>
      </c>
      <c r="B4" s="106" t="s">
        <v>155</v>
      </c>
      <c r="C4" s="100">
        <v>0</v>
      </c>
      <c r="D4" s="100">
        <v>45168000</v>
      </c>
      <c r="E4" s="100">
        <v>82272000</v>
      </c>
      <c r="F4" s="100">
        <v>82272000</v>
      </c>
      <c r="G4" s="100">
        <v>167590800</v>
      </c>
      <c r="H4" s="100">
        <f>135236400+4149600+27000000+3000000</f>
        <v>169386000</v>
      </c>
      <c r="I4" s="100">
        <f>169386000+6000000+4149600</f>
        <v>179535600</v>
      </c>
      <c r="J4" s="100"/>
      <c r="K4" s="100"/>
      <c r="L4" s="100"/>
      <c r="M4" s="66"/>
      <c r="N4" s="66"/>
      <c r="O4" s="66"/>
      <c r="P4" s="66"/>
      <c r="Q4" s="66"/>
    </row>
    <row r="5" spans="1:17" ht="26.1" customHeight="1">
      <c r="A5" s="169">
        <v>21101</v>
      </c>
      <c r="B5" s="66" t="s">
        <v>9</v>
      </c>
      <c r="C5" s="100">
        <v>0</v>
      </c>
      <c r="D5" s="100">
        <v>24500000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37471200</v>
      </c>
      <c r="L5" s="100">
        <f>416952000+321662671</f>
        <v>738614671</v>
      </c>
      <c r="M5" s="100" t="e">
        <f>#REF!+36000000</f>
        <v>#REF!</v>
      </c>
      <c r="N5" s="100">
        <v>1087912800</v>
      </c>
      <c r="O5" s="100">
        <v>1496401920</v>
      </c>
      <c r="P5" s="100">
        <v>1594644480</v>
      </c>
      <c r="Q5" s="100">
        <f>P5-O5</f>
        <v>98242560</v>
      </c>
    </row>
    <row r="6" spans="1:17" ht="26.1" customHeight="1">
      <c r="A6" s="169">
        <v>21102</v>
      </c>
      <c r="B6" s="66" t="s">
        <v>472</v>
      </c>
      <c r="C6" s="66">
        <v>0</v>
      </c>
      <c r="D6" s="66">
        <v>10800000</v>
      </c>
      <c r="E6" s="66">
        <v>14400000</v>
      </c>
      <c r="F6" s="66">
        <v>14400000</v>
      </c>
      <c r="G6" s="66">
        <v>14400000</v>
      </c>
      <c r="H6" s="66">
        <f>14400000+16200000+720000</f>
        <v>31320000</v>
      </c>
      <c r="I6" s="66">
        <f>31320000+720000+3960000</f>
        <v>36000000</v>
      </c>
      <c r="J6" s="100">
        <v>0</v>
      </c>
      <c r="K6" s="100">
        <v>0</v>
      </c>
      <c r="L6" s="100">
        <v>66000000</v>
      </c>
      <c r="M6" s="100">
        <v>132000000</v>
      </c>
      <c r="N6" s="100">
        <v>349200000</v>
      </c>
      <c r="O6" s="100">
        <v>349200000</v>
      </c>
      <c r="P6" s="100">
        <v>349200000</v>
      </c>
      <c r="Q6" s="100">
        <f t="shared" ref="Q6:Q48" si="0">P6-O6</f>
        <v>0</v>
      </c>
    </row>
    <row r="7" spans="1:17" ht="26.1" customHeight="1">
      <c r="A7" s="169">
        <v>21103</v>
      </c>
      <c r="B7" s="66" t="s">
        <v>11</v>
      </c>
      <c r="C7" s="106">
        <v>0</v>
      </c>
      <c r="D7" s="106">
        <f>SUM(D4:D6)</f>
        <v>80468000</v>
      </c>
      <c r="E7" s="106">
        <f>SUM(E4:E6)</f>
        <v>96672000</v>
      </c>
      <c r="F7" s="106">
        <f>SUM(F4:F6)</f>
        <v>96672000</v>
      </c>
      <c r="G7" s="106">
        <f>SUM(G4:G6)</f>
        <v>181990800</v>
      </c>
      <c r="H7" s="106">
        <f>SUM(H4:H6)</f>
        <v>200706000</v>
      </c>
      <c r="I7" s="66">
        <v>0</v>
      </c>
      <c r="J7" s="66">
        <v>0</v>
      </c>
      <c r="K7" s="66">
        <v>34800000</v>
      </c>
      <c r="L7" s="100">
        <v>63000000</v>
      </c>
      <c r="M7" s="100">
        <v>84600000</v>
      </c>
      <c r="N7" s="100">
        <v>151200000</v>
      </c>
      <c r="O7" s="100">
        <v>216000000</v>
      </c>
      <c r="P7" s="100">
        <v>216000000</v>
      </c>
      <c r="Q7" s="100">
        <f t="shared" si="0"/>
        <v>0</v>
      </c>
    </row>
    <row r="8" spans="1:17" ht="26.1" customHeight="1">
      <c r="A8" s="169">
        <v>21105</v>
      </c>
      <c r="B8" s="66" t="s">
        <v>399</v>
      </c>
      <c r="C8" s="106"/>
      <c r="D8" s="106"/>
      <c r="E8" s="106"/>
      <c r="F8" s="106"/>
      <c r="G8" s="106"/>
      <c r="H8" s="106"/>
      <c r="I8" s="66"/>
      <c r="J8" s="66"/>
      <c r="K8" s="66"/>
      <c r="L8" s="100"/>
      <c r="M8" s="100"/>
      <c r="N8" s="100">
        <v>13500000</v>
      </c>
      <c r="O8" s="100">
        <v>215100000</v>
      </c>
      <c r="P8" s="100">
        <v>215100000</v>
      </c>
      <c r="Q8" s="100">
        <f t="shared" si="0"/>
        <v>0</v>
      </c>
    </row>
    <row r="9" spans="1:17" ht="26.1" customHeight="1">
      <c r="A9" s="169"/>
      <c r="B9" s="106" t="s">
        <v>59</v>
      </c>
      <c r="C9" s="106">
        <v>0</v>
      </c>
      <c r="D9" s="106" t="e">
        <f>SUM(#REF!)</f>
        <v>#REF!</v>
      </c>
      <c r="E9" s="106" t="e">
        <f>SUM(#REF!)</f>
        <v>#REF!</v>
      </c>
      <c r="F9" s="106" t="e">
        <f>SUM(#REF!)</f>
        <v>#REF!</v>
      </c>
      <c r="G9" s="106" t="e">
        <f>SUM(#REF!)</f>
        <v>#REF!</v>
      </c>
      <c r="H9" s="106" t="e">
        <f>SUM(#REF!)</f>
        <v>#REF!</v>
      </c>
      <c r="I9" s="66">
        <v>0</v>
      </c>
      <c r="J9" s="106">
        <f>SUM(J5:J7)</f>
        <v>0</v>
      </c>
      <c r="K9" s="106">
        <f>SUM(K5:K7)</f>
        <v>72271200</v>
      </c>
      <c r="L9" s="105">
        <f>SUM(L5:L7)</f>
        <v>867614671</v>
      </c>
      <c r="M9" s="105" t="e">
        <f>SUM(M5:M7)</f>
        <v>#REF!</v>
      </c>
      <c r="N9" s="105">
        <f>SUM(N5:N8)</f>
        <v>1601812800</v>
      </c>
      <c r="O9" s="105">
        <f>SUM(O5:O8)</f>
        <v>2276701920</v>
      </c>
      <c r="P9" s="105">
        <f>SUM(P5:P8)</f>
        <v>2374944480</v>
      </c>
      <c r="Q9" s="105">
        <f t="shared" si="0"/>
        <v>98242560</v>
      </c>
    </row>
    <row r="10" spans="1:17" ht="26.1" customHeight="1">
      <c r="A10" s="249">
        <v>220</v>
      </c>
      <c r="B10" s="106" t="s">
        <v>159</v>
      </c>
      <c r="C10" s="66" t="s">
        <v>4</v>
      </c>
      <c r="D10" s="66"/>
      <c r="E10" s="66"/>
      <c r="F10" s="66"/>
      <c r="G10" s="66"/>
      <c r="H10" s="66"/>
      <c r="I10" s="66">
        <v>0</v>
      </c>
      <c r="J10" s="66"/>
      <c r="K10" s="66"/>
      <c r="L10" s="100"/>
      <c r="M10" s="100"/>
      <c r="N10" s="100"/>
      <c r="O10" s="100"/>
      <c r="P10" s="100"/>
      <c r="Q10" s="100">
        <f t="shared" si="0"/>
        <v>0</v>
      </c>
    </row>
    <row r="11" spans="1:17" ht="26.1" customHeight="1">
      <c r="A11" s="249">
        <v>2210</v>
      </c>
      <c r="B11" s="106" t="s">
        <v>160</v>
      </c>
      <c r="C11" s="66">
        <v>0</v>
      </c>
      <c r="D11" s="66">
        <v>22600000</v>
      </c>
      <c r="E11" s="66">
        <v>0</v>
      </c>
      <c r="F11" s="66">
        <v>0</v>
      </c>
      <c r="G11" s="66">
        <v>0</v>
      </c>
      <c r="H11" s="66">
        <v>0</v>
      </c>
      <c r="I11" s="66">
        <v>7448000</v>
      </c>
      <c r="J11" s="66"/>
      <c r="K11" s="66"/>
      <c r="L11" s="100"/>
      <c r="M11" s="100"/>
      <c r="N11" s="100"/>
      <c r="O11" s="100"/>
      <c r="P11" s="100"/>
      <c r="Q11" s="100">
        <f t="shared" si="0"/>
        <v>0</v>
      </c>
    </row>
    <row r="12" spans="1:17" ht="26.1" customHeight="1">
      <c r="A12" s="169">
        <v>22101</v>
      </c>
      <c r="B12" s="66" t="s">
        <v>14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7448000</v>
      </c>
      <c r="J12" s="66">
        <v>0</v>
      </c>
      <c r="K12" s="66">
        <v>40000000</v>
      </c>
      <c r="L12" s="100">
        <v>11172000</v>
      </c>
      <c r="M12" s="100">
        <f>11172000*70%</f>
        <v>7820399.9999999991</v>
      </c>
      <c r="N12" s="100">
        <v>28000000</v>
      </c>
      <c r="O12" s="100">
        <v>28000000</v>
      </c>
      <c r="P12" s="100">
        <v>48000000</v>
      </c>
      <c r="Q12" s="100">
        <f t="shared" si="0"/>
        <v>20000000</v>
      </c>
    </row>
    <row r="13" spans="1:17" ht="26.1" customHeight="1">
      <c r="A13" s="169">
        <v>22104</v>
      </c>
      <c r="B13" s="66" t="s">
        <v>116</v>
      </c>
      <c r="C13" s="66"/>
      <c r="D13" s="66"/>
      <c r="E13" s="66"/>
      <c r="F13" s="66"/>
      <c r="G13" s="66"/>
      <c r="H13" s="66"/>
      <c r="I13" s="66">
        <v>37240000</v>
      </c>
      <c r="J13" s="66">
        <v>0</v>
      </c>
      <c r="K13" s="66">
        <v>15000000</v>
      </c>
      <c r="L13" s="100">
        <v>18620000</v>
      </c>
      <c r="M13" s="100">
        <f>18620000*70%</f>
        <v>13034000</v>
      </c>
      <c r="N13" s="100">
        <f>18620000*70%</f>
        <v>13034000</v>
      </c>
      <c r="O13" s="100">
        <f>18620000*70%</f>
        <v>13034000</v>
      </c>
      <c r="P13" s="100">
        <v>18034000</v>
      </c>
      <c r="Q13" s="100">
        <f t="shared" si="0"/>
        <v>5000000</v>
      </c>
    </row>
    <row r="14" spans="1:17" ht="26.1" customHeight="1">
      <c r="A14" s="169">
        <v>21105</v>
      </c>
      <c r="B14" s="66" t="s">
        <v>582</v>
      </c>
      <c r="C14" s="66"/>
      <c r="D14" s="66"/>
      <c r="E14" s="66"/>
      <c r="F14" s="66"/>
      <c r="G14" s="66"/>
      <c r="H14" s="66"/>
      <c r="I14" s="66"/>
      <c r="J14" s="66"/>
      <c r="K14" s="66"/>
      <c r="L14" s="100">
        <v>15640800</v>
      </c>
      <c r="M14" s="100">
        <f>15640800*70%</f>
        <v>10948560</v>
      </c>
      <c r="N14" s="100">
        <v>72000000</v>
      </c>
      <c r="O14" s="100">
        <v>0</v>
      </c>
      <c r="P14" s="100">
        <v>50000000</v>
      </c>
      <c r="Q14" s="100">
        <f t="shared" si="0"/>
        <v>50000000</v>
      </c>
    </row>
    <row r="15" spans="1:17" ht="26.1" customHeight="1">
      <c r="A15" s="169">
        <v>22106</v>
      </c>
      <c r="B15" s="66" t="s">
        <v>84</v>
      </c>
      <c r="C15" s="66">
        <v>0</v>
      </c>
      <c r="D15" s="66">
        <v>4000000</v>
      </c>
      <c r="E15" s="66">
        <v>8000000</v>
      </c>
      <c r="F15" s="66">
        <v>17000000</v>
      </c>
      <c r="G15" s="66">
        <v>12661600</v>
      </c>
      <c r="H15" s="66">
        <v>25000000</v>
      </c>
      <c r="I15" s="106">
        <f>SUM(I9:I13)</f>
        <v>52136000</v>
      </c>
      <c r="J15" s="66">
        <v>0</v>
      </c>
      <c r="K15" s="66">
        <v>0</v>
      </c>
      <c r="L15" s="100">
        <v>4468800</v>
      </c>
      <c r="M15" s="100">
        <f>4468800*70%</f>
        <v>3128160</v>
      </c>
      <c r="N15" s="100">
        <v>0</v>
      </c>
      <c r="O15" s="100">
        <v>0</v>
      </c>
      <c r="P15" s="100">
        <v>0</v>
      </c>
      <c r="Q15" s="100">
        <f t="shared" si="0"/>
        <v>0</v>
      </c>
    </row>
    <row r="16" spans="1:17" ht="26.1" customHeight="1">
      <c r="A16" s="169">
        <v>22107</v>
      </c>
      <c r="B16" s="66" t="s">
        <v>268</v>
      </c>
      <c r="C16" s="66"/>
      <c r="D16" s="66"/>
      <c r="E16" s="66"/>
      <c r="F16" s="66"/>
      <c r="G16" s="66"/>
      <c r="H16" s="66"/>
      <c r="I16" s="106"/>
      <c r="J16" s="66"/>
      <c r="K16" s="66"/>
      <c r="L16" s="100">
        <v>22344000</v>
      </c>
      <c r="M16" s="100">
        <f>L16*70%</f>
        <v>15640799.999999998</v>
      </c>
      <c r="N16" s="100">
        <v>150948560</v>
      </c>
      <c r="O16" s="100">
        <v>150948560</v>
      </c>
      <c r="P16" s="100">
        <v>170948560</v>
      </c>
      <c r="Q16" s="100">
        <f t="shared" si="0"/>
        <v>20000000</v>
      </c>
    </row>
    <row r="17" spans="1:17" ht="26.1" customHeight="1">
      <c r="A17" s="169">
        <v>22109</v>
      </c>
      <c r="B17" s="66" t="s">
        <v>94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/>
      <c r="J17" s="66">
        <v>0</v>
      </c>
      <c r="K17" s="66">
        <v>5000000</v>
      </c>
      <c r="L17" s="100">
        <v>8937600</v>
      </c>
      <c r="M17" s="100">
        <f>8937600*70%</f>
        <v>6256320</v>
      </c>
      <c r="N17" s="100">
        <f>8937600*70%</f>
        <v>6256320</v>
      </c>
      <c r="O17" s="100">
        <f>8937600*70%</f>
        <v>6256320</v>
      </c>
      <c r="P17" s="100">
        <f>8937600*70%</f>
        <v>6256320</v>
      </c>
      <c r="Q17" s="100">
        <f t="shared" si="0"/>
        <v>0</v>
      </c>
    </row>
    <row r="18" spans="1:17" ht="26.1" customHeight="1">
      <c r="A18" s="169">
        <v>22112</v>
      </c>
      <c r="B18" s="66" t="s">
        <v>16</v>
      </c>
      <c r="C18" s="66" t="s">
        <v>4</v>
      </c>
      <c r="D18" s="66">
        <v>0</v>
      </c>
      <c r="E18" s="66">
        <v>0</v>
      </c>
      <c r="F18" s="66">
        <v>3000000</v>
      </c>
      <c r="G18" s="66">
        <v>2234400</v>
      </c>
      <c r="H18" s="66">
        <v>2234400</v>
      </c>
      <c r="I18" s="66">
        <v>0</v>
      </c>
      <c r="J18" s="66">
        <v>0</v>
      </c>
      <c r="K18" s="66">
        <v>12000000</v>
      </c>
      <c r="L18" s="100">
        <v>13406400</v>
      </c>
      <c r="M18" s="100">
        <f>13406400*70%</f>
        <v>9384480</v>
      </c>
      <c r="N18" s="100">
        <v>39384480</v>
      </c>
      <c r="O18" s="100">
        <v>39384480</v>
      </c>
      <c r="P18" s="100">
        <v>49384480</v>
      </c>
      <c r="Q18" s="100">
        <f t="shared" si="0"/>
        <v>10000000</v>
      </c>
    </row>
    <row r="19" spans="1:17" ht="26.1" customHeight="1">
      <c r="A19" s="169">
        <v>22119</v>
      </c>
      <c r="B19" s="66" t="s">
        <v>674</v>
      </c>
      <c r="C19" s="66"/>
      <c r="D19" s="66"/>
      <c r="E19" s="66"/>
      <c r="F19" s="66"/>
      <c r="G19" s="66"/>
      <c r="H19" s="66"/>
      <c r="I19" s="66"/>
      <c r="J19" s="66"/>
      <c r="K19" s="66"/>
      <c r="L19" s="100"/>
      <c r="M19" s="100"/>
      <c r="N19" s="100"/>
      <c r="O19" s="100">
        <v>99094050</v>
      </c>
      <c r="P19" s="100">
        <v>99094050</v>
      </c>
      <c r="Q19" s="100">
        <f t="shared" si="0"/>
        <v>0</v>
      </c>
    </row>
    <row r="20" spans="1:17" ht="26.1" customHeight="1">
      <c r="A20" s="169">
        <v>22125</v>
      </c>
      <c r="B20" s="66" t="s">
        <v>675</v>
      </c>
      <c r="C20" s="66"/>
      <c r="D20" s="66"/>
      <c r="E20" s="66"/>
      <c r="F20" s="66"/>
      <c r="G20" s="66"/>
      <c r="H20" s="66"/>
      <c r="I20" s="66"/>
      <c r="J20" s="66"/>
      <c r="K20" s="66"/>
      <c r="L20" s="100"/>
      <c r="M20" s="100"/>
      <c r="N20" s="100"/>
      <c r="O20" s="100">
        <v>180000000</v>
      </c>
      <c r="P20" s="100">
        <v>180000000</v>
      </c>
      <c r="Q20" s="100">
        <f t="shared" si="0"/>
        <v>0</v>
      </c>
    </row>
    <row r="21" spans="1:17" ht="26.1" customHeight="1">
      <c r="A21" s="169">
        <v>22132</v>
      </c>
      <c r="B21" s="66" t="s">
        <v>872</v>
      </c>
      <c r="C21" s="106">
        <v>0</v>
      </c>
      <c r="D21" s="106">
        <f>SUM(D15:D18)</f>
        <v>4000000</v>
      </c>
      <c r="E21" s="106">
        <f>SUM(E15:E18)</f>
        <v>8000000</v>
      </c>
      <c r="F21" s="106">
        <f>SUM(F15:F18)</f>
        <v>20000000</v>
      </c>
      <c r="G21" s="106">
        <f>SUM(G15:G18)</f>
        <v>14896000</v>
      </c>
      <c r="H21" s="106">
        <f>SUM(H15:H18)</f>
        <v>27234400</v>
      </c>
      <c r="I21" s="66">
        <v>11172000</v>
      </c>
      <c r="J21" s="66">
        <v>0</v>
      </c>
      <c r="K21" s="66">
        <v>10000000</v>
      </c>
      <c r="L21" s="100">
        <v>339844800</v>
      </c>
      <c r="M21" s="100">
        <f>339844800*70%+130200000</f>
        <v>368091360</v>
      </c>
      <c r="N21" s="100">
        <v>0</v>
      </c>
      <c r="O21" s="100">
        <v>0</v>
      </c>
      <c r="P21" s="100">
        <v>100000000</v>
      </c>
      <c r="Q21" s="100">
        <f t="shared" si="0"/>
        <v>100000000</v>
      </c>
    </row>
    <row r="22" spans="1:17" ht="26.1" customHeight="1">
      <c r="A22" s="169">
        <v>22136</v>
      </c>
      <c r="B22" s="66" t="s">
        <v>450</v>
      </c>
      <c r="C22" s="106"/>
      <c r="D22" s="106"/>
      <c r="E22" s="106"/>
      <c r="F22" s="106"/>
      <c r="G22" s="106"/>
      <c r="H22" s="106"/>
      <c r="I22" s="66"/>
      <c r="J22" s="66"/>
      <c r="K22" s="66"/>
      <c r="L22" s="100"/>
      <c r="M22" s="100">
        <v>0</v>
      </c>
      <c r="N22" s="100">
        <v>420000000</v>
      </c>
      <c r="O22" s="100">
        <v>420000000</v>
      </c>
      <c r="P22" s="100">
        <v>520000000</v>
      </c>
      <c r="Q22" s="100">
        <f t="shared" si="0"/>
        <v>100000000</v>
      </c>
    </row>
    <row r="23" spans="1:17" ht="26.1" customHeight="1">
      <c r="A23" s="169">
        <v>22137</v>
      </c>
      <c r="B23" s="66" t="s">
        <v>269</v>
      </c>
      <c r="C23" s="106"/>
      <c r="D23" s="106"/>
      <c r="E23" s="106"/>
      <c r="F23" s="106"/>
      <c r="G23" s="106"/>
      <c r="H23" s="106"/>
      <c r="I23" s="66"/>
      <c r="J23" s="66"/>
      <c r="K23" s="66"/>
      <c r="L23" s="100">
        <v>11172000</v>
      </c>
      <c r="M23" s="100">
        <f>11172000*70%</f>
        <v>7820399.9999999991</v>
      </c>
      <c r="N23" s="100">
        <v>27820400</v>
      </c>
      <c r="O23" s="100">
        <v>27820400</v>
      </c>
      <c r="P23" s="100">
        <v>27820400</v>
      </c>
      <c r="Q23" s="100">
        <f t="shared" si="0"/>
        <v>0</v>
      </c>
    </row>
    <row r="24" spans="1:17" ht="26.1" customHeight="1">
      <c r="A24" s="169">
        <v>22141</v>
      </c>
      <c r="B24" s="66" t="s">
        <v>395</v>
      </c>
      <c r="C24" s="106"/>
      <c r="D24" s="106"/>
      <c r="E24" s="106"/>
      <c r="F24" s="106"/>
      <c r="G24" s="106"/>
      <c r="H24" s="106"/>
      <c r="I24" s="66"/>
      <c r="J24" s="66"/>
      <c r="K24" s="66"/>
      <c r="L24" s="100"/>
      <c r="M24" s="100">
        <v>0</v>
      </c>
      <c r="N24" s="100">
        <v>7981650</v>
      </c>
      <c r="O24" s="100">
        <v>0</v>
      </c>
      <c r="P24" s="100">
        <v>0</v>
      </c>
      <c r="Q24" s="100">
        <f t="shared" si="0"/>
        <v>0</v>
      </c>
    </row>
    <row r="25" spans="1:17" ht="26.1" customHeight="1">
      <c r="A25" s="169"/>
      <c r="B25" s="106" t="s">
        <v>59</v>
      </c>
      <c r="C25" s="66" t="s">
        <v>4</v>
      </c>
      <c r="D25" s="66"/>
      <c r="E25" s="66"/>
      <c r="F25" s="66"/>
      <c r="G25" s="66"/>
      <c r="H25" s="66"/>
      <c r="I25" s="66">
        <v>3724000</v>
      </c>
      <c r="J25" s="106">
        <f>SUM(J10:J21)</f>
        <v>0</v>
      </c>
      <c r="K25" s="106">
        <f>SUM(K12:K21)</f>
        <v>82000000</v>
      </c>
      <c r="L25" s="105">
        <f>SUM(L12:L23)</f>
        <v>445606400</v>
      </c>
      <c r="M25" s="105">
        <f>SUM(M12:M23)</f>
        <v>442124480</v>
      </c>
      <c r="N25" s="105">
        <f>SUM(N12:N24)</f>
        <v>765425410</v>
      </c>
      <c r="O25" s="105">
        <f>SUM(O12:O24)</f>
        <v>964537810</v>
      </c>
      <c r="P25" s="105">
        <f>SUM(P12:P24)</f>
        <v>1269537810</v>
      </c>
      <c r="Q25" s="105">
        <f t="shared" si="0"/>
        <v>305000000</v>
      </c>
    </row>
    <row r="26" spans="1:17" ht="26.1" customHeight="1">
      <c r="A26" s="249">
        <v>220</v>
      </c>
      <c r="B26" s="106" t="s">
        <v>161</v>
      </c>
      <c r="C26" s="66">
        <v>0</v>
      </c>
      <c r="D26" s="66">
        <v>6000000</v>
      </c>
      <c r="E26" s="66">
        <v>7200000</v>
      </c>
      <c r="F26" s="66">
        <v>10000000</v>
      </c>
      <c r="G26" s="66">
        <v>11172000</v>
      </c>
      <c r="H26" s="66">
        <v>11172000</v>
      </c>
      <c r="I26" s="106">
        <f>SUM(I18:I25)</f>
        <v>14896000</v>
      </c>
      <c r="J26" s="106"/>
      <c r="K26" s="106"/>
      <c r="L26" s="100"/>
      <c r="M26" s="100"/>
      <c r="N26" s="100"/>
      <c r="O26" s="100"/>
      <c r="P26" s="100"/>
      <c r="Q26" s="100">
        <f t="shared" si="0"/>
        <v>0</v>
      </c>
    </row>
    <row r="27" spans="1:17" ht="26.1" customHeight="1">
      <c r="A27" s="169">
        <v>22201</v>
      </c>
      <c r="B27" s="66" t="s">
        <v>270</v>
      </c>
      <c r="C27" s="66"/>
      <c r="D27" s="66"/>
      <c r="E27" s="66"/>
      <c r="F27" s="66"/>
      <c r="G27" s="66"/>
      <c r="H27" s="66"/>
      <c r="I27" s="106"/>
      <c r="J27" s="106"/>
      <c r="K27" s="106"/>
      <c r="L27" s="100">
        <v>44688000</v>
      </c>
      <c r="M27" s="100">
        <f>44688000*70%</f>
        <v>31281599.999999996</v>
      </c>
      <c r="N27" s="100">
        <f>44688000*70%</f>
        <v>31281599.999999996</v>
      </c>
      <c r="O27" s="100">
        <f>44688000*70%</f>
        <v>31281599.999999996</v>
      </c>
      <c r="P27" s="100">
        <v>131281600</v>
      </c>
      <c r="Q27" s="100">
        <f t="shared" si="0"/>
        <v>100000000</v>
      </c>
    </row>
    <row r="28" spans="1:17" ht="26.1" customHeight="1">
      <c r="A28" s="169">
        <v>22202</v>
      </c>
      <c r="B28" s="66" t="s">
        <v>91</v>
      </c>
      <c r="C28" s="66">
        <v>0</v>
      </c>
      <c r="D28" s="66">
        <v>17000000</v>
      </c>
      <c r="E28" s="66">
        <v>9734400</v>
      </c>
      <c r="F28" s="66">
        <v>20000000</v>
      </c>
      <c r="G28" s="66">
        <v>18620000</v>
      </c>
      <c r="H28" s="66">
        <v>30000000</v>
      </c>
      <c r="I28" s="66"/>
      <c r="J28" s="66">
        <v>0</v>
      </c>
      <c r="K28" s="66">
        <v>150000000</v>
      </c>
      <c r="L28" s="100">
        <v>187340000</v>
      </c>
      <c r="M28" s="100">
        <f>187340000*70%</f>
        <v>131137999.99999999</v>
      </c>
      <c r="N28" s="100">
        <v>261138000</v>
      </c>
      <c r="O28" s="100">
        <v>261138000</v>
      </c>
      <c r="P28" s="100">
        <v>261138000</v>
      </c>
      <c r="Q28" s="100">
        <f t="shared" si="0"/>
        <v>0</v>
      </c>
    </row>
    <row r="29" spans="1:17" ht="26.1" customHeight="1">
      <c r="A29" s="169">
        <v>22203</v>
      </c>
      <c r="B29" s="66" t="s">
        <v>85</v>
      </c>
      <c r="C29" s="66">
        <v>0</v>
      </c>
      <c r="D29" s="66">
        <v>0</v>
      </c>
      <c r="E29" s="66">
        <v>14592000</v>
      </c>
      <c r="F29" s="66">
        <v>0</v>
      </c>
      <c r="G29" s="66">
        <v>0</v>
      </c>
      <c r="H29" s="66">
        <v>10000000</v>
      </c>
      <c r="I29" s="66">
        <v>0</v>
      </c>
      <c r="J29" s="66">
        <v>0</v>
      </c>
      <c r="K29" s="66">
        <v>18000000</v>
      </c>
      <c r="L29" s="100">
        <v>14896000</v>
      </c>
      <c r="M29" s="100">
        <f>14896000*70%</f>
        <v>10427200</v>
      </c>
      <c r="N29" s="100">
        <f>14896000*70%</f>
        <v>10427200</v>
      </c>
      <c r="O29" s="100">
        <f>14896000*70%</f>
        <v>10427200</v>
      </c>
      <c r="P29" s="100">
        <v>30427200</v>
      </c>
      <c r="Q29" s="100">
        <f t="shared" si="0"/>
        <v>20000000</v>
      </c>
    </row>
    <row r="30" spans="1:17" ht="26.1" customHeight="1">
      <c r="A30" s="169">
        <v>22204</v>
      </c>
      <c r="B30" s="66" t="s">
        <v>86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3000000</v>
      </c>
      <c r="L30" s="100">
        <v>5213600</v>
      </c>
      <c r="M30" s="100">
        <f>5213600*70%</f>
        <v>3649520</v>
      </c>
      <c r="N30" s="100">
        <f>5213600*70%</f>
        <v>3649520</v>
      </c>
      <c r="O30" s="100">
        <f>5213600*70%</f>
        <v>3649520</v>
      </c>
      <c r="P30" s="100">
        <v>8649520</v>
      </c>
      <c r="Q30" s="100">
        <f t="shared" si="0"/>
        <v>5000000</v>
      </c>
    </row>
    <row r="31" spans="1:17" ht="26.1" customHeight="1">
      <c r="A31" s="169">
        <v>22209</v>
      </c>
      <c r="B31" s="66" t="s">
        <v>145</v>
      </c>
      <c r="C31" s="66">
        <v>0</v>
      </c>
      <c r="D31" s="66">
        <v>3000000</v>
      </c>
      <c r="E31" s="66">
        <v>8000000</v>
      </c>
      <c r="F31" s="66">
        <v>10000000</v>
      </c>
      <c r="G31" s="66">
        <v>7448000</v>
      </c>
      <c r="H31" s="66">
        <v>7448000</v>
      </c>
      <c r="I31" s="66">
        <v>2979200</v>
      </c>
      <c r="J31" s="66">
        <v>0</v>
      </c>
      <c r="K31" s="66">
        <v>3000000</v>
      </c>
      <c r="L31" s="100">
        <v>53472160</v>
      </c>
      <c r="M31" s="100">
        <f>53472160*70%</f>
        <v>37430512</v>
      </c>
      <c r="N31" s="100">
        <v>0</v>
      </c>
      <c r="O31" s="100">
        <v>0</v>
      </c>
      <c r="P31" s="100">
        <v>0</v>
      </c>
      <c r="Q31" s="100">
        <f t="shared" si="0"/>
        <v>0</v>
      </c>
    </row>
    <row r="32" spans="1:17" ht="26.1" customHeight="1">
      <c r="A32" s="169"/>
      <c r="B32" s="106" t="s">
        <v>59</v>
      </c>
      <c r="C32" s="66">
        <v>0</v>
      </c>
      <c r="D32" s="66">
        <v>0</v>
      </c>
      <c r="E32" s="66"/>
      <c r="F32" s="66">
        <v>0</v>
      </c>
      <c r="G32" s="66">
        <v>0</v>
      </c>
      <c r="H32" s="66">
        <v>0</v>
      </c>
      <c r="I32" s="66">
        <v>4468800</v>
      </c>
      <c r="J32" s="106">
        <v>0</v>
      </c>
      <c r="K32" s="106">
        <f>SUM(K28:K31)</f>
        <v>174000000</v>
      </c>
      <c r="L32" s="105">
        <f>SUM(L27:L31)</f>
        <v>305609760</v>
      </c>
      <c r="M32" s="105">
        <f>SUM(M27:M31)</f>
        <v>213926831.99999997</v>
      </c>
      <c r="N32" s="105">
        <f>SUM(N27:N31)</f>
        <v>306496320</v>
      </c>
      <c r="O32" s="105">
        <f>SUM(O27:O31)</f>
        <v>306496320</v>
      </c>
      <c r="P32" s="105">
        <f>SUM(P27:P31)</f>
        <v>431496320</v>
      </c>
      <c r="Q32" s="105">
        <f t="shared" si="0"/>
        <v>125000000</v>
      </c>
    </row>
    <row r="33" spans="1:17" ht="26.1" customHeight="1">
      <c r="A33" s="249">
        <v>2230</v>
      </c>
      <c r="B33" s="106" t="s">
        <v>88</v>
      </c>
      <c r="C33" s="66">
        <v>0</v>
      </c>
      <c r="D33" s="66">
        <v>0</v>
      </c>
      <c r="E33" s="66"/>
      <c r="F33" s="66">
        <v>0</v>
      </c>
      <c r="G33" s="66">
        <v>0</v>
      </c>
      <c r="H33" s="66">
        <v>0</v>
      </c>
      <c r="I33" s="106">
        <f>SUM(I29:I32)</f>
        <v>7448000</v>
      </c>
      <c r="J33" s="106"/>
      <c r="K33" s="106"/>
      <c r="L33" s="100"/>
      <c r="M33" s="100"/>
      <c r="N33" s="100"/>
      <c r="O33" s="100"/>
      <c r="P33" s="100"/>
      <c r="Q33" s="100">
        <f t="shared" si="0"/>
        <v>0</v>
      </c>
    </row>
    <row r="34" spans="1:17" ht="26.1" customHeight="1">
      <c r="A34" s="169">
        <v>22301</v>
      </c>
      <c r="B34" s="66" t="s">
        <v>31</v>
      </c>
      <c r="C34" s="66">
        <v>0</v>
      </c>
      <c r="D34" s="66">
        <v>0</v>
      </c>
      <c r="E34" s="66"/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15000000</v>
      </c>
      <c r="L34" s="100">
        <v>17875200</v>
      </c>
      <c r="M34" s="100">
        <f>17875200*70%</f>
        <v>12512640</v>
      </c>
      <c r="N34" s="100">
        <v>47512640</v>
      </c>
      <c r="O34" s="100">
        <v>47512640</v>
      </c>
      <c r="P34" s="100">
        <v>47512640</v>
      </c>
      <c r="Q34" s="100">
        <f t="shared" si="0"/>
        <v>0</v>
      </c>
    </row>
    <row r="35" spans="1:17" ht="26.1" customHeight="1">
      <c r="A35" s="169">
        <v>22303</v>
      </c>
      <c r="B35" s="66" t="s">
        <v>163</v>
      </c>
      <c r="C35" s="66">
        <v>0</v>
      </c>
      <c r="D35" s="66">
        <v>0</v>
      </c>
      <c r="E35" s="66">
        <v>28000000</v>
      </c>
      <c r="F35" s="66">
        <v>40000000</v>
      </c>
      <c r="G35" s="66">
        <v>37240000</v>
      </c>
      <c r="H35" s="66">
        <v>75000000</v>
      </c>
      <c r="I35" s="66">
        <v>0</v>
      </c>
      <c r="J35" s="66">
        <v>0</v>
      </c>
      <c r="K35" s="66">
        <v>0</v>
      </c>
      <c r="L35" s="100">
        <v>2234400</v>
      </c>
      <c r="M35" s="100">
        <v>2234400</v>
      </c>
      <c r="N35" s="100">
        <v>2234400</v>
      </c>
      <c r="O35" s="100">
        <v>2234400</v>
      </c>
      <c r="P35" s="100">
        <v>2234400</v>
      </c>
      <c r="Q35" s="100">
        <f t="shared" si="0"/>
        <v>0</v>
      </c>
    </row>
    <row r="36" spans="1:17" ht="26.1" customHeight="1">
      <c r="A36" s="169"/>
      <c r="B36" s="106" t="s">
        <v>59</v>
      </c>
      <c r="C36" s="66"/>
      <c r="D36" s="66"/>
      <c r="E36" s="66"/>
      <c r="F36" s="66">
        <v>0</v>
      </c>
      <c r="G36" s="66">
        <v>0</v>
      </c>
      <c r="H36" s="66">
        <v>0</v>
      </c>
      <c r="I36" s="106">
        <f>SUM(I34:I35)</f>
        <v>0</v>
      </c>
      <c r="J36" s="106">
        <v>0</v>
      </c>
      <c r="K36" s="106">
        <f t="shared" ref="K36:P36" si="1">SUM(K34:K35)</f>
        <v>15000000</v>
      </c>
      <c r="L36" s="105">
        <f t="shared" si="1"/>
        <v>20109600</v>
      </c>
      <c r="M36" s="105">
        <f t="shared" si="1"/>
        <v>14747040</v>
      </c>
      <c r="N36" s="105">
        <f t="shared" si="1"/>
        <v>49747040</v>
      </c>
      <c r="O36" s="105">
        <f t="shared" si="1"/>
        <v>49747040</v>
      </c>
      <c r="P36" s="105">
        <f t="shared" si="1"/>
        <v>49747040</v>
      </c>
      <c r="Q36" s="105">
        <f t="shared" si="0"/>
        <v>0</v>
      </c>
    </row>
    <row r="37" spans="1:17" ht="26.1" customHeight="1">
      <c r="A37" s="249">
        <v>230</v>
      </c>
      <c r="B37" s="106" t="s">
        <v>165</v>
      </c>
      <c r="C37" s="106">
        <v>0</v>
      </c>
      <c r="D37" s="106">
        <f>SUM(D26:D35)</f>
        <v>26000000</v>
      </c>
      <c r="E37" s="106">
        <f>SUM(E26:E35)</f>
        <v>67526400</v>
      </c>
      <c r="F37" s="106">
        <f>SUM(F26:F36)</f>
        <v>80000000</v>
      </c>
      <c r="G37" s="106">
        <f>SUM(G26:G36)</f>
        <v>74480000</v>
      </c>
      <c r="H37" s="106">
        <f>SUM(H26:H36)</f>
        <v>133620000</v>
      </c>
      <c r="I37" s="106" t="e">
        <f>I36+I33+I26+I15+#REF!</f>
        <v>#REF!</v>
      </c>
      <c r="J37" s="106"/>
      <c r="K37" s="106"/>
      <c r="L37" s="100"/>
      <c r="M37" s="100"/>
      <c r="N37" s="100"/>
      <c r="O37" s="100"/>
      <c r="P37" s="100"/>
      <c r="Q37" s="100">
        <f t="shared" si="0"/>
        <v>0</v>
      </c>
    </row>
    <row r="38" spans="1:17" ht="26.1" customHeight="1">
      <c r="A38" s="249">
        <v>2310</v>
      </c>
      <c r="B38" s="106" t="s">
        <v>164</v>
      </c>
      <c r="C38" s="66"/>
      <c r="D38" s="66">
        <v>0</v>
      </c>
      <c r="E38" s="66"/>
      <c r="F38" s="66"/>
      <c r="G38" s="66"/>
      <c r="H38" s="66"/>
      <c r="I38" s="66"/>
      <c r="J38" s="133"/>
      <c r="K38" s="133"/>
      <c r="L38" s="100"/>
      <c r="M38" s="100"/>
      <c r="N38" s="100"/>
      <c r="O38" s="100"/>
      <c r="P38" s="100"/>
      <c r="Q38" s="100">
        <f t="shared" si="0"/>
        <v>0</v>
      </c>
    </row>
    <row r="39" spans="1:17" ht="26.1" customHeight="1">
      <c r="A39" s="169">
        <v>23101</v>
      </c>
      <c r="B39" s="473" t="s">
        <v>639</v>
      </c>
      <c r="C39" s="66"/>
      <c r="D39" s="66"/>
      <c r="E39" s="66"/>
      <c r="F39" s="66"/>
      <c r="G39" s="66"/>
      <c r="H39" s="66"/>
      <c r="I39" s="66"/>
      <c r="J39" s="133"/>
      <c r="K39" s="133"/>
      <c r="L39" s="100"/>
      <c r="M39" s="100"/>
      <c r="N39" s="100">
        <v>0</v>
      </c>
      <c r="O39" s="100">
        <v>170000000</v>
      </c>
      <c r="P39" s="100">
        <v>15000000</v>
      </c>
      <c r="Q39" s="100">
        <f t="shared" si="0"/>
        <v>-155000000</v>
      </c>
    </row>
    <row r="40" spans="1:17" ht="26.1" customHeight="1">
      <c r="A40" s="169">
        <v>23102</v>
      </c>
      <c r="B40" s="66" t="s">
        <v>638</v>
      </c>
      <c r="C40" s="66"/>
      <c r="D40" s="66"/>
      <c r="E40" s="66"/>
      <c r="F40" s="66"/>
      <c r="G40" s="66"/>
      <c r="H40" s="66"/>
      <c r="I40" s="66"/>
      <c r="J40" s="133"/>
      <c r="K40" s="133"/>
      <c r="L40" s="100">
        <v>0</v>
      </c>
      <c r="M40" s="100">
        <f>108000000*70%</f>
        <v>75600000</v>
      </c>
      <c r="N40" s="100">
        <v>0</v>
      </c>
      <c r="O40" s="100">
        <v>42000000</v>
      </c>
      <c r="P40" s="100">
        <v>0</v>
      </c>
      <c r="Q40" s="100">
        <f t="shared" si="0"/>
        <v>-42000000</v>
      </c>
    </row>
    <row r="41" spans="1:17" ht="26.1" customHeight="1">
      <c r="A41" s="169">
        <v>23103</v>
      </c>
      <c r="B41" s="66" t="s">
        <v>106</v>
      </c>
      <c r="C41" s="118"/>
      <c r="D41" s="118"/>
      <c r="E41" s="118"/>
      <c r="F41" s="118"/>
      <c r="G41" s="118"/>
      <c r="H41" s="118"/>
      <c r="I41" s="118"/>
      <c r="J41" s="66">
        <v>0</v>
      </c>
      <c r="K41" s="116">
        <v>2000000</v>
      </c>
      <c r="L41" s="100">
        <v>2979200</v>
      </c>
      <c r="M41" s="100">
        <f>2979200*70%</f>
        <v>2085439.9999999998</v>
      </c>
      <c r="N41" s="100">
        <v>0</v>
      </c>
      <c r="O41" s="100">
        <v>0</v>
      </c>
      <c r="P41" s="100">
        <v>0</v>
      </c>
      <c r="Q41" s="100">
        <f t="shared" si="0"/>
        <v>0</v>
      </c>
    </row>
    <row r="42" spans="1:17" ht="26.1" customHeight="1">
      <c r="A42" s="169">
        <v>23104</v>
      </c>
      <c r="B42" s="66" t="s">
        <v>107</v>
      </c>
      <c r="C42" s="118"/>
      <c r="D42" s="118"/>
      <c r="E42" s="118"/>
      <c r="F42" s="118"/>
      <c r="G42" s="118"/>
      <c r="H42" s="118"/>
      <c r="I42" s="118"/>
      <c r="J42" s="66">
        <v>0</v>
      </c>
      <c r="K42" s="116">
        <v>3000000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f t="shared" si="0"/>
        <v>0</v>
      </c>
    </row>
    <row r="43" spans="1:17" ht="26.1" customHeight="1">
      <c r="A43" s="169">
        <v>23108</v>
      </c>
      <c r="B43" s="66" t="s">
        <v>755</v>
      </c>
      <c r="C43" s="118"/>
      <c r="D43" s="118"/>
      <c r="E43" s="118"/>
      <c r="F43" s="118"/>
      <c r="G43" s="118"/>
      <c r="H43" s="118"/>
      <c r="I43" s="118"/>
      <c r="J43" s="66"/>
      <c r="K43" s="116"/>
      <c r="L43" s="100"/>
      <c r="M43" s="100"/>
      <c r="N43" s="100">
        <v>0</v>
      </c>
      <c r="O43" s="100">
        <v>600000000</v>
      </c>
      <c r="P43" s="100">
        <v>900000000</v>
      </c>
      <c r="Q43" s="100">
        <f t="shared" si="0"/>
        <v>300000000</v>
      </c>
    </row>
    <row r="44" spans="1:17" ht="26.1" customHeight="1">
      <c r="A44" s="169"/>
      <c r="B44" s="106" t="s">
        <v>59</v>
      </c>
      <c r="C44" s="118"/>
      <c r="D44" s="118"/>
      <c r="E44" s="118"/>
      <c r="F44" s="118"/>
      <c r="G44" s="118"/>
      <c r="H44" s="118"/>
      <c r="I44" s="118"/>
      <c r="J44" s="106">
        <v>0</v>
      </c>
      <c r="K44" s="117">
        <f>SUM(K41:K42)</f>
        <v>5000000</v>
      </c>
      <c r="L44" s="105">
        <f>SUM(L41:L42)</f>
        <v>2979200</v>
      </c>
      <c r="M44" s="105">
        <f>SUM(M40:M42)</f>
        <v>77685440</v>
      </c>
      <c r="N44" s="105">
        <f>SUM(N40:N42)</f>
        <v>0</v>
      </c>
      <c r="O44" s="105">
        <f>SUM(O39:O43)</f>
        <v>812000000</v>
      </c>
      <c r="P44" s="105">
        <f>SUM(P39:P43)</f>
        <v>915000000</v>
      </c>
      <c r="Q44" s="105">
        <f t="shared" si="0"/>
        <v>103000000</v>
      </c>
    </row>
    <row r="45" spans="1:17" s="268" customFormat="1" ht="26.1" customHeight="1">
      <c r="A45" s="249">
        <v>2320</v>
      </c>
      <c r="B45" s="106" t="s">
        <v>649</v>
      </c>
      <c r="C45" s="251"/>
      <c r="D45" s="251"/>
      <c r="E45" s="251"/>
      <c r="F45" s="251"/>
      <c r="G45" s="251"/>
      <c r="H45" s="251"/>
      <c r="I45" s="251"/>
      <c r="J45" s="106"/>
      <c r="K45" s="117"/>
      <c r="L45" s="105"/>
      <c r="M45" s="105"/>
      <c r="N45" s="105"/>
      <c r="O45" s="105"/>
      <c r="P45" s="105"/>
      <c r="Q45" s="100">
        <f t="shared" si="0"/>
        <v>0</v>
      </c>
    </row>
    <row r="46" spans="1:17" ht="26.1" customHeight="1">
      <c r="A46" s="169">
        <v>23201</v>
      </c>
      <c r="B46" s="66" t="s">
        <v>856</v>
      </c>
      <c r="C46" s="118"/>
      <c r="D46" s="118"/>
      <c r="E46" s="118"/>
      <c r="F46" s="118"/>
      <c r="G46" s="118"/>
      <c r="H46" s="118"/>
      <c r="I46" s="118"/>
      <c r="J46" s="106"/>
      <c r="K46" s="117"/>
      <c r="L46" s="105"/>
      <c r="M46" s="105"/>
      <c r="N46" s="105">
        <v>0</v>
      </c>
      <c r="O46" s="100">
        <v>1455000000</v>
      </c>
      <c r="P46" s="100">
        <v>600000000</v>
      </c>
      <c r="Q46" s="100">
        <f t="shared" si="0"/>
        <v>-855000000</v>
      </c>
    </row>
    <row r="47" spans="1:17" ht="26.1" customHeight="1">
      <c r="A47" s="169"/>
      <c r="B47" s="106" t="s">
        <v>59</v>
      </c>
      <c r="C47" s="118"/>
      <c r="D47" s="118"/>
      <c r="E47" s="118"/>
      <c r="F47" s="118"/>
      <c r="G47" s="118"/>
      <c r="H47" s="118"/>
      <c r="I47" s="118"/>
      <c r="J47" s="106"/>
      <c r="K47" s="117"/>
      <c r="L47" s="105"/>
      <c r="M47" s="105"/>
      <c r="N47" s="105"/>
      <c r="O47" s="105">
        <f>SUM(O46)</f>
        <v>1455000000</v>
      </c>
      <c r="P47" s="105">
        <f>SUM(P46)</f>
        <v>600000000</v>
      </c>
      <c r="Q47" s="105">
        <f t="shared" si="0"/>
        <v>-855000000</v>
      </c>
    </row>
    <row r="48" spans="1:17" ht="26.1" customHeight="1">
      <c r="A48" s="169"/>
      <c r="B48" s="106" t="s">
        <v>18</v>
      </c>
      <c r="C48" s="118"/>
      <c r="D48" s="118"/>
      <c r="E48" s="118"/>
      <c r="F48" s="118"/>
      <c r="G48" s="118"/>
      <c r="H48" s="118"/>
      <c r="I48" s="118"/>
      <c r="J48" s="106">
        <v>0</v>
      </c>
      <c r="K48" s="117">
        <f>K44+K36+K32+K25+K9</f>
        <v>348271200</v>
      </c>
      <c r="L48" s="105">
        <f>L44+L36+L32+L25+L9</f>
        <v>1641919631</v>
      </c>
      <c r="M48" s="105" t="e">
        <f>M44+M36+M32+M25+M9</f>
        <v>#REF!</v>
      </c>
      <c r="N48" s="105">
        <f>N44+N36+N32+N25+N9</f>
        <v>2723481570</v>
      </c>
      <c r="O48" s="105">
        <f>O44+O36+O32+O25+O9+O47</f>
        <v>5864483090</v>
      </c>
      <c r="P48" s="105">
        <f>P44+P36+P32+P25+P9+P47</f>
        <v>5640725650</v>
      </c>
      <c r="Q48" s="105">
        <f t="shared" si="0"/>
        <v>-223757440</v>
      </c>
    </row>
    <row r="50" spans="12:12" ht="26.1" customHeight="1">
      <c r="L50" s="370"/>
    </row>
  </sheetData>
  <pageMargins left="0.7" right="0.26" top="0.81" bottom="0.47" header="0.34" footer="0.17"/>
  <pageSetup scale="55" orientation="portrait" r:id="rId1"/>
  <headerFooter>
    <oddHeader>&amp;C&amp;"Algerian,Bold"&amp;26WASAARAdDA CIYAARAHA, DHALINYARADA IYO DALXIISKA</oddHeader>
    <oddFooter>&amp;R&amp;"Times New Roman,Bold"&amp;14 48</oddFooter>
  </headerFooter>
  <ignoredErrors>
    <ignoredError sqref="L44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8"/>
  <dimension ref="A1:R47"/>
  <sheetViews>
    <sheetView view="pageBreakPreview" zoomScale="60" workbookViewId="0">
      <selection activeCell="Q15" sqref="Q15"/>
    </sheetView>
  </sheetViews>
  <sheetFormatPr defaultRowHeight="24" customHeight="1"/>
  <cols>
    <col min="1" max="1" width="18.1640625" style="379" bestFit="1" customWidth="1"/>
    <col min="2" max="2" width="73.83203125" style="449" customWidth="1"/>
    <col min="3" max="3" width="19.83203125" style="449" hidden="1" customWidth="1"/>
    <col min="4" max="4" width="0.33203125" style="449" hidden="1" customWidth="1"/>
    <col min="5" max="5" width="21" style="449" hidden="1" customWidth="1"/>
    <col min="6" max="6" width="24" style="449" hidden="1" customWidth="1"/>
    <col min="7" max="7" width="23.5" style="449" hidden="1" customWidth="1"/>
    <col min="8" max="8" width="23" style="449" hidden="1" customWidth="1"/>
    <col min="9" max="9" width="21.5" style="449" hidden="1" customWidth="1"/>
    <col min="10" max="10" width="24" style="449" hidden="1" customWidth="1"/>
    <col min="11" max="11" width="23" style="449" hidden="1" customWidth="1"/>
    <col min="12" max="12" width="21.5" style="449" hidden="1" customWidth="1"/>
    <col min="13" max="13" width="25.5" style="449" hidden="1" customWidth="1"/>
    <col min="14" max="14" width="23.5" style="449" hidden="1" customWidth="1"/>
    <col min="15" max="15" width="0.33203125" style="449" customWidth="1"/>
    <col min="16" max="16" width="27.6640625" style="449" bestFit="1" customWidth="1"/>
    <col min="17" max="17" width="29.5" style="449" customWidth="1"/>
    <col min="18" max="18" width="31" style="449" bestFit="1" customWidth="1"/>
    <col min="19" max="19" width="7.1640625" style="449" bestFit="1" customWidth="1"/>
    <col min="20" max="20" width="14.5" style="449" customWidth="1"/>
    <col min="21" max="21" width="17.33203125" style="449" customWidth="1"/>
    <col min="22" max="16384" width="9.33203125" style="449"/>
  </cols>
  <sheetData>
    <row r="1" spans="1:18" ht="24" customHeight="1">
      <c r="A1" s="353" t="s">
        <v>20</v>
      </c>
      <c r="B1" s="354" t="s">
        <v>804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" customHeight="1">
      <c r="A2" s="353" t="s">
        <v>6</v>
      </c>
      <c r="B2" s="354" t="s">
        <v>1</v>
      </c>
      <c r="C2" s="118" t="s">
        <v>25</v>
      </c>
      <c r="D2" s="416" t="s">
        <v>2</v>
      </c>
      <c r="E2" s="416" t="s">
        <v>24</v>
      </c>
      <c r="F2" s="416" t="s">
        <v>28</v>
      </c>
      <c r="G2" s="256" t="s">
        <v>33</v>
      </c>
      <c r="H2" s="256" t="s">
        <v>3</v>
      </c>
      <c r="I2" s="256" t="s">
        <v>40</v>
      </c>
      <c r="J2" s="256" t="s">
        <v>66</v>
      </c>
      <c r="K2" s="256" t="s">
        <v>71</v>
      </c>
      <c r="L2" s="256" t="s">
        <v>75</v>
      </c>
      <c r="M2" s="256" t="s">
        <v>110</v>
      </c>
      <c r="N2" s="256" t="s">
        <v>166</v>
      </c>
      <c r="O2" s="256" t="s">
        <v>538</v>
      </c>
      <c r="P2" s="256" t="s">
        <v>607</v>
      </c>
      <c r="Q2" s="256" t="s">
        <v>722</v>
      </c>
      <c r="R2" s="256" t="s">
        <v>34</v>
      </c>
    </row>
    <row r="3" spans="1:18" ht="24" customHeight="1">
      <c r="A3" s="249">
        <v>210</v>
      </c>
      <c r="B3" s="106" t="s">
        <v>95</v>
      </c>
      <c r="C3" s="251"/>
      <c r="D3" s="251"/>
      <c r="E3" s="251" t="s">
        <v>4</v>
      </c>
      <c r="F3" s="251" t="s">
        <v>4</v>
      </c>
      <c r="G3" s="251"/>
      <c r="H3" s="118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ht="24" customHeight="1">
      <c r="A4" s="249">
        <v>2110</v>
      </c>
      <c r="B4" s="106" t="s">
        <v>155</v>
      </c>
      <c r="C4" s="251"/>
      <c r="D4" s="251"/>
      <c r="E4" s="251"/>
      <c r="F4" s="251"/>
      <c r="G4" s="251"/>
      <c r="H4" s="118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ht="24" customHeight="1">
      <c r="A5" s="169">
        <v>21101</v>
      </c>
      <c r="B5" s="118" t="s">
        <v>9</v>
      </c>
      <c r="C5" s="66">
        <v>80133480</v>
      </c>
      <c r="D5" s="66">
        <v>0</v>
      </c>
      <c r="E5" s="66">
        <v>21000000</v>
      </c>
      <c r="F5" s="66">
        <v>0</v>
      </c>
      <c r="G5" s="66">
        <v>0</v>
      </c>
      <c r="H5" s="100">
        <f>G5-F5</f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168604800</v>
      </c>
      <c r="P5" s="66">
        <v>343324800</v>
      </c>
      <c r="Q5" s="66">
        <v>343324800</v>
      </c>
      <c r="R5" s="66">
        <f>Q5-P5</f>
        <v>0</v>
      </c>
    </row>
    <row r="6" spans="1:18" ht="24" customHeight="1">
      <c r="A6" s="169">
        <v>21102</v>
      </c>
      <c r="B6" s="118" t="s">
        <v>10</v>
      </c>
      <c r="C6" s="66">
        <v>7860520</v>
      </c>
      <c r="D6" s="66">
        <v>0</v>
      </c>
      <c r="E6" s="66">
        <v>0</v>
      </c>
      <c r="F6" s="66">
        <v>260025000</v>
      </c>
      <c r="G6" s="66">
        <v>260025000</v>
      </c>
      <c r="H6" s="100">
        <f t="shared" ref="H6:H42" si="0">G6-F6</f>
        <v>0</v>
      </c>
      <c r="I6" s="66">
        <v>260025000</v>
      </c>
      <c r="J6" s="66">
        <v>260025000</v>
      </c>
      <c r="K6" s="66">
        <f>260025000+9000000</f>
        <v>269025000</v>
      </c>
      <c r="L6" s="66">
        <v>269025000</v>
      </c>
      <c r="M6" s="66">
        <v>1126800000</v>
      </c>
      <c r="N6" s="66">
        <f>1126800000</f>
        <v>1126800000</v>
      </c>
      <c r="O6" s="66">
        <v>884533474</v>
      </c>
      <c r="P6" s="66">
        <v>1008000000</v>
      </c>
      <c r="Q6" s="66">
        <v>1008000000</v>
      </c>
      <c r="R6" s="66">
        <f t="shared" ref="R6:R43" si="1">Q6-P6</f>
        <v>0</v>
      </c>
    </row>
    <row r="7" spans="1:18" ht="24" customHeight="1">
      <c r="A7" s="169">
        <v>21103</v>
      </c>
      <c r="B7" s="118" t="s">
        <v>74</v>
      </c>
      <c r="C7" s="66">
        <v>9300000</v>
      </c>
      <c r="D7" s="66">
        <v>0</v>
      </c>
      <c r="E7" s="66">
        <v>191625000</v>
      </c>
      <c r="F7" s="66">
        <v>0</v>
      </c>
      <c r="G7" s="66">
        <f>121200000+3600000</f>
        <v>124800000</v>
      </c>
      <c r="H7" s="100">
        <f t="shared" si="0"/>
        <v>124800000</v>
      </c>
      <c r="I7" s="66">
        <v>124800000</v>
      </c>
      <c r="J7" s="66">
        <v>124800000</v>
      </c>
      <c r="K7" s="66">
        <v>124800000</v>
      </c>
      <c r="L7" s="66">
        <v>124800000</v>
      </c>
      <c r="M7" s="66">
        <v>0</v>
      </c>
      <c r="N7" s="66">
        <v>10800000</v>
      </c>
      <c r="O7" s="66">
        <v>82800000</v>
      </c>
      <c r="P7" s="66">
        <v>234000000</v>
      </c>
      <c r="Q7" s="66">
        <v>234000000</v>
      </c>
      <c r="R7" s="66">
        <f t="shared" si="1"/>
        <v>0</v>
      </c>
    </row>
    <row r="8" spans="1:18" ht="24" customHeight="1">
      <c r="A8" s="169"/>
      <c r="B8" s="251" t="s">
        <v>5</v>
      </c>
      <c r="C8" s="66">
        <v>14211000</v>
      </c>
      <c r="D8" s="66">
        <v>0</v>
      </c>
      <c r="E8" s="66">
        <v>50680000</v>
      </c>
      <c r="F8" s="66">
        <v>50680000</v>
      </c>
      <c r="G8" s="66">
        <v>49344000</v>
      </c>
      <c r="H8" s="100">
        <f t="shared" si="0"/>
        <v>-1336000</v>
      </c>
      <c r="I8" s="66">
        <v>81000000</v>
      </c>
      <c r="J8" s="66">
        <v>81000000</v>
      </c>
      <c r="K8" s="66">
        <v>100000000</v>
      </c>
      <c r="L8" s="106">
        <f t="shared" ref="L8:P8" si="2">SUM(L5:L7)</f>
        <v>393825000</v>
      </c>
      <c r="M8" s="106">
        <f t="shared" si="2"/>
        <v>1126800000</v>
      </c>
      <c r="N8" s="106">
        <f t="shared" si="2"/>
        <v>1137600000</v>
      </c>
      <c r="O8" s="106">
        <f t="shared" si="2"/>
        <v>1135938274</v>
      </c>
      <c r="P8" s="106">
        <f t="shared" si="2"/>
        <v>1585324800</v>
      </c>
      <c r="Q8" s="106">
        <f>SUM(Q5:Q7)</f>
        <v>1585324800</v>
      </c>
      <c r="R8" s="106">
        <f t="shared" si="1"/>
        <v>0</v>
      </c>
    </row>
    <row r="9" spans="1:18" ht="24" customHeight="1">
      <c r="A9" s="249">
        <v>220</v>
      </c>
      <c r="B9" s="106" t="s">
        <v>159</v>
      </c>
      <c r="C9" s="66">
        <v>10500000</v>
      </c>
      <c r="D9" s="66"/>
      <c r="E9" s="66">
        <v>14690000</v>
      </c>
      <c r="F9" s="66">
        <v>14690000</v>
      </c>
      <c r="G9" s="66">
        <v>20000000</v>
      </c>
      <c r="H9" s="100">
        <f t="shared" si="0"/>
        <v>5310000</v>
      </c>
      <c r="I9" s="66">
        <v>20000000</v>
      </c>
      <c r="J9" s="66">
        <v>14896000</v>
      </c>
      <c r="K9" s="66">
        <v>20000000</v>
      </c>
      <c r="L9" s="66"/>
      <c r="M9" s="66"/>
      <c r="N9" s="66"/>
      <c r="O9" s="66"/>
      <c r="P9" s="66"/>
      <c r="Q9" s="66"/>
      <c r="R9" s="66">
        <f t="shared" si="1"/>
        <v>0</v>
      </c>
    </row>
    <row r="10" spans="1:18" ht="24" customHeight="1">
      <c r="A10" s="249">
        <v>2210</v>
      </c>
      <c r="B10" s="106" t="s">
        <v>160</v>
      </c>
      <c r="C10" s="66"/>
      <c r="D10" s="66"/>
      <c r="E10" s="66"/>
      <c r="F10" s="66"/>
      <c r="G10" s="66"/>
      <c r="H10" s="100"/>
      <c r="I10" s="66"/>
      <c r="J10" s="66"/>
      <c r="K10" s="66"/>
      <c r="L10" s="66"/>
      <c r="M10" s="66"/>
      <c r="N10" s="66"/>
      <c r="O10" s="66"/>
      <c r="P10" s="66"/>
      <c r="Q10" s="66"/>
      <c r="R10" s="66">
        <f t="shared" si="1"/>
        <v>0</v>
      </c>
    </row>
    <row r="11" spans="1:18" ht="24" customHeight="1">
      <c r="A11" s="169">
        <v>22101</v>
      </c>
      <c r="B11" s="118" t="s">
        <v>14</v>
      </c>
      <c r="C11" s="66">
        <v>4700000</v>
      </c>
      <c r="D11" s="66"/>
      <c r="E11" s="66">
        <v>0</v>
      </c>
      <c r="F11" s="66">
        <v>0</v>
      </c>
      <c r="G11" s="66">
        <v>7000000</v>
      </c>
      <c r="H11" s="100">
        <f t="shared" si="0"/>
        <v>7000000</v>
      </c>
      <c r="I11" s="66">
        <v>10000000</v>
      </c>
      <c r="J11" s="66">
        <v>7448000</v>
      </c>
      <c r="K11" s="66">
        <v>8500000</v>
      </c>
      <c r="L11" s="66">
        <v>35750400</v>
      </c>
      <c r="M11" s="66">
        <v>35750400</v>
      </c>
      <c r="N11" s="66">
        <f>35750400*70%</f>
        <v>25025280</v>
      </c>
      <c r="O11" s="66">
        <f>35750400*70%</f>
        <v>25025280</v>
      </c>
      <c r="P11" s="66">
        <f>35750400*70%</f>
        <v>25025280</v>
      </c>
      <c r="Q11" s="66">
        <f>35750400*70%</f>
        <v>25025280</v>
      </c>
      <c r="R11" s="66">
        <f t="shared" si="1"/>
        <v>0</v>
      </c>
    </row>
    <row r="12" spans="1:18" ht="24" customHeight="1">
      <c r="A12" s="169">
        <v>21102</v>
      </c>
      <c r="B12" s="118" t="s">
        <v>125</v>
      </c>
      <c r="C12" s="66"/>
      <c r="D12" s="66"/>
      <c r="E12" s="66"/>
      <c r="F12" s="66"/>
      <c r="G12" s="66">
        <v>0</v>
      </c>
      <c r="H12" s="100"/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f t="shared" si="1"/>
        <v>0</v>
      </c>
    </row>
    <row r="13" spans="1:18" s="474" customFormat="1" ht="24" customHeight="1">
      <c r="A13" s="169">
        <v>20103</v>
      </c>
      <c r="B13" s="118" t="s">
        <v>126</v>
      </c>
      <c r="C13" s="112">
        <f>SUM(C8:C11)</f>
        <v>29411000</v>
      </c>
      <c r="D13" s="112">
        <v>0</v>
      </c>
      <c r="E13" s="112">
        <f>SUM(E8:E11)</f>
        <v>65370000</v>
      </c>
      <c r="F13" s="112">
        <f>SUM(F8:F11)</f>
        <v>65370000</v>
      </c>
      <c r="G13" s="112">
        <f>SUM(G8:G12)</f>
        <v>76344000</v>
      </c>
      <c r="H13" s="100">
        <f t="shared" si="0"/>
        <v>10974000</v>
      </c>
      <c r="I13" s="112">
        <f>SUM(I8:I12)</f>
        <v>111000000</v>
      </c>
      <c r="J13" s="112">
        <f>SUM(J8:J12)</f>
        <v>103344000</v>
      </c>
      <c r="K13" s="112">
        <f>SUM(K8:K12)</f>
        <v>128500000</v>
      </c>
      <c r="L13" s="112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66">
        <f t="shared" si="1"/>
        <v>0</v>
      </c>
    </row>
    <row r="14" spans="1:18" ht="24" customHeight="1">
      <c r="A14" s="169">
        <v>22104</v>
      </c>
      <c r="B14" s="118" t="s">
        <v>15</v>
      </c>
      <c r="C14" s="66"/>
      <c r="D14" s="66">
        <v>0</v>
      </c>
      <c r="E14" s="66">
        <f>D14-C14</f>
        <v>0</v>
      </c>
      <c r="F14" s="66">
        <f>E14-D14</f>
        <v>0</v>
      </c>
      <c r="G14" s="66"/>
      <c r="H14" s="100">
        <f t="shared" si="0"/>
        <v>0</v>
      </c>
      <c r="I14" s="66"/>
      <c r="J14" s="66"/>
      <c r="K14" s="66"/>
      <c r="L14" s="66">
        <v>14896000</v>
      </c>
      <c r="M14" s="66">
        <f>14896000+40462017</f>
        <v>55358017</v>
      </c>
      <c r="N14" s="66">
        <f>M14*70%</f>
        <v>38750611.899999999</v>
      </c>
      <c r="O14" s="66">
        <f>N14</f>
        <v>38750611.899999999</v>
      </c>
      <c r="P14" s="66">
        <v>48750612</v>
      </c>
      <c r="Q14" s="66">
        <v>48750612</v>
      </c>
      <c r="R14" s="66">
        <f t="shared" si="1"/>
        <v>0</v>
      </c>
    </row>
    <row r="15" spans="1:18" ht="24" customHeight="1">
      <c r="A15" s="169">
        <v>22105</v>
      </c>
      <c r="B15" s="118" t="s">
        <v>140</v>
      </c>
      <c r="C15" s="66"/>
      <c r="D15" s="66"/>
      <c r="E15" s="66"/>
      <c r="F15" s="66"/>
      <c r="G15" s="66"/>
      <c r="H15" s="100"/>
      <c r="I15" s="66"/>
      <c r="J15" s="66"/>
      <c r="K15" s="66"/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f t="shared" si="1"/>
        <v>0</v>
      </c>
    </row>
    <row r="16" spans="1:18" ht="24" customHeight="1">
      <c r="A16" s="169">
        <v>22106</v>
      </c>
      <c r="B16" s="118" t="s">
        <v>127</v>
      </c>
      <c r="C16" s="118"/>
      <c r="D16" s="66">
        <v>0</v>
      </c>
      <c r="E16" s="66">
        <v>75000000</v>
      </c>
      <c r="F16" s="66">
        <v>0</v>
      </c>
      <c r="G16" s="66">
        <v>0</v>
      </c>
      <c r="H16" s="100">
        <f t="shared" si="0"/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f t="shared" si="1"/>
        <v>0</v>
      </c>
    </row>
    <row r="17" spans="1:18" ht="24" customHeight="1">
      <c r="A17" s="169">
        <v>22107</v>
      </c>
      <c r="B17" s="118" t="s">
        <v>128</v>
      </c>
      <c r="C17" s="66"/>
      <c r="D17" s="66">
        <v>0</v>
      </c>
      <c r="E17" s="66">
        <v>0</v>
      </c>
      <c r="F17" s="66">
        <v>0</v>
      </c>
      <c r="G17" s="66">
        <v>0</v>
      </c>
      <c r="H17" s="100">
        <f t="shared" si="0"/>
        <v>0</v>
      </c>
      <c r="I17" s="66">
        <v>0</v>
      </c>
      <c r="J17" s="66">
        <v>0</v>
      </c>
      <c r="K17" s="66">
        <v>0</v>
      </c>
      <c r="L17" s="66">
        <v>7448000</v>
      </c>
      <c r="M17" s="66">
        <f>7448000+1772576</f>
        <v>9220576</v>
      </c>
      <c r="N17" s="66">
        <f>M17*70%</f>
        <v>6454403.1999999993</v>
      </c>
      <c r="O17" s="66">
        <v>4518082</v>
      </c>
      <c r="P17" s="66">
        <f>O17</f>
        <v>4518082</v>
      </c>
      <c r="Q17" s="66">
        <f>P17</f>
        <v>4518082</v>
      </c>
      <c r="R17" s="66">
        <f t="shared" si="1"/>
        <v>0</v>
      </c>
    </row>
    <row r="18" spans="1:18" ht="24" customHeight="1">
      <c r="A18" s="169">
        <v>22108</v>
      </c>
      <c r="B18" s="118" t="s">
        <v>129</v>
      </c>
      <c r="C18" s="66"/>
      <c r="D18" s="66">
        <v>0</v>
      </c>
      <c r="E18" s="66">
        <v>80500000</v>
      </c>
      <c r="F18" s="66">
        <v>0</v>
      </c>
      <c r="G18" s="66">
        <v>87000000</v>
      </c>
      <c r="H18" s="100">
        <f t="shared" si="0"/>
        <v>87000000</v>
      </c>
      <c r="I18" s="66">
        <v>0</v>
      </c>
      <c r="J18" s="66">
        <v>0</v>
      </c>
      <c r="K18" s="66">
        <v>0</v>
      </c>
      <c r="L18" s="66">
        <v>0</v>
      </c>
      <c r="M18" s="66">
        <v>122640000</v>
      </c>
      <c r="N18" s="66">
        <f>122640000*70%</f>
        <v>85848000</v>
      </c>
      <c r="O18" s="66">
        <f>N18</f>
        <v>85848000</v>
      </c>
      <c r="P18" s="66">
        <f>O18</f>
        <v>85848000</v>
      </c>
      <c r="Q18" s="66">
        <f>P18</f>
        <v>85848000</v>
      </c>
      <c r="R18" s="66">
        <f t="shared" si="1"/>
        <v>0</v>
      </c>
    </row>
    <row r="19" spans="1:18" ht="24" customHeight="1">
      <c r="A19" s="169">
        <v>22109</v>
      </c>
      <c r="B19" s="118" t="s">
        <v>143</v>
      </c>
      <c r="C19" s="66">
        <v>0</v>
      </c>
      <c r="D19" s="66">
        <v>0</v>
      </c>
      <c r="E19" s="66">
        <v>0</v>
      </c>
      <c r="F19" s="66">
        <v>0</v>
      </c>
      <c r="G19" s="66">
        <v>5000000</v>
      </c>
      <c r="H19" s="100">
        <f t="shared" si="0"/>
        <v>5000000</v>
      </c>
      <c r="I19" s="66">
        <v>5000000</v>
      </c>
      <c r="J19" s="66">
        <v>3724000</v>
      </c>
      <c r="K19" s="66">
        <v>5000000</v>
      </c>
      <c r="L19" s="66">
        <v>7448000</v>
      </c>
      <c r="M19" s="66">
        <f>7448000+2552000</f>
        <v>10000000</v>
      </c>
      <c r="N19" s="66">
        <f>10000000*70%</f>
        <v>7000000</v>
      </c>
      <c r="O19" s="66">
        <f>10000000*70%</f>
        <v>7000000</v>
      </c>
      <c r="P19" s="66">
        <f>10000000*70%</f>
        <v>7000000</v>
      </c>
      <c r="Q19" s="66">
        <f>10000000*70%</f>
        <v>7000000</v>
      </c>
      <c r="R19" s="66">
        <f t="shared" si="1"/>
        <v>0</v>
      </c>
    </row>
    <row r="20" spans="1:18" ht="24" customHeight="1">
      <c r="A20" s="169">
        <v>22112</v>
      </c>
      <c r="B20" s="118" t="s">
        <v>16</v>
      </c>
      <c r="C20" s="66">
        <v>3750000</v>
      </c>
      <c r="D20" s="66">
        <v>0</v>
      </c>
      <c r="E20" s="66">
        <v>5000000</v>
      </c>
      <c r="F20" s="66">
        <v>5000000</v>
      </c>
      <c r="G20" s="66">
        <v>15000000</v>
      </c>
      <c r="H20" s="100">
        <f t="shared" si="0"/>
        <v>10000000</v>
      </c>
      <c r="I20" s="66">
        <v>15000000</v>
      </c>
      <c r="J20" s="66">
        <v>18620000</v>
      </c>
      <c r="K20" s="66">
        <v>30000000</v>
      </c>
      <c r="L20" s="66">
        <v>9682400</v>
      </c>
      <c r="M20" s="66">
        <f>7448000+9682400</f>
        <v>17130400</v>
      </c>
      <c r="N20" s="66">
        <f>M20*70%</f>
        <v>11991280</v>
      </c>
      <c r="O20" s="66">
        <v>51991280</v>
      </c>
      <c r="P20" s="66">
        <v>61991280</v>
      </c>
      <c r="Q20" s="66">
        <v>61991280</v>
      </c>
      <c r="R20" s="66">
        <f t="shared" si="1"/>
        <v>0</v>
      </c>
    </row>
    <row r="21" spans="1:18" ht="24" customHeight="1">
      <c r="A21" s="169">
        <v>22132</v>
      </c>
      <c r="B21" s="118" t="s">
        <v>17</v>
      </c>
      <c r="C21" s="66"/>
      <c r="D21" s="66">
        <v>0</v>
      </c>
      <c r="E21" s="66">
        <f>D21-C21</f>
        <v>0</v>
      </c>
      <c r="F21" s="66">
        <f>E21-D21</f>
        <v>0</v>
      </c>
      <c r="G21" s="66"/>
      <c r="H21" s="100">
        <f t="shared" si="0"/>
        <v>0</v>
      </c>
      <c r="I21" s="66"/>
      <c r="J21" s="66"/>
      <c r="K21" s="66"/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f t="shared" si="1"/>
        <v>0</v>
      </c>
    </row>
    <row r="22" spans="1:18" ht="24" customHeight="1">
      <c r="A22" s="169">
        <v>22137</v>
      </c>
      <c r="B22" s="118" t="s">
        <v>756</v>
      </c>
      <c r="C22" s="66"/>
      <c r="D22" s="66"/>
      <c r="E22" s="66"/>
      <c r="F22" s="66"/>
      <c r="G22" s="66"/>
      <c r="H22" s="100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24" customHeight="1">
      <c r="A23" s="169">
        <v>22141</v>
      </c>
      <c r="B23" s="118" t="s">
        <v>381</v>
      </c>
      <c r="C23" s="66"/>
      <c r="D23" s="66"/>
      <c r="E23" s="66"/>
      <c r="F23" s="66"/>
      <c r="G23" s="66"/>
      <c r="H23" s="100"/>
      <c r="I23" s="66"/>
      <c r="J23" s="66"/>
      <c r="K23" s="66"/>
      <c r="L23" s="66"/>
      <c r="M23" s="66"/>
      <c r="N23" s="66">
        <v>0</v>
      </c>
      <c r="O23" s="66"/>
      <c r="P23" s="66"/>
      <c r="Q23" s="66"/>
      <c r="R23" s="66">
        <f t="shared" si="1"/>
        <v>0</v>
      </c>
    </row>
    <row r="24" spans="1:18" ht="24" customHeight="1">
      <c r="A24" s="169">
        <v>22160</v>
      </c>
      <c r="B24" s="118" t="s">
        <v>844</v>
      </c>
      <c r="C24" s="66"/>
      <c r="D24" s="66"/>
      <c r="E24" s="66"/>
      <c r="F24" s="66"/>
      <c r="G24" s="66"/>
      <c r="H24" s="100"/>
      <c r="I24" s="66"/>
      <c r="J24" s="66"/>
      <c r="K24" s="66"/>
      <c r="L24" s="66"/>
      <c r="M24" s="66"/>
      <c r="N24" s="66"/>
      <c r="O24" s="66"/>
      <c r="P24" s="66"/>
      <c r="Q24" s="66">
        <v>18000000000</v>
      </c>
      <c r="R24" s="66">
        <f t="shared" si="1"/>
        <v>18000000000</v>
      </c>
    </row>
    <row r="25" spans="1:18" ht="24" customHeight="1">
      <c r="A25" s="169">
        <v>22172</v>
      </c>
      <c r="B25" s="118" t="s">
        <v>900</v>
      </c>
      <c r="C25" s="66"/>
      <c r="D25" s="66"/>
      <c r="E25" s="66"/>
      <c r="F25" s="66"/>
      <c r="G25" s="66"/>
      <c r="H25" s="100"/>
      <c r="I25" s="66"/>
      <c r="J25" s="66"/>
      <c r="K25" s="66"/>
      <c r="L25" s="66"/>
      <c r="M25" s="66"/>
      <c r="N25" s="66"/>
      <c r="O25" s="66"/>
      <c r="P25" s="66"/>
      <c r="Q25" s="66">
        <v>18000000000</v>
      </c>
      <c r="R25" s="66">
        <f t="shared" si="1"/>
        <v>18000000000</v>
      </c>
    </row>
    <row r="26" spans="1:18" ht="24" customHeight="1">
      <c r="A26" s="249"/>
      <c r="B26" s="251" t="s">
        <v>5</v>
      </c>
      <c r="C26" s="66">
        <v>12000000</v>
      </c>
      <c r="D26" s="66">
        <v>0</v>
      </c>
      <c r="E26" s="66">
        <v>48000000</v>
      </c>
      <c r="F26" s="66">
        <v>48000000</v>
      </c>
      <c r="G26" s="66">
        <v>48000000</v>
      </c>
      <c r="H26" s="100">
        <f t="shared" si="0"/>
        <v>0</v>
      </c>
      <c r="I26" s="66">
        <v>48000000</v>
      </c>
      <c r="J26" s="66">
        <v>35750400</v>
      </c>
      <c r="K26" s="66">
        <v>40000000</v>
      </c>
      <c r="L26" s="106">
        <f>SUM(L11:L21)</f>
        <v>75224800</v>
      </c>
      <c r="M26" s="106">
        <f>SUM(M11:M22)</f>
        <v>250099393</v>
      </c>
      <c r="N26" s="106">
        <f>SUM(N11:N22)</f>
        <v>175069575.09999999</v>
      </c>
      <c r="O26" s="106">
        <f>SUM(O11:O23)</f>
        <v>213133253.90000001</v>
      </c>
      <c r="P26" s="106">
        <f>SUM(P11:P23)</f>
        <v>233133254</v>
      </c>
      <c r="Q26" s="106">
        <f>SUM(Q11:Q25)</f>
        <v>36233133254</v>
      </c>
      <c r="R26" s="106">
        <f t="shared" si="1"/>
        <v>36000000000</v>
      </c>
    </row>
    <row r="27" spans="1:18" ht="24" customHeight="1">
      <c r="A27" s="249">
        <v>2220</v>
      </c>
      <c r="B27" s="251" t="s">
        <v>13</v>
      </c>
      <c r="C27" s="66">
        <v>11464000</v>
      </c>
      <c r="D27" s="66">
        <v>0</v>
      </c>
      <c r="E27" s="66">
        <v>0</v>
      </c>
      <c r="F27" s="66">
        <v>0</v>
      </c>
      <c r="G27" s="66">
        <v>83300000</v>
      </c>
      <c r="H27" s="100">
        <f t="shared" si="0"/>
        <v>83300000</v>
      </c>
      <c r="I27" s="66">
        <v>0</v>
      </c>
      <c r="J27" s="66">
        <v>0</v>
      </c>
      <c r="K27" s="66">
        <v>0</v>
      </c>
      <c r="L27" s="66"/>
      <c r="M27" s="66"/>
      <c r="N27" s="66"/>
      <c r="O27" s="66"/>
      <c r="P27" s="66"/>
      <c r="Q27" s="66"/>
      <c r="R27" s="66">
        <f t="shared" si="1"/>
        <v>0</v>
      </c>
    </row>
    <row r="28" spans="1:18" ht="24" customHeight="1">
      <c r="A28" s="169">
        <v>22201</v>
      </c>
      <c r="B28" s="118" t="s">
        <v>130</v>
      </c>
      <c r="C28" s="66">
        <v>0</v>
      </c>
      <c r="D28" s="66">
        <v>0</v>
      </c>
      <c r="E28" s="66">
        <v>7000000</v>
      </c>
      <c r="F28" s="66">
        <v>7000000</v>
      </c>
      <c r="G28" s="66">
        <v>20000000</v>
      </c>
      <c r="H28" s="100">
        <f t="shared" si="0"/>
        <v>13000000</v>
      </c>
      <c r="I28" s="66">
        <v>20000000</v>
      </c>
      <c r="J28" s="66">
        <v>14896000</v>
      </c>
      <c r="K28" s="66">
        <v>30000000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f t="shared" si="1"/>
        <v>0</v>
      </c>
    </row>
    <row r="29" spans="1:18" ht="24" customHeight="1">
      <c r="A29" s="169">
        <v>22202</v>
      </c>
      <c r="B29" s="118" t="s">
        <v>131</v>
      </c>
      <c r="C29" s="66">
        <v>0</v>
      </c>
      <c r="D29" s="66">
        <v>0</v>
      </c>
      <c r="E29" s="66">
        <v>8000000</v>
      </c>
      <c r="F29" s="66">
        <v>0</v>
      </c>
      <c r="G29" s="66">
        <v>0</v>
      </c>
      <c r="H29" s="100">
        <f t="shared" si="0"/>
        <v>0</v>
      </c>
      <c r="I29" s="66">
        <v>0</v>
      </c>
      <c r="J29" s="66">
        <v>0</v>
      </c>
      <c r="K29" s="66">
        <v>0</v>
      </c>
      <c r="L29" s="66">
        <v>81000000</v>
      </c>
      <c r="M29" s="66">
        <f>81000000+119560900</f>
        <v>200560900</v>
      </c>
      <c r="N29" s="66">
        <f>M29*70%</f>
        <v>140392630</v>
      </c>
      <c r="O29" s="66">
        <f>N29</f>
        <v>140392630</v>
      </c>
      <c r="P29" s="66">
        <v>160392630</v>
      </c>
      <c r="Q29" s="66">
        <v>160392630</v>
      </c>
      <c r="R29" s="66">
        <f t="shared" si="1"/>
        <v>0</v>
      </c>
    </row>
    <row r="30" spans="1:18" ht="24" customHeight="1">
      <c r="A30" s="169">
        <v>22203</v>
      </c>
      <c r="B30" s="118" t="s">
        <v>132</v>
      </c>
      <c r="C30" s="66">
        <v>3000000</v>
      </c>
      <c r="D30" s="66">
        <v>0</v>
      </c>
      <c r="E30" s="66">
        <v>0</v>
      </c>
      <c r="F30" s="66">
        <v>0</v>
      </c>
      <c r="G30" s="66">
        <v>0</v>
      </c>
      <c r="H30" s="100">
        <f t="shared" si="0"/>
        <v>0</v>
      </c>
      <c r="I30" s="66">
        <v>0</v>
      </c>
      <c r="J30" s="66">
        <v>0</v>
      </c>
      <c r="K30" s="66">
        <v>0</v>
      </c>
      <c r="L30" s="66">
        <v>14896000</v>
      </c>
      <c r="M30" s="66">
        <v>14896000</v>
      </c>
      <c r="N30" s="66">
        <f>M30*70%</f>
        <v>10427200</v>
      </c>
      <c r="O30" s="66">
        <f>N30</f>
        <v>10427200</v>
      </c>
      <c r="P30" s="66">
        <v>20427200</v>
      </c>
      <c r="Q30" s="66">
        <v>20427200</v>
      </c>
      <c r="R30" s="66">
        <f t="shared" si="1"/>
        <v>0</v>
      </c>
    </row>
    <row r="31" spans="1:18" ht="24" customHeight="1">
      <c r="A31" s="169">
        <v>22204</v>
      </c>
      <c r="B31" s="118" t="s">
        <v>133</v>
      </c>
      <c r="C31" s="66">
        <v>0</v>
      </c>
      <c r="D31" s="66">
        <v>0</v>
      </c>
      <c r="E31" s="66">
        <v>0</v>
      </c>
      <c r="F31" s="66">
        <v>0</v>
      </c>
      <c r="G31" s="66">
        <v>10000000</v>
      </c>
      <c r="H31" s="100">
        <f t="shared" si="0"/>
        <v>10000000</v>
      </c>
      <c r="I31" s="66">
        <v>10000000</v>
      </c>
      <c r="J31" s="66">
        <v>7448000</v>
      </c>
      <c r="K31" s="66">
        <v>15000000</v>
      </c>
      <c r="L31" s="66">
        <v>7448000</v>
      </c>
      <c r="M31" s="66">
        <f>7448000+2552000</f>
        <v>10000000</v>
      </c>
      <c r="N31" s="66">
        <f>10000000*70%</f>
        <v>7000000</v>
      </c>
      <c r="O31" s="66">
        <f>10000000*70%</f>
        <v>7000000</v>
      </c>
      <c r="P31" s="66">
        <f>10000000*70%</f>
        <v>7000000</v>
      </c>
      <c r="Q31" s="66">
        <f>10000000*70%</f>
        <v>7000000</v>
      </c>
      <c r="R31" s="66">
        <f t="shared" si="1"/>
        <v>0</v>
      </c>
    </row>
    <row r="32" spans="1:18" ht="24" customHeight="1">
      <c r="A32" s="169"/>
      <c r="B32" s="251" t="s">
        <v>5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100">
        <f t="shared" si="0"/>
        <v>0</v>
      </c>
      <c r="I32" s="66">
        <v>0</v>
      </c>
      <c r="J32" s="66">
        <v>0</v>
      </c>
      <c r="K32" s="66">
        <v>0</v>
      </c>
      <c r="L32" s="106">
        <f t="shared" ref="L32:Q32" si="3">SUM(L28:L31)</f>
        <v>103344000</v>
      </c>
      <c r="M32" s="106">
        <f t="shared" si="3"/>
        <v>225456900</v>
      </c>
      <c r="N32" s="106">
        <f t="shared" si="3"/>
        <v>157819830</v>
      </c>
      <c r="O32" s="106">
        <f t="shared" si="3"/>
        <v>157819830</v>
      </c>
      <c r="P32" s="106">
        <f t="shared" si="3"/>
        <v>187819830</v>
      </c>
      <c r="Q32" s="106">
        <f t="shared" si="3"/>
        <v>187819830</v>
      </c>
      <c r="R32" s="106">
        <f t="shared" si="1"/>
        <v>0</v>
      </c>
    </row>
    <row r="33" spans="1:18" ht="24" customHeight="1">
      <c r="A33" s="249">
        <v>2230</v>
      </c>
      <c r="B33" s="251" t="s">
        <v>136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100">
        <f t="shared" ref="H33:H36" si="4">G33-F33</f>
        <v>0</v>
      </c>
      <c r="I33" s="66">
        <v>0</v>
      </c>
      <c r="J33" s="66">
        <v>0</v>
      </c>
      <c r="K33" s="66">
        <v>0</v>
      </c>
      <c r="L33" s="66"/>
      <c r="M33" s="66"/>
      <c r="N33" s="66"/>
      <c r="O33" s="66"/>
      <c r="P33" s="66"/>
      <c r="Q33" s="66"/>
      <c r="R33" s="66">
        <f t="shared" ref="R33:R36" si="5">Q33-P33</f>
        <v>0</v>
      </c>
    </row>
    <row r="34" spans="1:18" ht="24" customHeight="1">
      <c r="A34" s="169">
        <v>22301</v>
      </c>
      <c r="B34" s="118" t="s">
        <v>141</v>
      </c>
      <c r="C34" s="66"/>
      <c r="D34" s="66"/>
      <c r="E34" s="66">
        <v>0</v>
      </c>
      <c r="F34" s="66">
        <v>3000000000</v>
      </c>
      <c r="G34" s="66">
        <v>4000000000</v>
      </c>
      <c r="H34" s="100">
        <f t="shared" si="4"/>
        <v>1000000000</v>
      </c>
      <c r="I34" s="66">
        <v>0</v>
      </c>
      <c r="J34" s="66">
        <v>8000000000</v>
      </c>
      <c r="K34" s="66">
        <v>5000000000</v>
      </c>
      <c r="L34" s="66">
        <v>18620000</v>
      </c>
      <c r="M34" s="66">
        <v>95900000</v>
      </c>
      <c r="N34" s="66">
        <f>M34*70%</f>
        <v>67130000</v>
      </c>
      <c r="O34" s="66">
        <v>97130000</v>
      </c>
      <c r="P34" s="66">
        <v>97130000</v>
      </c>
      <c r="Q34" s="66">
        <v>97130000</v>
      </c>
      <c r="R34" s="66">
        <f t="shared" si="5"/>
        <v>0</v>
      </c>
    </row>
    <row r="35" spans="1:18" ht="24" customHeight="1">
      <c r="A35" s="169">
        <v>22302</v>
      </c>
      <c r="B35" s="118" t="s">
        <v>137</v>
      </c>
      <c r="C35" s="112">
        <f>SUM(C15:C33)</f>
        <v>30214000</v>
      </c>
      <c r="D35" s="112">
        <v>0</v>
      </c>
      <c r="E35" s="112">
        <f>SUM(E10:E33)</f>
        <v>288870000</v>
      </c>
      <c r="F35" s="112">
        <f>SUM(F10:F34)</f>
        <v>3125370000</v>
      </c>
      <c r="G35" s="112">
        <f>SUM(G15:G34)</f>
        <v>4268300000</v>
      </c>
      <c r="H35" s="112">
        <f t="shared" si="4"/>
        <v>1142930000</v>
      </c>
      <c r="I35" s="112">
        <f>SUM(I15:I34)</f>
        <v>98000000</v>
      </c>
      <c r="J35" s="112">
        <f>SUM(J15:J34)</f>
        <v>8080438400</v>
      </c>
      <c r="K35" s="112">
        <f>SUM(K15:K34)</f>
        <v>5120000000</v>
      </c>
      <c r="L35" s="128">
        <v>3724000</v>
      </c>
      <c r="M35" s="128">
        <v>3724000</v>
      </c>
      <c r="N35" s="128">
        <f>3724000*70%</f>
        <v>2606800</v>
      </c>
      <c r="O35" s="128">
        <f>3724000*70%</f>
        <v>2606800</v>
      </c>
      <c r="P35" s="128">
        <f>3724000*70%</f>
        <v>2606800</v>
      </c>
      <c r="Q35" s="128">
        <f>3724000*70%</f>
        <v>2606800</v>
      </c>
      <c r="R35" s="66">
        <f t="shared" si="5"/>
        <v>0</v>
      </c>
    </row>
    <row r="36" spans="1:18" ht="24" customHeight="1">
      <c r="A36" s="430"/>
      <c r="B36" s="251" t="s">
        <v>5</v>
      </c>
      <c r="C36" s="112" t="e">
        <f>C35+#REF!+#REF!+C2+#REF!</f>
        <v>#REF!</v>
      </c>
      <c r="D36" s="112" t="e">
        <f>#REF!</f>
        <v>#REF!</v>
      </c>
      <c r="E36" s="112" t="e">
        <f>E35+#REF!+#REF!+E2+#REF!</f>
        <v>#REF!</v>
      </c>
      <c r="F36" s="112" t="e">
        <f>F35+#REF!+#REF!+F2+#REF!</f>
        <v>#REF!</v>
      </c>
      <c r="G36" s="112" t="e">
        <f>G35+#REF!+#REF!+G2+#REF!</f>
        <v>#REF!</v>
      </c>
      <c r="H36" s="112" t="e">
        <f t="shared" si="4"/>
        <v>#REF!</v>
      </c>
      <c r="I36" s="112" t="e">
        <f>I35+#REF!+#REF!+I2+#REF!</f>
        <v>#REF!</v>
      </c>
      <c r="J36" s="112" t="e">
        <f>J35+#REF!+#REF!+J2+#REF!</f>
        <v>#REF!</v>
      </c>
      <c r="K36" s="112" t="e">
        <f>K35+#REF!+#REF!+K2+#REF!</f>
        <v>#REF!</v>
      </c>
      <c r="L36" s="112">
        <f t="shared" ref="L36:O36" si="6">SUM(L34:L35)</f>
        <v>22344000</v>
      </c>
      <c r="M36" s="112">
        <f t="shared" si="6"/>
        <v>99624000</v>
      </c>
      <c r="N36" s="112">
        <f t="shared" si="6"/>
        <v>69736800</v>
      </c>
      <c r="O36" s="112">
        <f t="shared" si="6"/>
        <v>99736800</v>
      </c>
      <c r="P36" s="112">
        <f>SUM(P34:P35)</f>
        <v>99736800</v>
      </c>
      <c r="Q36" s="112">
        <f>SUM(Q34:Q35)</f>
        <v>99736800</v>
      </c>
      <c r="R36" s="106">
        <f t="shared" si="5"/>
        <v>0</v>
      </c>
    </row>
    <row r="37" spans="1:18" ht="24" customHeight="1">
      <c r="A37" s="249">
        <v>230</v>
      </c>
      <c r="B37" s="251" t="s">
        <v>134</v>
      </c>
      <c r="C37" s="66">
        <v>0</v>
      </c>
      <c r="D37" s="66">
        <v>0</v>
      </c>
      <c r="E37" s="66">
        <f>D37-C37</f>
        <v>0</v>
      </c>
      <c r="F37" s="66">
        <f>E37-D37</f>
        <v>0</v>
      </c>
      <c r="G37" s="66">
        <v>0</v>
      </c>
      <c r="H37" s="100">
        <f t="shared" si="0"/>
        <v>0</v>
      </c>
      <c r="I37" s="66">
        <v>0</v>
      </c>
      <c r="J37" s="66">
        <v>0</v>
      </c>
      <c r="K37" s="66">
        <v>0</v>
      </c>
      <c r="L37" s="66"/>
      <c r="M37" s="66"/>
      <c r="N37" s="66"/>
      <c r="O37" s="66"/>
      <c r="P37" s="66"/>
      <c r="Q37" s="66"/>
      <c r="R37" s="66">
        <f t="shared" si="1"/>
        <v>0</v>
      </c>
    </row>
    <row r="38" spans="1:18" ht="24" customHeight="1">
      <c r="A38" s="249">
        <v>2310</v>
      </c>
      <c r="B38" s="251" t="s">
        <v>285</v>
      </c>
      <c r="C38" s="66">
        <v>1500000</v>
      </c>
      <c r="D38" s="66">
        <v>0</v>
      </c>
      <c r="E38" s="66">
        <v>6000000</v>
      </c>
      <c r="F38" s="66">
        <v>6000000</v>
      </c>
      <c r="G38" s="66">
        <v>6000000</v>
      </c>
      <c r="H38" s="100">
        <f t="shared" si="0"/>
        <v>0</v>
      </c>
      <c r="I38" s="66">
        <v>10000000</v>
      </c>
      <c r="J38" s="66">
        <v>7448000</v>
      </c>
      <c r="K38" s="66">
        <v>10000000</v>
      </c>
      <c r="L38" s="66"/>
      <c r="M38" s="66"/>
      <c r="N38" s="66"/>
      <c r="O38" s="66"/>
      <c r="P38" s="66"/>
      <c r="Q38" s="66"/>
      <c r="R38" s="66">
        <f t="shared" si="1"/>
        <v>0</v>
      </c>
    </row>
    <row r="39" spans="1:18" ht="24" customHeight="1">
      <c r="A39" s="169">
        <v>23101</v>
      </c>
      <c r="B39" s="118" t="s">
        <v>135</v>
      </c>
      <c r="C39" s="66">
        <v>1200000</v>
      </c>
      <c r="D39" s="66">
        <v>0</v>
      </c>
      <c r="E39" s="66">
        <v>6000000</v>
      </c>
      <c r="F39" s="66">
        <v>6000000</v>
      </c>
      <c r="G39" s="66">
        <v>6000000</v>
      </c>
      <c r="H39" s="100">
        <f t="shared" si="0"/>
        <v>0</v>
      </c>
      <c r="I39" s="66">
        <v>8000000</v>
      </c>
      <c r="J39" s="66">
        <v>9682400</v>
      </c>
      <c r="K39" s="66">
        <v>18000000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f t="shared" si="1"/>
        <v>0</v>
      </c>
    </row>
    <row r="40" spans="1:18" ht="24" customHeight="1">
      <c r="A40" s="169">
        <v>23102</v>
      </c>
      <c r="B40" s="118" t="s">
        <v>752</v>
      </c>
      <c r="C40" s="66"/>
      <c r="D40" s="66"/>
      <c r="E40" s="66"/>
      <c r="F40" s="66"/>
      <c r="G40" s="66"/>
      <c r="H40" s="100"/>
      <c r="I40" s="66"/>
      <c r="J40" s="66"/>
      <c r="K40" s="66"/>
      <c r="L40" s="66"/>
      <c r="M40" s="66"/>
      <c r="N40" s="66"/>
      <c r="O40" s="66"/>
      <c r="P40" s="66"/>
      <c r="Q40" s="66">
        <v>120000000</v>
      </c>
      <c r="R40" s="66">
        <f t="shared" si="1"/>
        <v>120000000</v>
      </c>
    </row>
    <row r="41" spans="1:18" ht="24" customHeight="1">
      <c r="A41" s="169">
        <v>23103</v>
      </c>
      <c r="B41" s="118" t="s">
        <v>142</v>
      </c>
      <c r="C41" s="66"/>
      <c r="D41" s="66"/>
      <c r="E41" s="66"/>
      <c r="F41" s="66"/>
      <c r="G41" s="66"/>
      <c r="H41" s="100"/>
      <c r="I41" s="66"/>
      <c r="J41" s="66"/>
      <c r="K41" s="66"/>
      <c r="L41" s="66">
        <v>3724000</v>
      </c>
      <c r="M41" s="66">
        <v>3724000</v>
      </c>
      <c r="N41" s="66">
        <f>3724000*70%</f>
        <v>2606800</v>
      </c>
      <c r="O41" s="66">
        <v>0</v>
      </c>
      <c r="P41" s="66">
        <v>0</v>
      </c>
      <c r="Q41" s="66">
        <v>0</v>
      </c>
      <c r="R41" s="66">
        <f t="shared" si="1"/>
        <v>0</v>
      </c>
    </row>
    <row r="42" spans="1:18" ht="24" customHeight="1">
      <c r="A42" s="169"/>
      <c r="B42" s="251" t="s">
        <v>5</v>
      </c>
      <c r="C42" s="66">
        <v>7400000</v>
      </c>
      <c r="D42" s="66">
        <v>0</v>
      </c>
      <c r="E42" s="66">
        <v>0</v>
      </c>
      <c r="F42" s="66">
        <v>0</v>
      </c>
      <c r="G42" s="66">
        <v>0</v>
      </c>
      <c r="H42" s="100">
        <f t="shared" si="0"/>
        <v>0</v>
      </c>
      <c r="I42" s="66">
        <v>0</v>
      </c>
      <c r="J42" s="66">
        <v>0</v>
      </c>
      <c r="K42" s="66">
        <v>0</v>
      </c>
      <c r="L42" s="106">
        <f t="shared" ref="L42:Q42" si="7">SUM(L39:L41)</f>
        <v>3724000</v>
      </c>
      <c r="M42" s="106">
        <f t="shared" si="7"/>
        <v>3724000</v>
      </c>
      <c r="N42" s="106">
        <f t="shared" si="7"/>
        <v>2606800</v>
      </c>
      <c r="O42" s="106">
        <f t="shared" si="7"/>
        <v>0</v>
      </c>
      <c r="P42" s="106">
        <f t="shared" si="7"/>
        <v>0</v>
      </c>
      <c r="Q42" s="106">
        <f t="shared" si="7"/>
        <v>120000000</v>
      </c>
      <c r="R42" s="66">
        <f t="shared" si="1"/>
        <v>120000000</v>
      </c>
    </row>
    <row r="43" spans="1:18" ht="35.25" customHeight="1">
      <c r="A43" s="430"/>
      <c r="B43" s="251" t="s">
        <v>138</v>
      </c>
      <c r="C43" s="118"/>
      <c r="D43" s="118" t="s">
        <v>4</v>
      </c>
      <c r="E43" s="118"/>
      <c r="F43" s="100">
        <v>0</v>
      </c>
      <c r="G43" s="100"/>
      <c r="H43" s="118"/>
      <c r="I43" s="100"/>
      <c r="J43" s="100"/>
      <c r="K43" s="100"/>
      <c r="L43" s="105" t="e">
        <f>#REF!+L42+L32+L26+L8</f>
        <v>#REF!</v>
      </c>
      <c r="M43" s="105" t="e">
        <f>#REF!+M42+M32+M26+M8</f>
        <v>#REF!</v>
      </c>
      <c r="N43" s="105" t="e">
        <f>#REF!+N42+N32+N26+N8</f>
        <v>#REF!</v>
      </c>
      <c r="O43" s="105" t="e">
        <f>#REF!+#REF!+O32+O26+O8+O42</f>
        <v>#REF!</v>
      </c>
      <c r="P43" s="105">
        <f>P42+P36+P32+P26+P8</f>
        <v>2106014684</v>
      </c>
      <c r="Q43" s="105">
        <f>Q42+Q36+Q32+Q26+Q8</f>
        <v>38226014684</v>
      </c>
      <c r="R43" s="106">
        <f t="shared" si="1"/>
        <v>36120000000</v>
      </c>
    </row>
    <row r="44" spans="1:18" ht="24" customHeight="1">
      <c r="O44" s="475"/>
      <c r="P44" s="285"/>
      <c r="Q44" s="285"/>
      <c r="R44" s="285"/>
    </row>
    <row r="46" spans="1:18" ht="24" customHeight="1">
      <c r="F46" s="449">
        <f>1386274192-71600000-798000-176160000-12600000</f>
        <v>1125116192</v>
      </c>
      <c r="L46" s="476"/>
    </row>
    <row r="47" spans="1:18" ht="24" customHeight="1">
      <c r="L47" s="476"/>
    </row>
  </sheetData>
  <phoneticPr fontId="0" type="noConversion"/>
  <printOptions gridLines="1"/>
  <pageMargins left="0.61" right="0.25" top="0.85" bottom="0.7" header="0.28000000000000003" footer="0.31"/>
  <pageSetup scale="60" orientation="portrait" r:id="rId1"/>
  <headerFooter alignWithMargins="0">
    <oddHeader>&amp;C&amp;"Algerian,Bold"&amp;36GUDIDA DOORASHOYINKA QARANKA</oddHeader>
    <oddFooter>&amp;R&amp;"Times New Roman,Bold"&amp;14 49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9"/>
  <dimension ref="A1:R52"/>
  <sheetViews>
    <sheetView view="pageBreakPreview" topLeftCell="A19" zoomScale="60" workbookViewId="0">
      <selection activeCell="P32" sqref="P32"/>
    </sheetView>
  </sheetViews>
  <sheetFormatPr defaultRowHeight="24" customHeight="1"/>
  <cols>
    <col min="1" max="1" width="18.1640625" style="402" bestFit="1" customWidth="1"/>
    <col min="2" max="2" width="73.6640625" style="483" customWidth="1"/>
    <col min="3" max="3" width="17.5" style="304" hidden="1" customWidth="1"/>
    <col min="4" max="4" width="15.1640625" style="304" hidden="1" customWidth="1"/>
    <col min="5" max="5" width="18" style="304" hidden="1" customWidth="1"/>
    <col min="6" max="6" width="15.1640625" style="304" hidden="1" customWidth="1"/>
    <col min="7" max="7" width="16.83203125" style="304" hidden="1" customWidth="1"/>
    <col min="8" max="8" width="0.1640625" style="304" hidden="1" customWidth="1"/>
    <col min="9" max="9" width="19.6640625" style="304" hidden="1" customWidth="1"/>
    <col min="10" max="10" width="0.33203125" style="304" hidden="1" customWidth="1"/>
    <col min="11" max="11" width="19.6640625" style="304" hidden="1" customWidth="1"/>
    <col min="12" max="12" width="21.6640625" style="304" hidden="1" customWidth="1"/>
    <col min="13" max="13" width="23.1640625" style="304" hidden="1" customWidth="1"/>
    <col min="14" max="14" width="24.5" style="304" hidden="1" customWidth="1"/>
    <col min="15" max="15" width="27.6640625" style="304" bestFit="1" customWidth="1"/>
    <col min="16" max="16" width="27.6640625" style="304" customWidth="1"/>
    <col min="17" max="17" width="24.5" style="304" bestFit="1" customWidth="1"/>
    <col min="18" max="18" width="14.6640625" style="304" customWidth="1"/>
    <col min="19" max="16384" width="9.33203125" style="304"/>
  </cols>
  <sheetData>
    <row r="1" spans="1:17" ht="27.95" customHeight="1">
      <c r="A1" s="430" t="s">
        <v>21</v>
      </c>
      <c r="B1" s="354" t="s">
        <v>805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7.95" customHeight="1">
      <c r="A2" s="430" t="s">
        <v>6</v>
      </c>
      <c r="B2" s="354" t="s">
        <v>7</v>
      </c>
      <c r="C2" s="256" t="s">
        <v>19</v>
      </c>
      <c r="D2" s="256" t="s">
        <v>2</v>
      </c>
      <c r="E2" s="256" t="s">
        <v>24</v>
      </c>
      <c r="F2" s="256" t="s">
        <v>28</v>
      </c>
      <c r="G2" s="256" t="s">
        <v>35</v>
      </c>
      <c r="H2" s="256" t="s">
        <v>42</v>
      </c>
      <c r="I2" s="256" t="s">
        <v>66</v>
      </c>
      <c r="J2" s="256" t="s">
        <v>69</v>
      </c>
      <c r="K2" s="256" t="s">
        <v>76</v>
      </c>
      <c r="L2" s="256" t="s">
        <v>110</v>
      </c>
      <c r="M2" s="256" t="s">
        <v>167</v>
      </c>
      <c r="N2" s="256" t="s">
        <v>538</v>
      </c>
      <c r="O2" s="256" t="s">
        <v>607</v>
      </c>
      <c r="P2" s="256" t="s">
        <v>722</v>
      </c>
      <c r="Q2" s="256" t="s">
        <v>34</v>
      </c>
    </row>
    <row r="3" spans="1:17" ht="27.95" customHeight="1">
      <c r="A3" s="249">
        <v>210</v>
      </c>
      <c r="B3" s="106" t="s">
        <v>95</v>
      </c>
      <c r="C3" s="251"/>
      <c r="D3" s="251"/>
      <c r="E3" s="251"/>
      <c r="F3" s="251"/>
      <c r="G3" s="251"/>
      <c r="H3" s="251"/>
      <c r="I3" s="251"/>
      <c r="J3" s="251"/>
      <c r="K3" s="251"/>
      <c r="L3" s="118"/>
      <c r="M3" s="118"/>
      <c r="N3" s="118"/>
      <c r="O3" s="118"/>
      <c r="P3" s="118"/>
      <c r="Q3" s="118"/>
    </row>
    <row r="4" spans="1:17" ht="27.95" customHeight="1">
      <c r="A4" s="249">
        <v>2110</v>
      </c>
      <c r="B4" s="106" t="s">
        <v>155</v>
      </c>
      <c r="C4" s="100">
        <v>0</v>
      </c>
      <c r="D4" s="100">
        <v>45168000</v>
      </c>
      <c r="E4" s="100">
        <v>82272000</v>
      </c>
      <c r="F4" s="100">
        <v>82272000</v>
      </c>
      <c r="G4" s="100">
        <v>167590800</v>
      </c>
      <c r="H4" s="100">
        <f>135236400+4149600+27000000+3000000</f>
        <v>169386000</v>
      </c>
      <c r="I4" s="100">
        <f>169386000+6000000+4149600</f>
        <v>179535600</v>
      </c>
      <c r="J4" s="100"/>
      <c r="K4" s="100"/>
      <c r="L4" s="100"/>
      <c r="M4" s="66"/>
      <c r="N4" s="66"/>
      <c r="O4" s="66"/>
      <c r="P4" s="66"/>
      <c r="Q4" s="66"/>
    </row>
    <row r="5" spans="1:17" ht="27.95" customHeight="1">
      <c r="A5" s="169">
        <v>21101</v>
      </c>
      <c r="B5" s="66" t="s">
        <v>9</v>
      </c>
      <c r="C5" s="100">
        <v>0</v>
      </c>
      <c r="D5" s="100">
        <v>24500000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37471200</v>
      </c>
      <c r="L5" s="100">
        <v>41995200</v>
      </c>
      <c r="M5" s="100" t="e">
        <f>#REF!+36000000</f>
        <v>#REF!</v>
      </c>
      <c r="N5" s="100">
        <v>92289600</v>
      </c>
      <c r="O5" s="100">
        <v>117486720</v>
      </c>
      <c r="P5" s="100">
        <v>156386880</v>
      </c>
      <c r="Q5" s="100">
        <f>P5-O5</f>
        <v>38900160</v>
      </c>
    </row>
    <row r="6" spans="1:17" ht="27.95" customHeight="1">
      <c r="A6" s="169">
        <v>21102</v>
      </c>
      <c r="B6" s="66" t="s">
        <v>10</v>
      </c>
      <c r="C6" s="66">
        <v>0</v>
      </c>
      <c r="D6" s="66">
        <v>10800000</v>
      </c>
      <c r="E6" s="66">
        <v>14400000</v>
      </c>
      <c r="F6" s="66">
        <v>14400000</v>
      </c>
      <c r="G6" s="66">
        <v>14400000</v>
      </c>
      <c r="H6" s="66">
        <f>14400000+16200000+720000</f>
        <v>31320000</v>
      </c>
      <c r="I6" s="66">
        <f>31320000+720000+3960000</f>
        <v>36000000</v>
      </c>
      <c r="J6" s="100">
        <v>0</v>
      </c>
      <c r="K6" s="100">
        <v>0</v>
      </c>
      <c r="L6" s="100">
        <v>0</v>
      </c>
      <c r="M6" s="100">
        <v>0</v>
      </c>
      <c r="N6" s="100">
        <v>222000000</v>
      </c>
      <c r="O6" s="100">
        <v>438000000</v>
      </c>
      <c r="P6" s="100">
        <v>438000000</v>
      </c>
      <c r="Q6" s="100">
        <f t="shared" ref="Q6:Q39" si="0">P6-O6</f>
        <v>0</v>
      </c>
    </row>
    <row r="7" spans="1:17" ht="27.95" customHeight="1">
      <c r="A7" s="169">
        <v>21103</v>
      </c>
      <c r="B7" s="66" t="s">
        <v>11</v>
      </c>
      <c r="C7" s="106">
        <v>0</v>
      </c>
      <c r="D7" s="106">
        <f>SUM(D4:D6)</f>
        <v>80468000</v>
      </c>
      <c r="E7" s="106">
        <f>SUM(E4:E6)</f>
        <v>96672000</v>
      </c>
      <c r="F7" s="106">
        <f>SUM(F4:F6)</f>
        <v>96672000</v>
      </c>
      <c r="G7" s="106">
        <f>SUM(G4:G6)</f>
        <v>181990800</v>
      </c>
      <c r="H7" s="106">
        <f>SUM(H4:H6)</f>
        <v>200706000</v>
      </c>
      <c r="I7" s="66">
        <v>0</v>
      </c>
      <c r="J7" s="66">
        <v>0</v>
      </c>
      <c r="K7" s="66">
        <v>34800000</v>
      </c>
      <c r="L7" s="100">
        <v>161760000</v>
      </c>
      <c r="M7" s="100">
        <v>161760000</v>
      </c>
      <c r="N7" s="100">
        <v>154800000</v>
      </c>
      <c r="O7" s="100">
        <v>342000000</v>
      </c>
      <c r="P7" s="100">
        <v>360000000</v>
      </c>
      <c r="Q7" s="100">
        <f t="shared" si="0"/>
        <v>18000000</v>
      </c>
    </row>
    <row r="8" spans="1:17" ht="27.95" customHeight="1">
      <c r="A8" s="169"/>
      <c r="B8" s="106" t="s">
        <v>59</v>
      </c>
      <c r="C8" s="106">
        <v>0</v>
      </c>
      <c r="D8" s="106" t="e">
        <f>SUM(#REF!)</f>
        <v>#REF!</v>
      </c>
      <c r="E8" s="106" t="e">
        <f>SUM(#REF!)</f>
        <v>#REF!</v>
      </c>
      <c r="F8" s="106" t="e">
        <f>SUM(#REF!)</f>
        <v>#REF!</v>
      </c>
      <c r="G8" s="106" t="e">
        <f>SUM(#REF!)</f>
        <v>#REF!</v>
      </c>
      <c r="H8" s="106" t="e">
        <f>SUM(#REF!)</f>
        <v>#REF!</v>
      </c>
      <c r="I8" s="66">
        <v>0</v>
      </c>
      <c r="J8" s="106">
        <f t="shared" ref="J8:P8" si="1">SUM(J5:J7)</f>
        <v>0</v>
      </c>
      <c r="K8" s="106">
        <f t="shared" si="1"/>
        <v>72271200</v>
      </c>
      <c r="L8" s="105">
        <f t="shared" si="1"/>
        <v>203755200</v>
      </c>
      <c r="M8" s="105" t="e">
        <f t="shared" si="1"/>
        <v>#REF!</v>
      </c>
      <c r="N8" s="105">
        <f t="shared" si="1"/>
        <v>469089600</v>
      </c>
      <c r="O8" s="105">
        <f t="shared" si="1"/>
        <v>897486720</v>
      </c>
      <c r="P8" s="105">
        <f t="shared" si="1"/>
        <v>954386880</v>
      </c>
      <c r="Q8" s="105">
        <f t="shared" si="0"/>
        <v>56900160</v>
      </c>
    </row>
    <row r="9" spans="1:17" ht="27.95" customHeight="1">
      <c r="A9" s="249">
        <v>220</v>
      </c>
      <c r="B9" s="106" t="s">
        <v>159</v>
      </c>
      <c r="C9" s="66" t="s">
        <v>4</v>
      </c>
      <c r="D9" s="66"/>
      <c r="E9" s="66"/>
      <c r="F9" s="66"/>
      <c r="G9" s="66"/>
      <c r="H9" s="66"/>
      <c r="I9" s="66">
        <v>0</v>
      </c>
      <c r="J9" s="66"/>
      <c r="K9" s="66"/>
      <c r="L9" s="100"/>
      <c r="M9" s="100"/>
      <c r="N9" s="100"/>
      <c r="O9" s="100"/>
      <c r="P9" s="100"/>
      <c r="Q9" s="100">
        <f t="shared" si="0"/>
        <v>0</v>
      </c>
    </row>
    <row r="10" spans="1:17" ht="27.95" customHeight="1">
      <c r="A10" s="249">
        <v>2210</v>
      </c>
      <c r="B10" s="106" t="s">
        <v>160</v>
      </c>
      <c r="C10" s="66">
        <v>0</v>
      </c>
      <c r="D10" s="66">
        <v>22600000</v>
      </c>
      <c r="E10" s="66">
        <v>0</v>
      </c>
      <c r="F10" s="66">
        <v>0</v>
      </c>
      <c r="G10" s="66">
        <v>0</v>
      </c>
      <c r="H10" s="66">
        <v>0</v>
      </c>
      <c r="I10" s="66">
        <v>7448000</v>
      </c>
      <c r="J10" s="66"/>
      <c r="K10" s="66"/>
      <c r="L10" s="100"/>
      <c r="M10" s="100"/>
      <c r="N10" s="100"/>
      <c r="O10" s="100"/>
      <c r="P10" s="100"/>
      <c r="Q10" s="100">
        <f t="shared" si="0"/>
        <v>0</v>
      </c>
    </row>
    <row r="11" spans="1:17" ht="27.95" customHeight="1">
      <c r="A11" s="169">
        <v>22101</v>
      </c>
      <c r="B11" s="66" t="s">
        <v>14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7448000</v>
      </c>
      <c r="J11" s="66">
        <v>0</v>
      </c>
      <c r="K11" s="66">
        <v>40000000</v>
      </c>
      <c r="L11" s="100">
        <v>5000000</v>
      </c>
      <c r="M11" s="100">
        <f>5000000*70%</f>
        <v>3500000</v>
      </c>
      <c r="N11" s="100">
        <f>5000000*70%</f>
        <v>3500000</v>
      </c>
      <c r="O11" s="100">
        <f>5000000*70%</f>
        <v>3500000</v>
      </c>
      <c r="P11" s="100">
        <f>5000000*70%</f>
        <v>3500000</v>
      </c>
      <c r="Q11" s="100">
        <f t="shared" si="0"/>
        <v>0</v>
      </c>
    </row>
    <row r="12" spans="1:17" ht="27.95" customHeight="1">
      <c r="A12" s="169">
        <v>22104</v>
      </c>
      <c r="B12" s="66" t="s">
        <v>116</v>
      </c>
      <c r="C12" s="66"/>
      <c r="D12" s="66"/>
      <c r="E12" s="66"/>
      <c r="F12" s="66"/>
      <c r="G12" s="66"/>
      <c r="H12" s="66"/>
      <c r="I12" s="66">
        <v>37240000</v>
      </c>
      <c r="J12" s="66">
        <v>0</v>
      </c>
      <c r="K12" s="66">
        <v>15000000</v>
      </c>
      <c r="L12" s="100">
        <v>34612616</v>
      </c>
      <c r="M12" s="100">
        <f>34612616*70%</f>
        <v>24228831.199999999</v>
      </c>
      <c r="N12" s="100">
        <f>34612616*70%</f>
        <v>24228831.199999999</v>
      </c>
      <c r="O12" s="100">
        <f>34612616*70%</f>
        <v>24228831.199999999</v>
      </c>
      <c r="P12" s="100">
        <f>34612616*70%</f>
        <v>24228831.199999999</v>
      </c>
      <c r="Q12" s="100">
        <f t="shared" si="0"/>
        <v>0</v>
      </c>
    </row>
    <row r="13" spans="1:17" ht="27.95" customHeight="1">
      <c r="A13" s="169">
        <v>22106</v>
      </c>
      <c r="B13" s="66" t="s">
        <v>84</v>
      </c>
      <c r="C13" s="66">
        <v>0</v>
      </c>
      <c r="D13" s="66">
        <v>4000000</v>
      </c>
      <c r="E13" s="66">
        <v>8000000</v>
      </c>
      <c r="F13" s="66">
        <v>17000000</v>
      </c>
      <c r="G13" s="66">
        <v>12661600</v>
      </c>
      <c r="H13" s="66">
        <v>25000000</v>
      </c>
      <c r="I13" s="106">
        <f>SUM(I8:I12)</f>
        <v>52136000</v>
      </c>
      <c r="J13" s="66">
        <v>0</v>
      </c>
      <c r="K13" s="66">
        <v>0</v>
      </c>
      <c r="L13" s="100">
        <v>7000000</v>
      </c>
      <c r="M13" s="100">
        <f>7000000*70%</f>
        <v>4900000</v>
      </c>
      <c r="N13" s="100">
        <v>0</v>
      </c>
      <c r="O13" s="100">
        <v>0</v>
      </c>
      <c r="P13" s="100">
        <v>0</v>
      </c>
      <c r="Q13" s="100">
        <f t="shared" si="0"/>
        <v>0</v>
      </c>
    </row>
    <row r="14" spans="1:17" s="306" customFormat="1" ht="27.95" customHeight="1">
      <c r="A14" s="169">
        <v>22109</v>
      </c>
      <c r="B14" s="66" t="s">
        <v>94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/>
      <c r="J14" s="66">
        <v>0</v>
      </c>
      <c r="K14" s="66">
        <v>5000000</v>
      </c>
      <c r="L14" s="100">
        <v>10000000</v>
      </c>
      <c r="M14" s="100">
        <f>10000000*70%</f>
        <v>7000000</v>
      </c>
      <c r="N14" s="100">
        <f>10000000*70%</f>
        <v>7000000</v>
      </c>
      <c r="O14" s="100">
        <f>10000000*70%</f>
        <v>7000000</v>
      </c>
      <c r="P14" s="100">
        <f>10000000*70%</f>
        <v>7000000</v>
      </c>
      <c r="Q14" s="100">
        <f t="shared" si="0"/>
        <v>0</v>
      </c>
    </row>
    <row r="15" spans="1:17" ht="27.95" customHeight="1">
      <c r="A15" s="169">
        <v>22112</v>
      </c>
      <c r="B15" s="66" t="s">
        <v>16</v>
      </c>
      <c r="C15" s="66" t="s">
        <v>4</v>
      </c>
      <c r="D15" s="66">
        <v>0</v>
      </c>
      <c r="E15" s="66">
        <v>0</v>
      </c>
      <c r="F15" s="66">
        <v>3000000</v>
      </c>
      <c r="G15" s="66">
        <v>2234400</v>
      </c>
      <c r="H15" s="66">
        <v>2234400</v>
      </c>
      <c r="I15" s="66">
        <v>0</v>
      </c>
      <c r="J15" s="66">
        <v>0</v>
      </c>
      <c r="K15" s="66">
        <v>12000000</v>
      </c>
      <c r="L15" s="100">
        <v>8000000</v>
      </c>
      <c r="M15" s="100">
        <f>8000000*70%</f>
        <v>5600000</v>
      </c>
      <c r="N15" s="100">
        <f>8000000*70%</f>
        <v>5600000</v>
      </c>
      <c r="O15" s="100">
        <f>8000000*70%</f>
        <v>5600000</v>
      </c>
      <c r="P15" s="100">
        <v>15600000</v>
      </c>
      <c r="Q15" s="100">
        <f t="shared" si="0"/>
        <v>10000000</v>
      </c>
    </row>
    <row r="16" spans="1:17" ht="27.95" customHeight="1">
      <c r="A16" s="169">
        <v>22129</v>
      </c>
      <c r="B16" s="66" t="s">
        <v>101</v>
      </c>
      <c r="C16" s="66"/>
      <c r="D16" s="66"/>
      <c r="E16" s="66"/>
      <c r="F16" s="66"/>
      <c r="G16" s="66">
        <v>0</v>
      </c>
      <c r="H16" s="66">
        <v>100000000</v>
      </c>
      <c r="I16" s="66">
        <v>90000000</v>
      </c>
      <c r="J16" s="66">
        <v>0</v>
      </c>
      <c r="K16" s="66">
        <v>3000000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f t="shared" si="0"/>
        <v>0</v>
      </c>
    </row>
    <row r="17" spans="1:17" ht="27.95" customHeight="1">
      <c r="A17" s="169">
        <v>22141</v>
      </c>
      <c r="B17" s="66" t="s">
        <v>381</v>
      </c>
      <c r="C17" s="106"/>
      <c r="D17" s="106"/>
      <c r="E17" s="106"/>
      <c r="F17" s="106"/>
      <c r="G17" s="106"/>
      <c r="H17" s="106"/>
      <c r="I17" s="66"/>
      <c r="J17" s="66"/>
      <c r="K17" s="66"/>
      <c r="L17" s="100"/>
      <c r="M17" s="100"/>
      <c r="N17" s="100">
        <v>50229200</v>
      </c>
      <c r="O17" s="100">
        <v>0</v>
      </c>
      <c r="P17" s="100">
        <v>0</v>
      </c>
      <c r="Q17" s="100">
        <f t="shared" si="0"/>
        <v>0</v>
      </c>
    </row>
    <row r="18" spans="1:17" ht="27.95" customHeight="1">
      <c r="A18" s="169">
        <v>22167</v>
      </c>
      <c r="B18" s="66" t="s">
        <v>540</v>
      </c>
      <c r="C18" s="106">
        <v>0</v>
      </c>
      <c r="D18" s="106">
        <f>SUM(D13:D15)</f>
        <v>4000000</v>
      </c>
      <c r="E18" s="106">
        <f>SUM(E13:E15)</f>
        <v>8000000</v>
      </c>
      <c r="F18" s="106">
        <f>SUM(F13:F15)</f>
        <v>20000000</v>
      </c>
      <c r="G18" s="106">
        <f>SUM(G13:G16)</f>
        <v>14896000</v>
      </c>
      <c r="H18" s="106">
        <f>SUM(H13:H16)</f>
        <v>127234400</v>
      </c>
      <c r="I18" s="66">
        <v>11172000</v>
      </c>
      <c r="J18" s="66">
        <v>0</v>
      </c>
      <c r="K18" s="66">
        <v>10000000</v>
      </c>
      <c r="L18" s="100">
        <v>20000000</v>
      </c>
      <c r="M18" s="100">
        <v>320000000</v>
      </c>
      <c r="N18" s="100">
        <v>50000000</v>
      </c>
      <c r="O18" s="100">
        <v>80000000</v>
      </c>
      <c r="P18" s="100">
        <v>100000000</v>
      </c>
      <c r="Q18" s="100">
        <f t="shared" si="0"/>
        <v>20000000</v>
      </c>
    </row>
    <row r="19" spans="1:17" ht="27.95" customHeight="1">
      <c r="A19" s="169"/>
      <c r="B19" s="106" t="s">
        <v>59</v>
      </c>
      <c r="C19" s="66" t="s">
        <v>4</v>
      </c>
      <c r="D19" s="66"/>
      <c r="E19" s="66"/>
      <c r="F19" s="66"/>
      <c r="G19" s="66"/>
      <c r="H19" s="66"/>
      <c r="I19" s="66">
        <v>3724000</v>
      </c>
      <c r="J19" s="106">
        <f>SUM(J9:J18)</f>
        <v>0</v>
      </c>
      <c r="K19" s="106">
        <f t="shared" ref="K19:P19" si="2">SUM(K11:K18)</f>
        <v>85000000</v>
      </c>
      <c r="L19" s="105">
        <f t="shared" si="2"/>
        <v>84612616</v>
      </c>
      <c r="M19" s="105">
        <f t="shared" si="2"/>
        <v>365228831.19999999</v>
      </c>
      <c r="N19" s="105">
        <f t="shared" si="2"/>
        <v>140558031.19999999</v>
      </c>
      <c r="O19" s="105">
        <f t="shared" si="2"/>
        <v>120328831.2</v>
      </c>
      <c r="P19" s="105">
        <f t="shared" si="2"/>
        <v>150328831.19999999</v>
      </c>
      <c r="Q19" s="105">
        <f t="shared" si="0"/>
        <v>29999999.999999985</v>
      </c>
    </row>
    <row r="20" spans="1:17" s="306" customFormat="1" ht="27.95" customHeight="1">
      <c r="A20" s="249">
        <v>2220</v>
      </c>
      <c r="B20" s="106" t="s">
        <v>161</v>
      </c>
      <c r="C20" s="66">
        <v>0</v>
      </c>
      <c r="D20" s="66">
        <v>6000000</v>
      </c>
      <c r="E20" s="66">
        <v>7200000</v>
      </c>
      <c r="F20" s="66">
        <v>10000000</v>
      </c>
      <c r="G20" s="66">
        <v>11172000</v>
      </c>
      <c r="H20" s="66">
        <v>11172000</v>
      </c>
      <c r="I20" s="106">
        <f>SUM(I15:I19)</f>
        <v>104896000</v>
      </c>
      <c r="J20" s="106"/>
      <c r="K20" s="106"/>
      <c r="L20" s="100"/>
      <c r="M20" s="100"/>
      <c r="N20" s="100"/>
      <c r="O20" s="100"/>
      <c r="P20" s="100"/>
      <c r="Q20" s="100">
        <f t="shared" si="0"/>
        <v>0</v>
      </c>
    </row>
    <row r="21" spans="1:17" ht="27.95" customHeight="1">
      <c r="A21" s="169">
        <v>22202</v>
      </c>
      <c r="B21" s="66" t="s">
        <v>91</v>
      </c>
      <c r="C21" s="66">
        <v>0</v>
      </c>
      <c r="D21" s="66">
        <v>17000000</v>
      </c>
      <c r="E21" s="66">
        <v>9734400</v>
      </c>
      <c r="F21" s="66">
        <v>20000000</v>
      </c>
      <c r="G21" s="66">
        <v>18620000</v>
      </c>
      <c r="H21" s="66">
        <v>30000000</v>
      </c>
      <c r="I21" s="66"/>
      <c r="J21" s="66">
        <v>0</v>
      </c>
      <c r="K21" s="66">
        <v>150000000</v>
      </c>
      <c r="L21" s="100">
        <v>90936000</v>
      </c>
      <c r="M21" s="100">
        <f>90936000*70%</f>
        <v>63655199.999999993</v>
      </c>
      <c r="N21" s="100">
        <v>100924160</v>
      </c>
      <c r="O21" s="100">
        <v>100924160</v>
      </c>
      <c r="P21" s="100">
        <v>100924160</v>
      </c>
      <c r="Q21" s="100">
        <f t="shared" si="0"/>
        <v>0</v>
      </c>
    </row>
    <row r="22" spans="1:17" ht="27.95" customHeight="1">
      <c r="A22" s="169">
        <v>22203</v>
      </c>
      <c r="B22" s="66" t="s">
        <v>85</v>
      </c>
      <c r="C22" s="66">
        <v>0</v>
      </c>
      <c r="D22" s="66">
        <v>0</v>
      </c>
      <c r="E22" s="66">
        <v>14592000</v>
      </c>
      <c r="F22" s="66">
        <v>0</v>
      </c>
      <c r="G22" s="66">
        <v>0</v>
      </c>
      <c r="H22" s="66">
        <v>10000000</v>
      </c>
      <c r="I22" s="66">
        <v>0</v>
      </c>
      <c r="J22" s="66">
        <v>0</v>
      </c>
      <c r="K22" s="66">
        <v>18000000</v>
      </c>
      <c r="L22" s="100">
        <v>12000000</v>
      </c>
      <c r="M22" s="100">
        <f>12000000*70%</f>
        <v>8400000</v>
      </c>
      <c r="N22" s="100">
        <v>23400000</v>
      </c>
      <c r="O22" s="100">
        <v>23400000</v>
      </c>
      <c r="P22" s="100">
        <v>23400000</v>
      </c>
      <c r="Q22" s="100">
        <f t="shared" si="0"/>
        <v>0</v>
      </c>
    </row>
    <row r="23" spans="1:17" ht="27.95" customHeight="1">
      <c r="A23" s="169">
        <v>22204</v>
      </c>
      <c r="B23" s="66" t="s">
        <v>86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3000000</v>
      </c>
      <c r="L23" s="100">
        <v>4000000</v>
      </c>
      <c r="M23" s="100">
        <f>4000000*70%</f>
        <v>2800000</v>
      </c>
      <c r="N23" s="100">
        <f>4000000*70%</f>
        <v>2800000</v>
      </c>
      <c r="O23" s="100">
        <f>4000000*70%</f>
        <v>2800000</v>
      </c>
      <c r="P23" s="100">
        <f>4000000*70%</f>
        <v>2800000</v>
      </c>
      <c r="Q23" s="100">
        <f t="shared" si="0"/>
        <v>0</v>
      </c>
    </row>
    <row r="24" spans="1:17" ht="27.95" customHeight="1">
      <c r="A24" s="169">
        <v>22208</v>
      </c>
      <c r="B24" s="66" t="s">
        <v>234</v>
      </c>
      <c r="C24" s="66"/>
      <c r="D24" s="66"/>
      <c r="E24" s="66"/>
      <c r="F24" s="66"/>
      <c r="G24" s="66"/>
      <c r="H24" s="66"/>
      <c r="I24" s="66"/>
      <c r="J24" s="66">
        <v>0</v>
      </c>
      <c r="K24" s="66">
        <v>1500000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f t="shared" si="0"/>
        <v>0</v>
      </c>
    </row>
    <row r="25" spans="1:17" ht="27.95" customHeight="1">
      <c r="A25" s="169">
        <v>22209</v>
      </c>
      <c r="B25" s="66" t="s">
        <v>145</v>
      </c>
      <c r="C25" s="66">
        <v>0</v>
      </c>
      <c r="D25" s="66">
        <v>3000000</v>
      </c>
      <c r="E25" s="66">
        <v>8000000</v>
      </c>
      <c r="F25" s="66">
        <v>10000000</v>
      </c>
      <c r="G25" s="66">
        <v>7448000</v>
      </c>
      <c r="H25" s="66">
        <v>7448000</v>
      </c>
      <c r="I25" s="66">
        <v>2979200</v>
      </c>
      <c r="J25" s="66">
        <v>0</v>
      </c>
      <c r="K25" s="66">
        <v>3000000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f t="shared" si="0"/>
        <v>0</v>
      </c>
    </row>
    <row r="26" spans="1:17" s="306" customFormat="1" ht="27.95" customHeight="1">
      <c r="A26" s="169"/>
      <c r="B26" s="106" t="s">
        <v>59</v>
      </c>
      <c r="C26" s="66">
        <v>0</v>
      </c>
      <c r="D26" s="66">
        <v>0</v>
      </c>
      <c r="E26" s="66"/>
      <c r="F26" s="66">
        <v>0</v>
      </c>
      <c r="G26" s="66">
        <v>0</v>
      </c>
      <c r="H26" s="66">
        <v>0</v>
      </c>
      <c r="I26" s="66">
        <v>4468800</v>
      </c>
      <c r="J26" s="106">
        <v>0</v>
      </c>
      <c r="K26" s="106">
        <f t="shared" ref="K26:P26" si="3">SUM(K21:K25)</f>
        <v>175500000</v>
      </c>
      <c r="L26" s="105">
        <f t="shared" si="3"/>
        <v>106936000</v>
      </c>
      <c r="M26" s="105">
        <f t="shared" si="3"/>
        <v>74855200</v>
      </c>
      <c r="N26" s="105">
        <f t="shared" si="3"/>
        <v>127124160</v>
      </c>
      <c r="O26" s="105">
        <f t="shared" si="3"/>
        <v>127124160</v>
      </c>
      <c r="P26" s="105">
        <f t="shared" si="3"/>
        <v>127124160</v>
      </c>
      <c r="Q26" s="105">
        <f t="shared" si="0"/>
        <v>0</v>
      </c>
    </row>
    <row r="27" spans="1:17" ht="27.95" customHeight="1">
      <c r="A27" s="249">
        <v>2230</v>
      </c>
      <c r="B27" s="106" t="s">
        <v>88</v>
      </c>
      <c r="C27" s="66">
        <v>0</v>
      </c>
      <c r="D27" s="66">
        <v>0</v>
      </c>
      <c r="E27" s="66"/>
      <c r="F27" s="66">
        <v>0</v>
      </c>
      <c r="G27" s="66">
        <v>0</v>
      </c>
      <c r="H27" s="66">
        <v>0</v>
      </c>
      <c r="I27" s="106">
        <f>SUM(I22:I26)</f>
        <v>7448000</v>
      </c>
      <c r="J27" s="106"/>
      <c r="K27" s="106"/>
      <c r="L27" s="100"/>
      <c r="M27" s="100"/>
      <c r="N27" s="100"/>
      <c r="O27" s="100"/>
      <c r="P27" s="100"/>
      <c r="Q27" s="100">
        <f t="shared" si="0"/>
        <v>0</v>
      </c>
    </row>
    <row r="28" spans="1:17" ht="27.95" customHeight="1">
      <c r="A28" s="169">
        <v>22301</v>
      </c>
      <c r="B28" s="66" t="s">
        <v>31</v>
      </c>
      <c r="C28" s="66">
        <v>0</v>
      </c>
      <c r="D28" s="66">
        <v>0</v>
      </c>
      <c r="E28" s="66"/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15000000</v>
      </c>
      <c r="L28" s="100">
        <v>20000000</v>
      </c>
      <c r="M28" s="100">
        <f>20000000*70%</f>
        <v>14000000</v>
      </c>
      <c r="N28" s="100">
        <v>20000000</v>
      </c>
      <c r="O28" s="100">
        <v>20000000</v>
      </c>
      <c r="P28" s="100">
        <v>20000000</v>
      </c>
      <c r="Q28" s="100">
        <f t="shared" si="0"/>
        <v>0</v>
      </c>
    </row>
    <row r="29" spans="1:17" ht="27.95" customHeight="1">
      <c r="A29" s="169">
        <v>22302</v>
      </c>
      <c r="B29" s="66" t="s">
        <v>162</v>
      </c>
      <c r="C29" s="66">
        <v>0</v>
      </c>
      <c r="D29" s="66">
        <v>5000000</v>
      </c>
      <c r="E29" s="66">
        <v>6400000</v>
      </c>
      <c r="F29" s="66">
        <v>10000000</v>
      </c>
      <c r="G29" s="66">
        <v>7448000</v>
      </c>
      <c r="H29" s="66">
        <v>7448000</v>
      </c>
      <c r="I29" s="66">
        <v>12661600</v>
      </c>
      <c r="J29" s="66">
        <v>0</v>
      </c>
      <c r="K29" s="66">
        <v>0</v>
      </c>
      <c r="L29" s="100">
        <v>0</v>
      </c>
      <c r="M29" s="100">
        <v>0</v>
      </c>
      <c r="N29" s="100">
        <v>60000000</v>
      </c>
      <c r="O29" s="100">
        <v>60000000</v>
      </c>
      <c r="P29" s="100">
        <v>0</v>
      </c>
      <c r="Q29" s="100">
        <f t="shared" si="0"/>
        <v>-60000000</v>
      </c>
    </row>
    <row r="30" spans="1:17" ht="27.95" customHeight="1">
      <c r="A30" s="169">
        <v>22303</v>
      </c>
      <c r="B30" s="66" t="s">
        <v>163</v>
      </c>
      <c r="C30" s="66">
        <v>0</v>
      </c>
      <c r="D30" s="66">
        <v>0</v>
      </c>
      <c r="E30" s="66">
        <v>28000000</v>
      </c>
      <c r="F30" s="66">
        <v>40000000</v>
      </c>
      <c r="G30" s="66">
        <v>37240000</v>
      </c>
      <c r="H30" s="66">
        <v>75000000</v>
      </c>
      <c r="I30" s="66">
        <v>0</v>
      </c>
      <c r="J30" s="66">
        <v>0</v>
      </c>
      <c r="K30" s="66">
        <v>0</v>
      </c>
      <c r="L30" s="100">
        <v>5000000</v>
      </c>
      <c r="M30" s="100">
        <f>5000000*70%</f>
        <v>3500000</v>
      </c>
      <c r="N30" s="100">
        <f>5000000*70%</f>
        <v>3500000</v>
      </c>
      <c r="O30" s="100">
        <f>5000000*70%</f>
        <v>3500000</v>
      </c>
      <c r="P30" s="100">
        <f>5000000*70%</f>
        <v>3500000</v>
      </c>
      <c r="Q30" s="100">
        <f t="shared" si="0"/>
        <v>0</v>
      </c>
    </row>
    <row r="31" spans="1:17" ht="27.95" customHeight="1">
      <c r="A31" s="169"/>
      <c r="B31" s="106" t="s">
        <v>59</v>
      </c>
      <c r="C31" s="66"/>
      <c r="D31" s="66"/>
      <c r="E31" s="66"/>
      <c r="F31" s="66">
        <v>0</v>
      </c>
      <c r="G31" s="66">
        <v>0</v>
      </c>
      <c r="H31" s="66">
        <v>0</v>
      </c>
      <c r="I31" s="106">
        <f>SUM(I28:I30)</f>
        <v>12661600</v>
      </c>
      <c r="J31" s="106">
        <v>0</v>
      </c>
      <c r="K31" s="106">
        <f t="shared" ref="K31:P31" si="4">SUM(K28:K30)</f>
        <v>15000000</v>
      </c>
      <c r="L31" s="105">
        <f t="shared" si="4"/>
        <v>25000000</v>
      </c>
      <c r="M31" s="105">
        <f t="shared" si="4"/>
        <v>17500000</v>
      </c>
      <c r="N31" s="105">
        <f t="shared" si="4"/>
        <v>83500000</v>
      </c>
      <c r="O31" s="105">
        <f t="shared" si="4"/>
        <v>83500000</v>
      </c>
      <c r="P31" s="105">
        <f t="shared" si="4"/>
        <v>23500000</v>
      </c>
      <c r="Q31" s="105">
        <f t="shared" si="0"/>
        <v>-60000000</v>
      </c>
    </row>
    <row r="32" spans="1:17" s="477" customFormat="1" ht="27.95" customHeight="1">
      <c r="A32" s="249">
        <v>230</v>
      </c>
      <c r="B32" s="106" t="s">
        <v>165</v>
      </c>
      <c r="C32" s="106">
        <v>0</v>
      </c>
      <c r="D32" s="106">
        <f>SUM(D20:D30)</f>
        <v>31000000</v>
      </c>
      <c r="E32" s="106">
        <f>SUM(E20:E30)</f>
        <v>73926400</v>
      </c>
      <c r="F32" s="106">
        <f>SUM(F20:F31)</f>
        <v>90000000</v>
      </c>
      <c r="G32" s="106">
        <f>SUM(G20:G31)</f>
        <v>81928000</v>
      </c>
      <c r="H32" s="106">
        <f>SUM(H20:H31)</f>
        <v>141068000</v>
      </c>
      <c r="I32" s="106" t="e">
        <f>I31+I27+I20+I13+#REF!</f>
        <v>#REF!</v>
      </c>
      <c r="J32" s="106"/>
      <c r="K32" s="106"/>
      <c r="L32" s="100"/>
      <c r="M32" s="100"/>
      <c r="N32" s="100"/>
      <c r="O32" s="100"/>
      <c r="P32" s="100"/>
      <c r="Q32" s="100">
        <f t="shared" si="0"/>
        <v>0</v>
      </c>
    </row>
    <row r="33" spans="1:18" ht="27.95" customHeight="1">
      <c r="A33" s="249">
        <v>2310</v>
      </c>
      <c r="B33" s="106" t="s">
        <v>164</v>
      </c>
      <c r="C33" s="66"/>
      <c r="D33" s="66">
        <v>0</v>
      </c>
      <c r="E33" s="66"/>
      <c r="F33" s="66"/>
      <c r="G33" s="66"/>
      <c r="H33" s="66"/>
      <c r="I33" s="66"/>
      <c r="J33" s="133"/>
      <c r="K33" s="133"/>
      <c r="L33" s="100"/>
      <c r="M33" s="100"/>
      <c r="N33" s="100"/>
      <c r="O33" s="100"/>
      <c r="P33" s="100"/>
      <c r="Q33" s="100">
        <f t="shared" si="0"/>
        <v>0</v>
      </c>
    </row>
    <row r="34" spans="1:18" ht="27.95" customHeight="1">
      <c r="A34" s="169">
        <v>23101</v>
      </c>
      <c r="B34" s="66" t="s">
        <v>172</v>
      </c>
      <c r="C34" s="66"/>
      <c r="D34" s="66" t="e">
        <f>#REF!-D33</f>
        <v>#REF!</v>
      </c>
      <c r="E34" s="66"/>
      <c r="F34" s="66"/>
      <c r="G34" s="66"/>
      <c r="H34" s="66"/>
      <c r="I34" s="66"/>
      <c r="J34" s="66">
        <v>0</v>
      </c>
      <c r="K34" s="66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f t="shared" si="0"/>
        <v>0</v>
      </c>
    </row>
    <row r="35" spans="1:18" ht="27.95" customHeight="1">
      <c r="A35" s="169">
        <v>23102</v>
      </c>
      <c r="B35" s="66" t="s">
        <v>173</v>
      </c>
      <c r="C35" s="118"/>
      <c r="D35" s="118"/>
      <c r="E35" s="118"/>
      <c r="F35" s="118"/>
      <c r="G35" s="118"/>
      <c r="H35" s="118"/>
      <c r="I35" s="118"/>
      <c r="J35" s="66">
        <v>0</v>
      </c>
      <c r="K35" s="66">
        <v>0</v>
      </c>
      <c r="L35" s="100">
        <v>0</v>
      </c>
      <c r="M35" s="100">
        <v>0</v>
      </c>
      <c r="N35" s="100">
        <v>120000000</v>
      </c>
      <c r="O35" s="100">
        <v>0</v>
      </c>
      <c r="P35" s="100">
        <v>120000000</v>
      </c>
      <c r="Q35" s="100">
        <f t="shared" si="0"/>
        <v>120000000</v>
      </c>
    </row>
    <row r="36" spans="1:18" s="306" customFormat="1" ht="27.95" customHeight="1">
      <c r="A36" s="169">
        <v>23103</v>
      </c>
      <c r="B36" s="66" t="s">
        <v>106</v>
      </c>
      <c r="C36" s="118"/>
      <c r="D36" s="118"/>
      <c r="E36" s="118"/>
      <c r="F36" s="118"/>
      <c r="G36" s="118"/>
      <c r="H36" s="118"/>
      <c r="I36" s="118"/>
      <c r="J36" s="66">
        <v>0</v>
      </c>
      <c r="K36" s="116">
        <v>2000000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0"/>
        <v>0</v>
      </c>
      <c r="R36" s="437"/>
    </row>
    <row r="37" spans="1:18" ht="27.95" customHeight="1">
      <c r="A37" s="169">
        <v>23104</v>
      </c>
      <c r="B37" s="66" t="s">
        <v>107</v>
      </c>
      <c r="C37" s="118"/>
      <c r="D37" s="118"/>
      <c r="E37" s="118"/>
      <c r="F37" s="118"/>
      <c r="G37" s="118"/>
      <c r="H37" s="118"/>
      <c r="I37" s="118"/>
      <c r="J37" s="66">
        <v>0</v>
      </c>
      <c r="K37" s="116">
        <v>3000000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0"/>
        <v>0</v>
      </c>
    </row>
    <row r="38" spans="1:18" ht="27.95" customHeight="1">
      <c r="A38" s="169"/>
      <c r="B38" s="106" t="s">
        <v>59</v>
      </c>
      <c r="C38" s="118"/>
      <c r="D38" s="118"/>
      <c r="E38" s="118"/>
      <c r="F38" s="118"/>
      <c r="G38" s="118"/>
      <c r="H38" s="118"/>
      <c r="I38" s="118"/>
      <c r="J38" s="106">
        <v>0</v>
      </c>
      <c r="K38" s="117">
        <f t="shared" ref="K38:P38" si="5">SUM(K34:K37)</f>
        <v>5000000</v>
      </c>
      <c r="L38" s="105">
        <f t="shared" si="5"/>
        <v>0</v>
      </c>
      <c r="M38" s="105">
        <f t="shared" si="5"/>
        <v>0</v>
      </c>
      <c r="N38" s="105">
        <f t="shared" si="5"/>
        <v>120000000</v>
      </c>
      <c r="O38" s="105">
        <f t="shared" si="5"/>
        <v>0</v>
      </c>
      <c r="P38" s="105">
        <f t="shared" si="5"/>
        <v>120000000</v>
      </c>
      <c r="Q38" s="105">
        <f t="shared" si="0"/>
        <v>120000000</v>
      </c>
    </row>
    <row r="39" spans="1:18" ht="27.95" customHeight="1">
      <c r="A39" s="169"/>
      <c r="B39" s="106" t="s">
        <v>18</v>
      </c>
      <c r="C39" s="118"/>
      <c r="D39" s="118"/>
      <c r="E39" s="118"/>
      <c r="F39" s="118"/>
      <c r="G39" s="118"/>
      <c r="H39" s="118"/>
      <c r="I39" s="118"/>
      <c r="J39" s="106">
        <v>0</v>
      </c>
      <c r="K39" s="117">
        <f t="shared" ref="K39:P39" si="6">K38+K31+K26+K19+K8</f>
        <v>352771200</v>
      </c>
      <c r="L39" s="105">
        <f t="shared" si="6"/>
        <v>420303816</v>
      </c>
      <c r="M39" s="105" t="e">
        <f t="shared" si="6"/>
        <v>#REF!</v>
      </c>
      <c r="N39" s="105">
        <f t="shared" si="6"/>
        <v>940271791.20000005</v>
      </c>
      <c r="O39" s="105">
        <f t="shared" si="6"/>
        <v>1228439711.2</v>
      </c>
      <c r="P39" s="105">
        <f t="shared" si="6"/>
        <v>1375339871.2</v>
      </c>
      <c r="Q39" s="105">
        <f t="shared" si="0"/>
        <v>146900160</v>
      </c>
    </row>
    <row r="40" spans="1:18" ht="24" customHeight="1">
      <c r="A40" s="478"/>
      <c r="B40" s="479"/>
      <c r="C40" s="480"/>
      <c r="D40" s="480"/>
      <c r="E40" s="480"/>
      <c r="F40" s="480"/>
      <c r="G40" s="480"/>
      <c r="H40" s="480"/>
      <c r="I40" s="480"/>
      <c r="J40" s="480"/>
      <c r="K40" s="481"/>
      <c r="L40" s="482"/>
      <c r="M40" s="482"/>
      <c r="N40" s="482"/>
      <c r="O40" s="482"/>
      <c r="P40" s="482"/>
      <c r="Q40" s="482"/>
    </row>
    <row r="41" spans="1:18" ht="24" customHeight="1">
      <c r="F41" s="304">
        <f>1386274192-71600000-798000-176160000-12600000</f>
        <v>1125116192</v>
      </c>
      <c r="K41" s="484"/>
      <c r="L41" s="484"/>
      <c r="M41" s="484"/>
      <c r="N41" s="484"/>
      <c r="O41" s="484"/>
      <c r="P41" s="484"/>
      <c r="Q41" s="484"/>
    </row>
    <row r="42" spans="1:18" ht="24" customHeight="1">
      <c r="K42" s="484"/>
      <c r="L42" s="484"/>
      <c r="M42" s="484"/>
      <c r="N42" s="484"/>
      <c r="O42" s="484"/>
      <c r="P42" s="484"/>
      <c r="Q42" s="484"/>
    </row>
    <row r="43" spans="1:18" ht="24" customHeight="1">
      <c r="K43" s="484"/>
      <c r="L43" s="484"/>
      <c r="M43" s="484"/>
      <c r="N43" s="484"/>
      <c r="O43" s="484"/>
      <c r="P43" s="484"/>
      <c r="Q43" s="484"/>
    </row>
    <row r="44" spans="1:18" ht="24" customHeight="1">
      <c r="K44" s="484"/>
      <c r="L44" s="484"/>
      <c r="M44" s="484"/>
      <c r="N44" s="484"/>
      <c r="O44" s="484"/>
      <c r="P44" s="484"/>
      <c r="Q44" s="484"/>
    </row>
    <row r="45" spans="1:18" ht="24" customHeight="1">
      <c r="K45" s="484"/>
      <c r="L45" s="484"/>
      <c r="M45" s="484"/>
      <c r="N45" s="484"/>
      <c r="O45" s="484"/>
      <c r="P45" s="484"/>
      <c r="Q45" s="484"/>
    </row>
    <row r="46" spans="1:18" ht="24" customHeight="1">
      <c r="K46" s="484"/>
      <c r="L46" s="484"/>
      <c r="M46" s="484"/>
      <c r="N46" s="484"/>
      <c r="O46" s="484"/>
      <c r="P46" s="484"/>
      <c r="Q46" s="484"/>
    </row>
    <row r="47" spans="1:18" ht="24" customHeight="1">
      <c r="K47" s="484"/>
      <c r="L47" s="484"/>
      <c r="M47" s="484"/>
      <c r="N47" s="484"/>
      <c r="O47" s="484"/>
      <c r="P47" s="484"/>
      <c r="Q47" s="484"/>
    </row>
    <row r="48" spans="1:18" ht="24" customHeight="1">
      <c r="K48" s="484"/>
      <c r="L48" s="484"/>
      <c r="M48" s="484"/>
      <c r="N48" s="484"/>
      <c r="O48" s="484"/>
      <c r="P48" s="484"/>
      <c r="Q48" s="484"/>
    </row>
    <row r="49" spans="11:17" ht="24" customHeight="1">
      <c r="K49" s="484"/>
      <c r="L49" s="484"/>
      <c r="M49" s="484"/>
      <c r="N49" s="484"/>
      <c r="O49" s="484"/>
      <c r="P49" s="484"/>
      <c r="Q49" s="484"/>
    </row>
    <row r="50" spans="11:17" ht="24" customHeight="1">
      <c r="K50" s="484"/>
      <c r="L50" s="484"/>
      <c r="M50" s="484"/>
      <c r="N50" s="484"/>
      <c r="O50" s="484"/>
      <c r="P50" s="484"/>
      <c r="Q50" s="484"/>
    </row>
    <row r="51" spans="11:17" ht="24" customHeight="1">
      <c r="K51" s="484"/>
      <c r="L51" s="484"/>
      <c r="M51" s="484"/>
      <c r="N51" s="484"/>
      <c r="O51" s="484"/>
      <c r="P51" s="484"/>
      <c r="Q51" s="484"/>
    </row>
    <row r="52" spans="11:17" ht="24" customHeight="1">
      <c r="K52" s="484"/>
      <c r="L52" s="484"/>
      <c r="M52" s="484"/>
      <c r="N52" s="484"/>
      <c r="O52" s="484"/>
      <c r="P52" s="484"/>
      <c r="Q52" s="484"/>
    </row>
  </sheetData>
  <phoneticPr fontId="0" type="noConversion"/>
  <printOptions gridLines="1"/>
  <pageMargins left="0.55000000000000004" right="0.25" top="0.67" bottom="0.48" header="0.2" footer="0.25"/>
  <pageSetup scale="60" orientation="portrait" r:id="rId1"/>
  <headerFooter alignWithMargins="0">
    <oddHeader>&amp;C&amp;"Algerian,Bold"&amp;36GUDIdA QANDARAASYADA QARANKA</oddHeader>
    <oddFooter>&amp;R&amp;"Times New Roman,Bold"&amp;14 &amp;16 50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9"/>
  <dimension ref="A1:R35"/>
  <sheetViews>
    <sheetView view="pageBreakPreview" zoomScale="60" workbookViewId="0">
      <selection activeCell="Q35" sqref="Q35"/>
    </sheetView>
  </sheetViews>
  <sheetFormatPr defaultRowHeight="36" customHeight="1"/>
  <cols>
    <col min="1" max="1" width="18.1640625" style="487" bestFit="1" customWidth="1"/>
    <col min="2" max="2" width="83.1640625" style="181" bestFit="1" customWidth="1"/>
    <col min="3" max="3" width="9" style="181" hidden="1" customWidth="1"/>
    <col min="4" max="4" width="0.83203125" style="181" hidden="1" customWidth="1"/>
    <col min="5" max="5" width="0.5" style="181" hidden="1" customWidth="1"/>
    <col min="6" max="6" width="9.33203125" style="181" hidden="1" customWidth="1"/>
    <col min="7" max="7" width="14.6640625" style="181" hidden="1" customWidth="1"/>
    <col min="8" max="9" width="16.5" style="181" hidden="1" customWidth="1"/>
    <col min="10" max="10" width="0.1640625" style="181" hidden="1" customWidth="1"/>
    <col min="11" max="11" width="16.5" style="181" hidden="1" customWidth="1"/>
    <col min="12" max="12" width="14.83203125" style="181" hidden="1" customWidth="1"/>
    <col min="13" max="13" width="0.1640625" style="181" hidden="1" customWidth="1"/>
    <col min="14" max="14" width="19.33203125" style="181" hidden="1" customWidth="1"/>
    <col min="15" max="15" width="24.5" style="371" hidden="1" customWidth="1"/>
    <col min="16" max="16" width="27.6640625" style="371" bestFit="1" customWidth="1"/>
    <col min="17" max="17" width="27.6640625" style="371" customWidth="1"/>
    <col min="18" max="18" width="24.5" style="371" bestFit="1" customWidth="1"/>
    <col min="19" max="16384" width="9.33203125" style="181"/>
  </cols>
  <sheetData>
    <row r="1" spans="1:18" ht="36" customHeight="1">
      <c r="A1" s="430" t="s">
        <v>21</v>
      </c>
      <c r="B1" s="354" t="s">
        <v>806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06"/>
      <c r="P1" s="106"/>
      <c r="Q1" s="106"/>
      <c r="R1" s="106"/>
    </row>
    <row r="2" spans="1:18" ht="36" customHeight="1">
      <c r="A2" s="430">
        <v>2110</v>
      </c>
      <c r="B2" s="251" t="s">
        <v>8</v>
      </c>
      <c r="C2" s="251" t="s">
        <v>19</v>
      </c>
      <c r="D2" s="251" t="s">
        <v>2</v>
      </c>
      <c r="E2" s="251" t="s">
        <v>24</v>
      </c>
      <c r="F2" s="256" t="s">
        <v>28</v>
      </c>
      <c r="G2" s="256" t="s">
        <v>28</v>
      </c>
      <c r="H2" s="256" t="s">
        <v>33</v>
      </c>
      <c r="I2" s="256" t="s">
        <v>40</v>
      </c>
      <c r="J2" s="256" t="s">
        <v>66</v>
      </c>
      <c r="K2" s="256" t="s">
        <v>69</v>
      </c>
      <c r="L2" s="256" t="s">
        <v>76</v>
      </c>
      <c r="M2" s="256" t="s">
        <v>112</v>
      </c>
      <c r="N2" s="256" t="s">
        <v>182</v>
      </c>
      <c r="O2" s="112" t="s">
        <v>538</v>
      </c>
      <c r="P2" s="112" t="s">
        <v>607</v>
      </c>
      <c r="Q2" s="112" t="s">
        <v>721</v>
      </c>
      <c r="R2" s="112" t="s">
        <v>34</v>
      </c>
    </row>
    <row r="3" spans="1:18" ht="36" customHeight="1">
      <c r="A3" s="169">
        <v>21101</v>
      </c>
      <c r="B3" s="118" t="s">
        <v>9</v>
      </c>
      <c r="C3" s="118"/>
      <c r="D3" s="118"/>
      <c r="E3" s="118"/>
      <c r="F3" s="118"/>
      <c r="G3" s="118" t="s">
        <v>4</v>
      </c>
      <c r="H3" s="118"/>
      <c r="I3" s="118"/>
      <c r="J3" s="118"/>
      <c r="K3" s="118"/>
      <c r="L3" s="485">
        <v>79965600</v>
      </c>
      <c r="M3" s="400">
        <v>115965600</v>
      </c>
      <c r="N3" s="400" t="e">
        <f>#REF!+36000000+20976000</f>
        <v>#REF!</v>
      </c>
      <c r="O3" s="70">
        <v>97938800</v>
      </c>
      <c r="P3" s="70">
        <v>242648640</v>
      </c>
      <c r="Q3" s="70">
        <v>246954240</v>
      </c>
      <c r="R3" s="70">
        <f>Q3-P3</f>
        <v>4305600</v>
      </c>
    </row>
    <row r="4" spans="1:18" ht="36" customHeight="1">
      <c r="A4" s="169">
        <v>21102</v>
      </c>
      <c r="B4" s="118" t="s">
        <v>473</v>
      </c>
      <c r="C4" s="66">
        <v>14053000</v>
      </c>
      <c r="D4" s="66">
        <v>18828000</v>
      </c>
      <c r="E4" s="66">
        <v>23040000</v>
      </c>
      <c r="F4" s="66">
        <v>22740000</v>
      </c>
      <c r="G4" s="66">
        <v>0</v>
      </c>
      <c r="H4" s="66">
        <f>36948000+3192000</f>
        <v>40140000</v>
      </c>
      <c r="I4" s="66">
        <v>49404000</v>
      </c>
      <c r="J4" s="66">
        <v>79965600</v>
      </c>
      <c r="K4" s="66">
        <v>79965600</v>
      </c>
      <c r="L4" s="485">
        <v>6780000</v>
      </c>
      <c r="M4" s="122">
        <v>6780000</v>
      </c>
      <c r="N4" s="122">
        <v>13560000</v>
      </c>
      <c r="O4" s="70">
        <v>67560000</v>
      </c>
      <c r="P4" s="70">
        <v>185584800</v>
      </c>
      <c r="Q4" s="70">
        <v>185584800</v>
      </c>
      <c r="R4" s="70">
        <f t="shared" ref="R4:R35" si="0">Q4-P4</f>
        <v>0</v>
      </c>
    </row>
    <row r="5" spans="1:18" ht="36" customHeight="1">
      <c r="A5" s="169">
        <v>21103</v>
      </c>
      <c r="B5" s="118" t="s">
        <v>74</v>
      </c>
      <c r="C5" s="66">
        <v>363600</v>
      </c>
      <c r="D5" s="66">
        <v>0</v>
      </c>
      <c r="E5" s="66">
        <v>0</v>
      </c>
      <c r="F5" s="66">
        <v>0</v>
      </c>
      <c r="G5" s="66">
        <v>0</v>
      </c>
      <c r="H5" s="66">
        <v>6780000</v>
      </c>
      <c r="I5" s="66">
        <v>6780000</v>
      </c>
      <c r="J5" s="66">
        <v>6780000</v>
      </c>
      <c r="K5" s="66">
        <v>6780000</v>
      </c>
      <c r="L5" s="485">
        <v>28800000</v>
      </c>
      <c r="M5" s="122">
        <f>26400000+2400000</f>
        <v>28800000</v>
      </c>
      <c r="N5" s="122">
        <f>26400000+2400000</f>
        <v>28800000</v>
      </c>
      <c r="O5" s="70">
        <v>68400000</v>
      </c>
      <c r="P5" s="70">
        <v>126000000</v>
      </c>
      <c r="Q5" s="70">
        <v>126000000</v>
      </c>
      <c r="R5" s="70">
        <f t="shared" si="0"/>
        <v>0</v>
      </c>
    </row>
    <row r="6" spans="1:18" ht="36" customHeight="1">
      <c r="A6" s="169">
        <v>21105</v>
      </c>
      <c r="B6" s="118" t="s">
        <v>339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129">
        <v>0</v>
      </c>
      <c r="M6" s="70">
        <v>0</v>
      </c>
      <c r="N6" s="70">
        <v>24000000</v>
      </c>
      <c r="O6" s="70">
        <f>N6</f>
        <v>24000000</v>
      </c>
      <c r="P6" s="70">
        <f>O6</f>
        <v>24000000</v>
      </c>
      <c r="Q6" s="70">
        <f>P6</f>
        <v>24000000</v>
      </c>
      <c r="R6" s="70">
        <f t="shared" si="0"/>
        <v>0</v>
      </c>
    </row>
    <row r="7" spans="1:18" ht="36" customHeight="1">
      <c r="A7" s="169"/>
      <c r="B7" s="106" t="s">
        <v>59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250">
        <f t="shared" ref="L7:Q7" si="1">SUM(L3:L6)</f>
        <v>115545600</v>
      </c>
      <c r="M7" s="111">
        <f t="shared" si="1"/>
        <v>151545600</v>
      </c>
      <c r="N7" s="111" t="e">
        <f t="shared" si="1"/>
        <v>#REF!</v>
      </c>
      <c r="O7" s="111">
        <f t="shared" si="1"/>
        <v>257898800</v>
      </c>
      <c r="P7" s="111">
        <f t="shared" si="1"/>
        <v>578233440</v>
      </c>
      <c r="Q7" s="111">
        <f t="shared" si="1"/>
        <v>582539040</v>
      </c>
      <c r="R7" s="111">
        <f t="shared" si="0"/>
        <v>4305600</v>
      </c>
    </row>
    <row r="8" spans="1:18" s="267" customFormat="1" ht="36" customHeight="1">
      <c r="A8" s="249">
        <v>2210</v>
      </c>
      <c r="B8" s="106" t="s">
        <v>12</v>
      </c>
      <c r="C8" s="66">
        <f t="shared" ref="C8:K8" si="2">SUM(C4:C7)</f>
        <v>14416600</v>
      </c>
      <c r="D8" s="66">
        <f t="shared" si="2"/>
        <v>18828000</v>
      </c>
      <c r="E8" s="66">
        <f t="shared" si="2"/>
        <v>23040000</v>
      </c>
      <c r="F8" s="66">
        <f t="shared" si="2"/>
        <v>22740000</v>
      </c>
      <c r="G8" s="66">
        <f t="shared" si="2"/>
        <v>0</v>
      </c>
      <c r="H8" s="66">
        <f t="shared" si="2"/>
        <v>46920000</v>
      </c>
      <c r="I8" s="106">
        <f t="shared" si="2"/>
        <v>56184000</v>
      </c>
      <c r="J8" s="106">
        <f t="shared" si="2"/>
        <v>86745600</v>
      </c>
      <c r="K8" s="106">
        <f t="shared" si="2"/>
        <v>86745600</v>
      </c>
      <c r="L8" s="130"/>
      <c r="M8" s="111"/>
      <c r="N8" s="111"/>
      <c r="O8" s="111"/>
      <c r="P8" s="111"/>
      <c r="Q8" s="111"/>
      <c r="R8" s="70">
        <f t="shared" si="0"/>
        <v>0</v>
      </c>
    </row>
    <row r="9" spans="1:18" ht="36" customHeight="1">
      <c r="A9" s="169">
        <v>22101</v>
      </c>
      <c r="B9" s="66" t="s">
        <v>14</v>
      </c>
      <c r="C9" s="66"/>
      <c r="D9" s="66"/>
      <c r="E9" s="66"/>
      <c r="F9" s="66"/>
      <c r="G9" s="66"/>
      <c r="H9" s="66"/>
      <c r="I9" s="66"/>
      <c r="J9" s="66"/>
      <c r="K9" s="66"/>
      <c r="L9" s="129">
        <v>24578400</v>
      </c>
      <c r="M9" s="70">
        <v>50578400</v>
      </c>
      <c r="N9" s="70">
        <f>50578400*70%</f>
        <v>35404880</v>
      </c>
      <c r="O9" s="70">
        <v>45404880</v>
      </c>
      <c r="P9" s="70">
        <v>45404880</v>
      </c>
      <c r="Q9" s="70">
        <v>70404880</v>
      </c>
      <c r="R9" s="70">
        <f t="shared" si="0"/>
        <v>25000000</v>
      </c>
    </row>
    <row r="10" spans="1:18" ht="36" customHeight="1">
      <c r="A10" s="169">
        <v>22104</v>
      </c>
      <c r="B10" s="66" t="s">
        <v>15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129">
        <v>8937600</v>
      </c>
      <c r="M10" s="70">
        <v>18937600</v>
      </c>
      <c r="N10" s="70">
        <f>18937600*70%</f>
        <v>13256320</v>
      </c>
      <c r="O10" s="70">
        <f>18937600*70%</f>
        <v>13256320</v>
      </c>
      <c r="P10" s="70">
        <f>18937600*70%</f>
        <v>13256320</v>
      </c>
      <c r="Q10" s="70">
        <f>18937600*70%</f>
        <v>13256320</v>
      </c>
      <c r="R10" s="70">
        <f t="shared" si="0"/>
        <v>0</v>
      </c>
    </row>
    <row r="11" spans="1:18" ht="36" customHeight="1">
      <c r="A11" s="169">
        <v>22105</v>
      </c>
      <c r="B11" s="66" t="s">
        <v>93</v>
      </c>
      <c r="C11" s="66">
        <v>7576740</v>
      </c>
      <c r="D11" s="66">
        <v>6576534</v>
      </c>
      <c r="E11" s="66">
        <v>6576534</v>
      </c>
      <c r="F11" s="66">
        <v>11000000</v>
      </c>
      <c r="G11" s="66">
        <v>0</v>
      </c>
      <c r="H11" s="66">
        <v>45560000</v>
      </c>
      <c r="I11" s="66">
        <v>100000000</v>
      </c>
      <c r="J11" s="66">
        <v>100000000</v>
      </c>
      <c r="K11" s="66">
        <v>115000000</v>
      </c>
      <c r="L11" s="129">
        <v>0</v>
      </c>
      <c r="M11" s="70">
        <v>0</v>
      </c>
      <c r="N11" s="70">
        <v>0</v>
      </c>
      <c r="O11" s="70">
        <v>0</v>
      </c>
      <c r="P11" s="70">
        <v>0</v>
      </c>
      <c r="Q11" s="70">
        <v>42000000</v>
      </c>
      <c r="R11" s="70">
        <f t="shared" si="0"/>
        <v>42000000</v>
      </c>
    </row>
    <row r="12" spans="1:18" ht="36" customHeight="1">
      <c r="A12" s="169">
        <v>22107</v>
      </c>
      <c r="B12" s="66" t="s">
        <v>30</v>
      </c>
      <c r="C12" s="66">
        <v>1000000</v>
      </c>
      <c r="D12" s="66">
        <v>1000000</v>
      </c>
      <c r="E12" s="66">
        <v>1000000</v>
      </c>
      <c r="F12" s="66">
        <v>1000000</v>
      </c>
      <c r="G12" s="66">
        <v>0</v>
      </c>
      <c r="H12" s="66">
        <v>12000000</v>
      </c>
      <c r="I12" s="66">
        <v>15000000</v>
      </c>
      <c r="J12" s="66">
        <v>14896000</v>
      </c>
      <c r="K12" s="66">
        <v>14896000</v>
      </c>
      <c r="L12" s="129">
        <v>0</v>
      </c>
      <c r="M12" s="70">
        <v>0</v>
      </c>
      <c r="N12" s="70">
        <v>0</v>
      </c>
      <c r="O12" s="70">
        <v>20000000</v>
      </c>
      <c r="P12" s="70">
        <v>20000000</v>
      </c>
      <c r="Q12" s="70">
        <v>20000000</v>
      </c>
      <c r="R12" s="70">
        <f t="shared" si="0"/>
        <v>0</v>
      </c>
    </row>
    <row r="13" spans="1:18" ht="36" customHeight="1">
      <c r="A13" s="169">
        <v>22109</v>
      </c>
      <c r="B13" s="66" t="s">
        <v>94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129">
        <v>8937600</v>
      </c>
      <c r="M13" s="70">
        <v>9165672</v>
      </c>
      <c r="N13" s="70">
        <v>9165672</v>
      </c>
      <c r="O13" s="70">
        <v>9165672</v>
      </c>
      <c r="P13" s="70">
        <v>9165672</v>
      </c>
      <c r="Q13" s="70">
        <v>9165672</v>
      </c>
      <c r="R13" s="70">
        <f t="shared" si="0"/>
        <v>0</v>
      </c>
    </row>
    <row r="14" spans="1:18" s="267" customFormat="1" ht="36" customHeight="1">
      <c r="A14" s="169">
        <v>22112</v>
      </c>
      <c r="B14" s="66" t="s">
        <v>16</v>
      </c>
      <c r="C14" s="66">
        <f t="shared" ref="C14:K14" si="3">SUM(C10:C13)</f>
        <v>8576740</v>
      </c>
      <c r="D14" s="66">
        <f t="shared" si="3"/>
        <v>7576534</v>
      </c>
      <c r="E14" s="66">
        <f t="shared" si="3"/>
        <v>7576534</v>
      </c>
      <c r="F14" s="66">
        <f t="shared" si="3"/>
        <v>12000000</v>
      </c>
      <c r="G14" s="66">
        <f t="shared" si="3"/>
        <v>0</v>
      </c>
      <c r="H14" s="66">
        <f t="shared" si="3"/>
        <v>57560000</v>
      </c>
      <c r="I14" s="106">
        <f t="shared" si="3"/>
        <v>115000000</v>
      </c>
      <c r="J14" s="106">
        <f t="shared" si="3"/>
        <v>114896000</v>
      </c>
      <c r="K14" s="106">
        <f t="shared" si="3"/>
        <v>129896000</v>
      </c>
      <c r="L14" s="129">
        <v>11916800</v>
      </c>
      <c r="M14" s="70">
        <v>15916800</v>
      </c>
      <c r="N14" s="70">
        <f>15916800*70%</f>
        <v>11141760</v>
      </c>
      <c r="O14" s="70">
        <v>17141760</v>
      </c>
      <c r="P14" s="70">
        <v>27141760</v>
      </c>
      <c r="Q14" s="70">
        <v>27141760</v>
      </c>
      <c r="R14" s="70">
        <f t="shared" si="0"/>
        <v>0</v>
      </c>
    </row>
    <row r="15" spans="1:18" ht="36" customHeight="1">
      <c r="A15" s="169">
        <v>22129</v>
      </c>
      <c r="B15" s="66" t="s">
        <v>101</v>
      </c>
      <c r="C15" s="66"/>
      <c r="D15" s="66"/>
      <c r="E15" s="66"/>
      <c r="F15" s="66"/>
      <c r="G15" s="66"/>
      <c r="H15" s="66"/>
      <c r="I15" s="66"/>
      <c r="J15" s="66"/>
      <c r="K15" s="66"/>
      <c r="L15" s="129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f t="shared" si="0"/>
        <v>0</v>
      </c>
    </row>
    <row r="16" spans="1:18" ht="36" customHeight="1">
      <c r="A16" s="169">
        <v>22130</v>
      </c>
      <c r="B16" s="66" t="s">
        <v>672</v>
      </c>
      <c r="C16" s="66"/>
      <c r="D16" s="66"/>
      <c r="E16" s="66"/>
      <c r="F16" s="66"/>
      <c r="G16" s="66"/>
      <c r="H16" s="66"/>
      <c r="I16" s="66"/>
      <c r="J16" s="66"/>
      <c r="K16" s="66"/>
      <c r="L16" s="129"/>
      <c r="M16" s="70"/>
      <c r="N16" s="70"/>
      <c r="O16" s="70">
        <v>0</v>
      </c>
      <c r="P16" s="70">
        <v>150000000</v>
      </c>
      <c r="Q16" s="70">
        <v>200000000</v>
      </c>
      <c r="R16" s="70">
        <f t="shared" si="0"/>
        <v>50000000</v>
      </c>
    </row>
    <row r="17" spans="1:18" ht="36" customHeight="1">
      <c r="A17" s="169"/>
      <c r="B17" s="106" t="s">
        <v>59</v>
      </c>
      <c r="C17" s="66"/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130">
        <f t="shared" ref="L17:Q17" si="4">SUM(L9:L16)</f>
        <v>54370400</v>
      </c>
      <c r="M17" s="111">
        <f t="shared" si="4"/>
        <v>94598472</v>
      </c>
      <c r="N17" s="111">
        <f t="shared" si="4"/>
        <v>68968632</v>
      </c>
      <c r="O17" s="111">
        <f t="shared" si="4"/>
        <v>104968632</v>
      </c>
      <c r="P17" s="111">
        <f t="shared" si="4"/>
        <v>264968632</v>
      </c>
      <c r="Q17" s="111">
        <f t="shared" si="4"/>
        <v>381968632</v>
      </c>
      <c r="R17" s="111">
        <f t="shared" si="0"/>
        <v>117000000</v>
      </c>
    </row>
    <row r="18" spans="1:18" ht="36" customHeight="1">
      <c r="A18" s="249">
        <v>2220</v>
      </c>
      <c r="B18" s="106" t="s">
        <v>89</v>
      </c>
      <c r="C18" s="66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4468800</v>
      </c>
      <c r="K18" s="66">
        <v>4468800</v>
      </c>
      <c r="L18" s="129"/>
      <c r="M18" s="70"/>
      <c r="N18" s="70"/>
      <c r="O18" s="70"/>
      <c r="P18" s="70"/>
      <c r="Q18" s="70"/>
      <c r="R18" s="70">
        <f t="shared" si="0"/>
        <v>0</v>
      </c>
    </row>
    <row r="19" spans="1:18" ht="36" customHeight="1">
      <c r="A19" s="169">
        <v>22201</v>
      </c>
      <c r="B19" s="66" t="s">
        <v>90</v>
      </c>
      <c r="C19" s="66"/>
      <c r="D19" s="66">
        <v>0</v>
      </c>
      <c r="E19" s="66">
        <v>0</v>
      </c>
      <c r="F19" s="66">
        <v>0</v>
      </c>
      <c r="G19" s="66">
        <v>0</v>
      </c>
      <c r="H19" s="66">
        <v>2400000</v>
      </c>
      <c r="I19" s="66">
        <v>3000000</v>
      </c>
      <c r="J19" s="66">
        <v>2979200</v>
      </c>
      <c r="K19" s="66">
        <v>2979200</v>
      </c>
      <c r="L19" s="129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f t="shared" si="0"/>
        <v>0</v>
      </c>
    </row>
    <row r="20" spans="1:18" s="267" customFormat="1" ht="36" customHeight="1">
      <c r="A20" s="169">
        <v>22202</v>
      </c>
      <c r="B20" s="66" t="s">
        <v>91</v>
      </c>
      <c r="C20" s="66" t="e">
        <f>SUM(#REF!)</f>
        <v>#REF!</v>
      </c>
      <c r="D20" s="66">
        <v>0</v>
      </c>
      <c r="E20" s="66">
        <f t="shared" ref="E20:K20" si="5">SUM(E17:E19)</f>
        <v>0</v>
      </c>
      <c r="F20" s="66">
        <f t="shared" si="5"/>
        <v>0</v>
      </c>
      <c r="G20" s="66">
        <f t="shared" si="5"/>
        <v>0</v>
      </c>
      <c r="H20" s="66">
        <f t="shared" si="5"/>
        <v>2400000</v>
      </c>
      <c r="I20" s="106">
        <f t="shared" si="5"/>
        <v>3000000</v>
      </c>
      <c r="J20" s="106">
        <f t="shared" si="5"/>
        <v>7448000</v>
      </c>
      <c r="K20" s="106">
        <f t="shared" si="5"/>
        <v>7448000</v>
      </c>
      <c r="L20" s="129">
        <v>100000000</v>
      </c>
      <c r="M20" s="70">
        <v>160000000</v>
      </c>
      <c r="N20" s="128">
        <f>160000000*70%+48000000</f>
        <v>160000000</v>
      </c>
      <c r="O20" s="128">
        <v>128000000</v>
      </c>
      <c r="P20" s="128">
        <v>148000000</v>
      </c>
      <c r="Q20" s="128">
        <v>148000000</v>
      </c>
      <c r="R20" s="70">
        <f t="shared" si="0"/>
        <v>0</v>
      </c>
    </row>
    <row r="21" spans="1:18" ht="36" customHeight="1">
      <c r="A21" s="169">
        <v>22203</v>
      </c>
      <c r="B21" s="66" t="s">
        <v>85</v>
      </c>
      <c r="C21" s="66"/>
      <c r="D21" s="66"/>
      <c r="E21" s="66"/>
      <c r="F21" s="66"/>
      <c r="G21" s="66"/>
      <c r="H21" s="66"/>
      <c r="I21" s="66"/>
      <c r="J21" s="66"/>
      <c r="K21" s="66"/>
      <c r="L21" s="129">
        <v>11172000</v>
      </c>
      <c r="M21" s="70">
        <v>11172000</v>
      </c>
      <c r="N21" s="70">
        <f>11172000*70%</f>
        <v>7820399.9999999991</v>
      </c>
      <c r="O21" s="70">
        <v>20000000</v>
      </c>
      <c r="P21" s="70">
        <v>20000000</v>
      </c>
      <c r="Q21" s="70">
        <v>20000000</v>
      </c>
      <c r="R21" s="70">
        <f t="shared" si="0"/>
        <v>0</v>
      </c>
    </row>
    <row r="22" spans="1:18" ht="36" customHeight="1">
      <c r="A22" s="169">
        <v>22204</v>
      </c>
      <c r="B22" s="66" t="s">
        <v>86</v>
      </c>
      <c r="C22" s="66">
        <v>3923340</v>
      </c>
      <c r="D22" s="66">
        <v>3951000</v>
      </c>
      <c r="E22" s="66">
        <v>3951000</v>
      </c>
      <c r="F22" s="66">
        <v>3951000</v>
      </c>
      <c r="G22" s="66">
        <v>0</v>
      </c>
      <c r="H22" s="66">
        <v>4000000</v>
      </c>
      <c r="I22" s="66">
        <v>12000000</v>
      </c>
      <c r="J22" s="66">
        <v>11172000</v>
      </c>
      <c r="K22" s="66">
        <v>17172000</v>
      </c>
      <c r="L22" s="129">
        <v>14896000</v>
      </c>
      <c r="M22" s="70">
        <v>14896000</v>
      </c>
      <c r="N22" s="70">
        <f>14896000*70%</f>
        <v>10427200</v>
      </c>
      <c r="O22" s="70">
        <f>14896000*70%</f>
        <v>10427200</v>
      </c>
      <c r="P22" s="70">
        <f>14896000*70%</f>
        <v>10427200</v>
      </c>
      <c r="Q22" s="70">
        <f>14896000*70%</f>
        <v>10427200</v>
      </c>
      <c r="R22" s="70">
        <f t="shared" si="0"/>
        <v>0</v>
      </c>
    </row>
    <row r="23" spans="1:18" ht="36" customHeight="1">
      <c r="A23" s="249"/>
      <c r="B23" s="106" t="s">
        <v>59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6000000</v>
      </c>
      <c r="L23" s="130">
        <f t="shared" ref="L23:Q23" si="6">SUM(L19:L22)</f>
        <v>126068000</v>
      </c>
      <c r="M23" s="111">
        <f t="shared" si="6"/>
        <v>186068000</v>
      </c>
      <c r="N23" s="111">
        <f t="shared" si="6"/>
        <v>178247600</v>
      </c>
      <c r="O23" s="111">
        <f t="shared" si="6"/>
        <v>158427200</v>
      </c>
      <c r="P23" s="111">
        <f t="shared" si="6"/>
        <v>178427200</v>
      </c>
      <c r="Q23" s="111">
        <f t="shared" si="6"/>
        <v>178427200</v>
      </c>
      <c r="R23" s="111">
        <f t="shared" si="0"/>
        <v>0</v>
      </c>
    </row>
    <row r="24" spans="1:18" ht="36" customHeight="1">
      <c r="A24" s="249">
        <v>2230</v>
      </c>
      <c r="B24" s="106" t="s">
        <v>88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129"/>
      <c r="M24" s="70"/>
      <c r="N24" s="70"/>
      <c r="O24" s="70"/>
      <c r="P24" s="70"/>
      <c r="Q24" s="70"/>
      <c r="R24" s="70">
        <f t="shared" ref="R24:R27" si="7">Q24-P24</f>
        <v>0</v>
      </c>
    </row>
    <row r="25" spans="1:18" ht="36" customHeight="1">
      <c r="A25" s="169">
        <v>22301</v>
      </c>
      <c r="B25" s="66" t="s">
        <v>108</v>
      </c>
      <c r="C25" s="66">
        <v>4000000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129">
        <v>11172000</v>
      </c>
      <c r="M25" s="70">
        <f>11172000+18000000</f>
        <v>29172000</v>
      </c>
      <c r="N25" s="70">
        <f>29172000*70%</f>
        <v>20420400</v>
      </c>
      <c r="O25" s="70">
        <v>30420400</v>
      </c>
      <c r="P25" s="70">
        <v>30420400</v>
      </c>
      <c r="Q25" s="70">
        <v>30420400</v>
      </c>
      <c r="R25" s="70">
        <f t="shared" si="7"/>
        <v>0</v>
      </c>
    </row>
    <row r="26" spans="1:18" ht="36" customHeight="1">
      <c r="A26" s="169">
        <v>22302</v>
      </c>
      <c r="B26" s="66" t="s">
        <v>308</v>
      </c>
      <c r="C26" s="66">
        <v>937420</v>
      </c>
      <c r="D26" s="66">
        <v>0</v>
      </c>
      <c r="E26" s="66">
        <v>0</v>
      </c>
      <c r="F26" s="66">
        <v>0</v>
      </c>
      <c r="G26" s="66">
        <v>0</v>
      </c>
      <c r="H26" s="66">
        <v>4800000</v>
      </c>
      <c r="I26" s="66">
        <v>10000000</v>
      </c>
      <c r="J26" s="66">
        <v>8937600</v>
      </c>
      <c r="K26" s="66">
        <v>13001600</v>
      </c>
      <c r="L26" s="129">
        <v>2979200</v>
      </c>
      <c r="M26" s="70">
        <v>2979200</v>
      </c>
      <c r="N26" s="70">
        <f>2979200*70%</f>
        <v>2085439.9999999998</v>
      </c>
      <c r="O26" s="70">
        <v>25000000</v>
      </c>
      <c r="P26" s="70">
        <v>50000000</v>
      </c>
      <c r="Q26" s="70">
        <v>0</v>
      </c>
      <c r="R26" s="70">
        <f t="shared" si="7"/>
        <v>-50000000</v>
      </c>
    </row>
    <row r="27" spans="1:18" ht="36" customHeight="1">
      <c r="A27" s="169"/>
      <c r="B27" s="106" t="s">
        <v>59</v>
      </c>
      <c r="C27" s="66"/>
      <c r="D27" s="66"/>
      <c r="E27" s="66"/>
      <c r="F27" s="66"/>
      <c r="G27" s="66"/>
      <c r="H27" s="66"/>
      <c r="I27" s="66"/>
      <c r="J27" s="66"/>
      <c r="K27" s="66"/>
      <c r="L27" s="130">
        <f t="shared" ref="L27:Q27" si="8">SUM(L25:L26)</f>
        <v>14151200</v>
      </c>
      <c r="M27" s="111">
        <f t="shared" si="8"/>
        <v>32151200</v>
      </c>
      <c r="N27" s="111">
        <f t="shared" si="8"/>
        <v>22505840</v>
      </c>
      <c r="O27" s="111">
        <f t="shared" si="8"/>
        <v>55420400</v>
      </c>
      <c r="P27" s="111">
        <f t="shared" si="8"/>
        <v>80420400</v>
      </c>
      <c r="Q27" s="111">
        <f t="shared" si="8"/>
        <v>30420400</v>
      </c>
      <c r="R27" s="111">
        <f t="shared" si="7"/>
        <v>-50000000</v>
      </c>
    </row>
    <row r="28" spans="1:18" ht="36" customHeight="1">
      <c r="A28" s="249">
        <v>230</v>
      </c>
      <c r="B28" s="106" t="s">
        <v>102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2979200</v>
      </c>
      <c r="K28" s="66">
        <v>2979200</v>
      </c>
      <c r="L28" s="129"/>
      <c r="M28" s="70"/>
      <c r="N28" s="70"/>
      <c r="O28" s="70"/>
      <c r="P28" s="70"/>
      <c r="Q28" s="70"/>
      <c r="R28" s="70">
        <f t="shared" si="0"/>
        <v>0</v>
      </c>
    </row>
    <row r="29" spans="1:18" s="267" customFormat="1" ht="36" customHeight="1">
      <c r="A29" s="249">
        <v>2310</v>
      </c>
      <c r="B29" s="106" t="s">
        <v>103</v>
      </c>
      <c r="C29" s="66">
        <f t="shared" ref="C29:K29" si="9">SUM(C22:C28)</f>
        <v>8860760</v>
      </c>
      <c r="D29" s="66">
        <f t="shared" si="9"/>
        <v>3951000</v>
      </c>
      <c r="E29" s="66">
        <f t="shared" si="9"/>
        <v>3951000</v>
      </c>
      <c r="F29" s="66">
        <f t="shared" si="9"/>
        <v>3951000</v>
      </c>
      <c r="G29" s="66">
        <f t="shared" si="9"/>
        <v>0</v>
      </c>
      <c r="H29" s="66">
        <f t="shared" si="9"/>
        <v>8800000</v>
      </c>
      <c r="I29" s="106">
        <f t="shared" si="9"/>
        <v>22000000</v>
      </c>
      <c r="J29" s="106">
        <f t="shared" si="9"/>
        <v>23088800</v>
      </c>
      <c r="K29" s="106">
        <f t="shared" si="9"/>
        <v>39152800</v>
      </c>
      <c r="L29" s="130"/>
      <c r="M29" s="111"/>
      <c r="N29" s="111"/>
      <c r="O29" s="111"/>
      <c r="P29" s="111"/>
      <c r="Q29" s="111"/>
      <c r="R29" s="70">
        <f t="shared" si="0"/>
        <v>0</v>
      </c>
    </row>
    <row r="30" spans="1:18" ht="36" customHeight="1">
      <c r="A30" s="169">
        <v>23101</v>
      </c>
      <c r="B30" s="66" t="s">
        <v>104</v>
      </c>
      <c r="C30" s="66"/>
      <c r="D30" s="66"/>
      <c r="E30" s="66"/>
      <c r="F30" s="66"/>
      <c r="G30" s="66"/>
      <c r="H30" s="66"/>
      <c r="I30" s="66"/>
      <c r="J30" s="66"/>
      <c r="K30" s="66"/>
      <c r="L30" s="129">
        <v>7448000</v>
      </c>
      <c r="M30" s="70">
        <v>7448000</v>
      </c>
      <c r="N30" s="70">
        <f>7448000*70%</f>
        <v>5213600</v>
      </c>
      <c r="O30" s="70">
        <v>0</v>
      </c>
      <c r="P30" s="70">
        <v>0</v>
      </c>
      <c r="Q30" s="70">
        <v>0</v>
      </c>
      <c r="R30" s="70">
        <f t="shared" si="0"/>
        <v>0</v>
      </c>
    </row>
    <row r="31" spans="1:18" ht="36" customHeight="1">
      <c r="A31" s="169">
        <v>23102</v>
      </c>
      <c r="B31" s="66" t="s">
        <v>105</v>
      </c>
      <c r="C31" s="66">
        <v>168000</v>
      </c>
      <c r="D31" s="66">
        <v>0</v>
      </c>
      <c r="E31" s="66">
        <v>0</v>
      </c>
      <c r="F31" s="66">
        <v>0</v>
      </c>
      <c r="G31" s="66">
        <v>0</v>
      </c>
      <c r="H31" s="66">
        <v>12440000</v>
      </c>
      <c r="I31" s="66">
        <v>18000000</v>
      </c>
      <c r="J31" s="66">
        <v>24578400</v>
      </c>
      <c r="K31" s="66">
        <v>34578400</v>
      </c>
      <c r="L31" s="129">
        <v>0</v>
      </c>
      <c r="M31" s="70">
        <v>0</v>
      </c>
      <c r="N31" s="70">
        <v>0</v>
      </c>
      <c r="O31" s="70">
        <v>0</v>
      </c>
      <c r="P31" s="70">
        <v>42000000</v>
      </c>
      <c r="Q31" s="70">
        <v>0</v>
      </c>
      <c r="R31" s="70">
        <f t="shared" si="0"/>
        <v>-42000000</v>
      </c>
    </row>
    <row r="32" spans="1:18" ht="36" customHeight="1">
      <c r="A32" s="169">
        <v>23103</v>
      </c>
      <c r="B32" s="66" t="s">
        <v>106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129">
        <v>4468800</v>
      </c>
      <c r="M32" s="70">
        <v>4468800</v>
      </c>
      <c r="N32" s="70">
        <f>4468800*70%</f>
        <v>3128160</v>
      </c>
      <c r="O32" s="70">
        <v>0</v>
      </c>
      <c r="P32" s="70">
        <v>0</v>
      </c>
      <c r="Q32" s="70">
        <v>0</v>
      </c>
      <c r="R32" s="70">
        <f t="shared" si="0"/>
        <v>0</v>
      </c>
    </row>
    <row r="33" spans="1:18" ht="36" customHeight="1">
      <c r="A33" s="169">
        <v>23104</v>
      </c>
      <c r="B33" s="66" t="s">
        <v>107</v>
      </c>
      <c r="C33" s="66">
        <v>1746000</v>
      </c>
      <c r="D33" s="66">
        <v>1000000</v>
      </c>
      <c r="E33" s="66">
        <v>1000000</v>
      </c>
      <c r="F33" s="66">
        <v>2000000</v>
      </c>
      <c r="G33" s="66">
        <v>0</v>
      </c>
      <c r="H33" s="66">
        <v>5060000</v>
      </c>
      <c r="I33" s="66">
        <v>6325000</v>
      </c>
      <c r="J33" s="66">
        <v>8937600</v>
      </c>
      <c r="K33" s="66">
        <v>16937600</v>
      </c>
      <c r="L33" s="129">
        <v>2979200</v>
      </c>
      <c r="M33" s="70">
        <v>2979200</v>
      </c>
      <c r="N33" s="70">
        <f>2979200*70%</f>
        <v>2085439.9999999998</v>
      </c>
      <c r="O33" s="70">
        <v>0</v>
      </c>
      <c r="P33" s="70">
        <v>0</v>
      </c>
      <c r="Q33" s="70">
        <v>0</v>
      </c>
      <c r="R33" s="70">
        <f t="shared" si="0"/>
        <v>0</v>
      </c>
    </row>
    <row r="34" spans="1:18" ht="36" customHeight="1">
      <c r="A34" s="169"/>
      <c r="B34" s="106" t="s">
        <v>59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130">
        <f t="shared" ref="L34:Q34" si="10">SUM(L30:L33)</f>
        <v>14896000</v>
      </c>
      <c r="M34" s="111">
        <f t="shared" si="10"/>
        <v>14896000</v>
      </c>
      <c r="N34" s="111">
        <f t="shared" si="10"/>
        <v>10427200</v>
      </c>
      <c r="O34" s="111">
        <f t="shared" si="10"/>
        <v>0</v>
      </c>
      <c r="P34" s="111">
        <f t="shared" si="10"/>
        <v>42000000</v>
      </c>
      <c r="Q34" s="111">
        <f t="shared" si="10"/>
        <v>0</v>
      </c>
      <c r="R34" s="111">
        <f t="shared" si="0"/>
        <v>-42000000</v>
      </c>
    </row>
    <row r="35" spans="1:18" ht="36" customHeight="1">
      <c r="A35" s="486"/>
      <c r="B35" s="251" t="s">
        <v>18</v>
      </c>
      <c r="C35" s="66">
        <v>0</v>
      </c>
      <c r="D35" s="66">
        <v>0</v>
      </c>
      <c r="E35" s="66">
        <v>495000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130" t="e">
        <f>#REF!+#REF!+L34+L23+L17+L7</f>
        <v>#REF!</v>
      </c>
      <c r="M35" s="111" t="e">
        <f>#REF!+M34+M23+M17+M7</f>
        <v>#REF!</v>
      </c>
      <c r="N35" s="111" t="e">
        <f>#REF!+N34+N23+N17+N7</f>
        <v>#REF!</v>
      </c>
      <c r="O35" s="111" t="e">
        <f>#REF!+O34+O23+O17+O7</f>
        <v>#REF!</v>
      </c>
      <c r="P35" s="111">
        <f>P34+P27+P23+P17+P7</f>
        <v>1144049672</v>
      </c>
      <c r="Q35" s="111">
        <f>Q34+Q27+Q23+Q17+Q7</f>
        <v>1173355272</v>
      </c>
      <c r="R35" s="111">
        <f t="shared" si="0"/>
        <v>29305600</v>
      </c>
    </row>
  </sheetData>
  <phoneticPr fontId="0" type="noConversion"/>
  <printOptions gridLines="1"/>
  <pageMargins left="0.73" right="0.25" top="0.78" bottom="0.64" header="0.27" footer="0.31"/>
  <pageSetup scale="55" orientation="portrait" r:id="rId1"/>
  <headerFooter alignWithMargins="0">
    <oddHeader>&amp;C&amp;"Algerian,Bold"&amp;24HAY'ADA DEEGAANKA CILM. B. IYO U DIYAARGAWGA DHIBAATOOYINKA (NERAD)</oddHeader>
    <oddFooter>&amp;R&amp;"Times New Roman,Bold"&amp;14 51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workbookViewId="0">
      <selection activeCell="K17" sqref="K17"/>
    </sheetView>
  </sheetViews>
  <sheetFormatPr defaultRowHeight="27.95" customHeight="1"/>
  <cols>
    <col min="1" max="1" width="20.33203125" style="471" bestFit="1" customWidth="1"/>
    <col min="2" max="2" width="82" style="483" customWidth="1"/>
    <col min="3" max="3" width="21.33203125" style="181" hidden="1" customWidth="1"/>
    <col min="4" max="4" width="22.5" style="181" hidden="1" customWidth="1"/>
    <col min="5" max="5" width="27.6640625" style="273" hidden="1" customWidth="1"/>
    <col min="6" max="6" width="27.6640625" style="273" bestFit="1" customWidth="1"/>
    <col min="7" max="7" width="27.6640625" style="273" customWidth="1"/>
    <col min="8" max="8" width="24.5" style="273" bestFit="1" customWidth="1"/>
    <col min="9" max="16384" width="9.33203125" style="181"/>
  </cols>
  <sheetData>
    <row r="1" spans="1:8" ht="27.95" customHeight="1">
      <c r="A1" s="430" t="s">
        <v>21</v>
      </c>
      <c r="B1" s="354" t="s">
        <v>807</v>
      </c>
      <c r="C1" s="354"/>
      <c r="D1" s="354"/>
      <c r="E1" s="130"/>
      <c r="F1" s="130"/>
      <c r="G1" s="130"/>
      <c r="H1" s="130"/>
    </row>
    <row r="2" spans="1:8" ht="27.95" customHeight="1">
      <c r="A2" s="430" t="s">
        <v>6</v>
      </c>
      <c r="B2" s="354" t="s">
        <v>7</v>
      </c>
      <c r="C2" s="354" t="s">
        <v>110</v>
      </c>
      <c r="D2" s="354" t="s">
        <v>166</v>
      </c>
      <c r="E2" s="130" t="s">
        <v>538</v>
      </c>
      <c r="F2" s="130" t="s">
        <v>607</v>
      </c>
      <c r="G2" s="130" t="s">
        <v>722</v>
      </c>
      <c r="H2" s="130" t="s">
        <v>34</v>
      </c>
    </row>
    <row r="3" spans="1:8" ht="27.95" customHeight="1">
      <c r="A3" s="249">
        <v>210</v>
      </c>
      <c r="B3" s="106" t="s">
        <v>95</v>
      </c>
      <c r="C3" s="354"/>
      <c r="D3" s="354"/>
      <c r="E3" s="130"/>
      <c r="F3" s="130"/>
      <c r="G3" s="130"/>
      <c r="H3" s="130"/>
    </row>
    <row r="4" spans="1:8" ht="27.95" customHeight="1">
      <c r="A4" s="249">
        <v>2110</v>
      </c>
      <c r="B4" s="106" t="s">
        <v>155</v>
      </c>
      <c r="C4" s="185"/>
      <c r="D4" s="185"/>
      <c r="E4" s="129"/>
      <c r="F4" s="129"/>
      <c r="G4" s="129"/>
      <c r="H4" s="129"/>
    </row>
    <row r="5" spans="1:8" ht="27.95" customHeight="1">
      <c r="A5" s="169">
        <v>21101</v>
      </c>
      <c r="B5" s="66" t="s">
        <v>9</v>
      </c>
      <c r="C5" s="185">
        <v>0</v>
      </c>
      <c r="D5" s="185">
        <v>539292000</v>
      </c>
      <c r="E5" s="129">
        <v>540103200</v>
      </c>
      <c r="F5" s="129">
        <v>633672000</v>
      </c>
      <c r="G5" s="129">
        <v>715890240</v>
      </c>
      <c r="H5" s="129">
        <f>G5-F5</f>
        <v>82218240</v>
      </c>
    </row>
    <row r="6" spans="1:8" ht="27.95" customHeight="1">
      <c r="A6" s="169">
        <v>21102</v>
      </c>
      <c r="B6" s="66" t="s">
        <v>474</v>
      </c>
      <c r="C6" s="185">
        <v>0</v>
      </c>
      <c r="D6" s="185">
        <v>22500000</v>
      </c>
      <c r="E6" s="129">
        <v>54000000</v>
      </c>
      <c r="F6" s="129">
        <v>114000000</v>
      </c>
      <c r="G6" s="129">
        <v>114000000</v>
      </c>
      <c r="H6" s="129">
        <f t="shared" ref="H6:H45" si="0">G6-F6</f>
        <v>0</v>
      </c>
    </row>
    <row r="7" spans="1:8" ht="27.95" customHeight="1">
      <c r="A7" s="169">
        <v>21103</v>
      </c>
      <c r="B7" s="66" t="s">
        <v>11</v>
      </c>
      <c r="C7" s="129">
        <f>SUM(C5:C6)</f>
        <v>0</v>
      </c>
      <c r="D7" s="129">
        <v>86400000</v>
      </c>
      <c r="E7" s="129">
        <v>104400000</v>
      </c>
      <c r="F7" s="129">
        <v>198000000</v>
      </c>
      <c r="G7" s="129">
        <v>198000000</v>
      </c>
      <c r="H7" s="129">
        <f t="shared" si="0"/>
        <v>0</v>
      </c>
    </row>
    <row r="8" spans="1:8" ht="27.95" customHeight="1">
      <c r="A8" s="169"/>
      <c r="B8" s="106" t="s">
        <v>59</v>
      </c>
      <c r="C8" s="129" t="e">
        <f>SUM(#REF!)</f>
        <v>#REF!</v>
      </c>
      <c r="D8" s="130">
        <f>SUM(D5:D7)</f>
        <v>648192000</v>
      </c>
      <c r="E8" s="130">
        <f>SUM(E5:E7)</f>
        <v>698503200</v>
      </c>
      <c r="F8" s="130">
        <f>SUM(F5:F7)</f>
        <v>945672000</v>
      </c>
      <c r="G8" s="130">
        <f>SUM(G5:G7)</f>
        <v>1027890240</v>
      </c>
      <c r="H8" s="130">
        <f t="shared" si="0"/>
        <v>82218240</v>
      </c>
    </row>
    <row r="9" spans="1:8" ht="27.95" customHeight="1">
      <c r="A9" s="249">
        <v>220</v>
      </c>
      <c r="B9" s="106" t="s">
        <v>159</v>
      </c>
      <c r="C9" s="129"/>
      <c r="D9" s="129"/>
      <c r="E9" s="129"/>
      <c r="F9" s="129"/>
      <c r="G9" s="129"/>
      <c r="H9" s="129">
        <f t="shared" si="0"/>
        <v>0</v>
      </c>
    </row>
    <row r="10" spans="1:8" ht="27.95" customHeight="1">
      <c r="A10" s="249">
        <v>2210</v>
      </c>
      <c r="B10" s="106" t="s">
        <v>160</v>
      </c>
      <c r="C10" s="129"/>
      <c r="D10" s="129"/>
      <c r="E10" s="129"/>
      <c r="F10" s="129"/>
      <c r="G10" s="129"/>
      <c r="H10" s="129">
        <f t="shared" si="0"/>
        <v>0</v>
      </c>
    </row>
    <row r="11" spans="1:8" ht="27.95" customHeight="1">
      <c r="A11" s="169">
        <v>22101</v>
      </c>
      <c r="B11" s="66" t="s">
        <v>14</v>
      </c>
      <c r="C11" s="129">
        <v>0</v>
      </c>
      <c r="D11" s="129">
        <v>15000000</v>
      </c>
      <c r="E11" s="129">
        <v>35000000</v>
      </c>
      <c r="F11" s="129">
        <v>65000000</v>
      </c>
      <c r="G11" s="129">
        <v>65000000</v>
      </c>
      <c r="H11" s="129">
        <f t="shared" si="0"/>
        <v>0</v>
      </c>
    </row>
    <row r="12" spans="1:8" ht="27.95" customHeight="1">
      <c r="A12" s="169">
        <v>22102</v>
      </c>
      <c r="B12" s="66" t="s">
        <v>235</v>
      </c>
      <c r="C12" s="129"/>
      <c r="D12" s="129">
        <v>10000000</v>
      </c>
      <c r="E12" s="129">
        <v>10000000</v>
      </c>
      <c r="F12" s="129">
        <v>0</v>
      </c>
      <c r="G12" s="129">
        <v>0</v>
      </c>
      <c r="H12" s="129">
        <f t="shared" si="0"/>
        <v>0</v>
      </c>
    </row>
    <row r="13" spans="1:8" ht="27.95" customHeight="1">
      <c r="A13" s="169">
        <v>22103</v>
      </c>
      <c r="B13" s="66" t="s">
        <v>247</v>
      </c>
      <c r="C13" s="129"/>
      <c r="D13" s="129">
        <f>30000000*70%</f>
        <v>21000000</v>
      </c>
      <c r="E13" s="66"/>
      <c r="F13" s="66"/>
      <c r="G13" s="66"/>
      <c r="H13" s="129">
        <f t="shared" si="0"/>
        <v>0</v>
      </c>
    </row>
    <row r="14" spans="1:8" ht="27.95" customHeight="1">
      <c r="A14" s="169">
        <v>22104</v>
      </c>
      <c r="B14" s="66" t="s">
        <v>116</v>
      </c>
      <c r="C14" s="129">
        <v>0</v>
      </c>
      <c r="D14" s="129">
        <f>20000000*70%</f>
        <v>14000000</v>
      </c>
      <c r="E14" s="129">
        <f>20000000*70%</f>
        <v>14000000</v>
      </c>
      <c r="F14" s="129">
        <f>20000000*70%</f>
        <v>14000000</v>
      </c>
      <c r="G14" s="129">
        <f>20000000*70%</f>
        <v>14000000</v>
      </c>
      <c r="H14" s="129">
        <f t="shared" si="0"/>
        <v>0</v>
      </c>
    </row>
    <row r="15" spans="1:8" ht="27.95" customHeight="1">
      <c r="A15" s="169">
        <v>22105</v>
      </c>
      <c r="B15" s="66" t="s">
        <v>240</v>
      </c>
      <c r="C15" s="129">
        <v>0</v>
      </c>
      <c r="D15" s="129">
        <f>57600000*70%</f>
        <v>40320000</v>
      </c>
      <c r="E15" s="129">
        <f>57600000*70%</f>
        <v>40320000</v>
      </c>
      <c r="F15" s="129">
        <f>57600000*70%</f>
        <v>40320000</v>
      </c>
      <c r="G15" s="129">
        <f>57600000*70%</f>
        <v>40320000</v>
      </c>
      <c r="H15" s="129">
        <f t="shared" si="0"/>
        <v>0</v>
      </c>
    </row>
    <row r="16" spans="1:8" ht="27.95" customHeight="1">
      <c r="A16" s="169">
        <v>22106</v>
      </c>
      <c r="B16" s="66" t="s">
        <v>84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f t="shared" si="0"/>
        <v>0</v>
      </c>
    </row>
    <row r="17" spans="1:8" ht="27.95" customHeight="1">
      <c r="A17" s="169">
        <v>22107</v>
      </c>
      <c r="B17" s="66" t="s">
        <v>241</v>
      </c>
      <c r="C17" s="129">
        <v>0</v>
      </c>
      <c r="D17" s="129">
        <v>3000000</v>
      </c>
      <c r="E17" s="129">
        <v>2100000</v>
      </c>
      <c r="F17" s="129">
        <f>E17</f>
        <v>2100000</v>
      </c>
      <c r="G17" s="129">
        <f>F17</f>
        <v>2100000</v>
      </c>
      <c r="H17" s="129">
        <f t="shared" si="0"/>
        <v>0</v>
      </c>
    </row>
    <row r="18" spans="1:8" ht="27.95" customHeight="1">
      <c r="A18" s="169">
        <v>22109</v>
      </c>
      <c r="B18" s="66" t="s">
        <v>94</v>
      </c>
      <c r="C18" s="130" t="e">
        <f>SUM(C8:C17)</f>
        <v>#REF!</v>
      </c>
      <c r="D18" s="129">
        <v>1000000</v>
      </c>
      <c r="E18" s="129">
        <v>1000000</v>
      </c>
      <c r="F18" s="129">
        <v>1000000</v>
      </c>
      <c r="G18" s="129">
        <v>1000000</v>
      </c>
      <c r="H18" s="129">
        <f t="shared" si="0"/>
        <v>0</v>
      </c>
    </row>
    <row r="19" spans="1:8" ht="27.95" customHeight="1">
      <c r="A19" s="169">
        <v>22112</v>
      </c>
      <c r="B19" s="66" t="s">
        <v>16</v>
      </c>
      <c r="C19" s="130"/>
      <c r="D19" s="129">
        <v>3000000</v>
      </c>
      <c r="E19" s="129">
        <v>13000000</v>
      </c>
      <c r="F19" s="129">
        <v>13000000</v>
      </c>
      <c r="G19" s="129">
        <v>13000000</v>
      </c>
      <c r="H19" s="129">
        <f t="shared" si="0"/>
        <v>0</v>
      </c>
    </row>
    <row r="20" spans="1:8" ht="27.95" customHeight="1">
      <c r="A20" s="169">
        <v>22129</v>
      </c>
      <c r="B20" s="66" t="s">
        <v>101</v>
      </c>
      <c r="C20" s="129">
        <v>0</v>
      </c>
      <c r="D20" s="129">
        <v>1000000</v>
      </c>
      <c r="E20" s="129">
        <v>0</v>
      </c>
      <c r="F20" s="129">
        <v>0</v>
      </c>
      <c r="G20" s="129">
        <v>0</v>
      </c>
      <c r="H20" s="129">
        <f t="shared" si="0"/>
        <v>0</v>
      </c>
    </row>
    <row r="21" spans="1:8" ht="27.95" customHeight="1">
      <c r="A21" s="169">
        <v>22137</v>
      </c>
      <c r="B21" s="66" t="s">
        <v>413</v>
      </c>
      <c r="C21" s="129"/>
      <c r="D21" s="129"/>
      <c r="E21" s="129">
        <v>20000000</v>
      </c>
      <c r="F21" s="129">
        <v>20000000</v>
      </c>
      <c r="G21" s="129">
        <v>20000000</v>
      </c>
      <c r="H21" s="129">
        <f t="shared" si="0"/>
        <v>0</v>
      </c>
    </row>
    <row r="22" spans="1:8" ht="27.95" customHeight="1">
      <c r="A22" s="169">
        <v>22141</v>
      </c>
      <c r="B22" s="66" t="s">
        <v>381</v>
      </c>
      <c r="C22" s="129"/>
      <c r="D22" s="129"/>
      <c r="E22" s="129">
        <v>30680000</v>
      </c>
      <c r="F22" s="129">
        <v>0</v>
      </c>
      <c r="G22" s="129">
        <v>117000000</v>
      </c>
      <c r="H22" s="129">
        <f t="shared" si="0"/>
        <v>117000000</v>
      </c>
    </row>
    <row r="23" spans="1:8" ht="27.95" customHeight="1">
      <c r="A23" s="169">
        <v>22168</v>
      </c>
      <c r="B23" s="66" t="s">
        <v>550</v>
      </c>
      <c r="C23" s="129">
        <v>0</v>
      </c>
      <c r="D23" s="129">
        <f>20000000*70%</f>
        <v>14000000</v>
      </c>
      <c r="E23" s="129">
        <v>50000000</v>
      </c>
      <c r="F23" s="129">
        <v>180000000</v>
      </c>
      <c r="G23" s="129">
        <v>220000000</v>
      </c>
      <c r="H23" s="129">
        <f t="shared" si="0"/>
        <v>40000000</v>
      </c>
    </row>
    <row r="24" spans="1:8" ht="27.95" customHeight="1">
      <c r="A24" s="169"/>
      <c r="B24" s="106" t="s">
        <v>59</v>
      </c>
      <c r="C24" s="129">
        <v>0</v>
      </c>
      <c r="D24" s="130">
        <f>SUM(D11:D23)</f>
        <v>122320000</v>
      </c>
      <c r="E24" s="130">
        <f>SUM(E11:E23)</f>
        <v>216100000</v>
      </c>
      <c r="F24" s="130">
        <f>SUM(F11:F23)</f>
        <v>335420000</v>
      </c>
      <c r="G24" s="130">
        <f>SUM(G11:G23)</f>
        <v>492420000</v>
      </c>
      <c r="H24" s="130">
        <f t="shared" si="0"/>
        <v>157000000</v>
      </c>
    </row>
    <row r="25" spans="1:8" ht="27.95" customHeight="1">
      <c r="A25" s="249">
        <v>2220</v>
      </c>
      <c r="B25" s="106" t="s">
        <v>161</v>
      </c>
      <c r="C25" s="129">
        <v>0</v>
      </c>
      <c r="D25" s="130"/>
      <c r="E25" s="130"/>
      <c r="F25" s="130"/>
      <c r="G25" s="130"/>
      <c r="H25" s="129">
        <f t="shared" si="0"/>
        <v>0</v>
      </c>
    </row>
    <row r="26" spans="1:8" ht="27.95" customHeight="1">
      <c r="A26" s="169">
        <v>22201</v>
      </c>
      <c r="B26" s="66" t="s">
        <v>242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f t="shared" si="0"/>
        <v>0</v>
      </c>
    </row>
    <row r="27" spans="1:8" ht="27.95" customHeight="1">
      <c r="A27" s="169">
        <v>22202</v>
      </c>
      <c r="B27" s="66" t="s">
        <v>91</v>
      </c>
      <c r="C27" s="129">
        <v>0</v>
      </c>
      <c r="D27" s="129">
        <f>121600000*70%</f>
        <v>85120000</v>
      </c>
      <c r="E27" s="129">
        <v>125120000</v>
      </c>
      <c r="F27" s="129">
        <v>185120000</v>
      </c>
      <c r="G27" s="129">
        <v>185120000</v>
      </c>
      <c r="H27" s="129">
        <f t="shared" si="0"/>
        <v>0</v>
      </c>
    </row>
    <row r="28" spans="1:8" ht="27.95" customHeight="1">
      <c r="A28" s="169">
        <v>22203</v>
      </c>
      <c r="B28" s="66" t="s">
        <v>85</v>
      </c>
      <c r="C28" s="130">
        <v>0</v>
      </c>
      <c r="D28" s="129">
        <f>15000000*70%</f>
        <v>10500000</v>
      </c>
      <c r="E28" s="129">
        <f>15000000*70%</f>
        <v>10500000</v>
      </c>
      <c r="F28" s="129">
        <f>15000000*70%</f>
        <v>10500000</v>
      </c>
      <c r="G28" s="129">
        <f>15000000*70%</f>
        <v>10500000</v>
      </c>
      <c r="H28" s="129">
        <f t="shared" si="0"/>
        <v>0</v>
      </c>
    </row>
    <row r="29" spans="1:8" ht="27.95" customHeight="1">
      <c r="A29" s="169">
        <v>22204</v>
      </c>
      <c r="B29" s="66" t="s">
        <v>86</v>
      </c>
      <c r="C29" s="130"/>
      <c r="D29" s="129">
        <v>3000000</v>
      </c>
      <c r="E29" s="129">
        <v>3000000</v>
      </c>
      <c r="F29" s="129">
        <v>3000000</v>
      </c>
      <c r="G29" s="129">
        <v>3000000</v>
      </c>
      <c r="H29" s="129">
        <f t="shared" si="0"/>
        <v>0</v>
      </c>
    </row>
    <row r="30" spans="1:8" ht="27.95" customHeight="1">
      <c r="A30" s="169">
        <v>22208</v>
      </c>
      <c r="B30" s="66" t="s">
        <v>234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f t="shared" si="0"/>
        <v>0</v>
      </c>
    </row>
    <row r="31" spans="1:8" ht="27.95" customHeight="1">
      <c r="A31" s="169">
        <v>22209</v>
      </c>
      <c r="B31" s="66" t="s">
        <v>145</v>
      </c>
      <c r="C31" s="129">
        <v>0</v>
      </c>
      <c r="D31" s="129">
        <f>18000000*70%</f>
        <v>12600000</v>
      </c>
      <c r="E31" s="129">
        <v>0</v>
      </c>
      <c r="F31" s="129">
        <v>0</v>
      </c>
      <c r="G31" s="129">
        <v>0</v>
      </c>
      <c r="H31" s="129">
        <f t="shared" si="0"/>
        <v>0</v>
      </c>
    </row>
    <row r="32" spans="1:8" ht="27.95" customHeight="1">
      <c r="A32" s="169"/>
      <c r="B32" s="106" t="s">
        <v>59</v>
      </c>
      <c r="C32" s="129">
        <v>0</v>
      </c>
      <c r="D32" s="130">
        <f>SUM(D26:D31)</f>
        <v>111220000</v>
      </c>
      <c r="E32" s="130">
        <f>SUM(E26:E31)</f>
        <v>138620000</v>
      </c>
      <c r="F32" s="130">
        <f>SUM(F26:F31)</f>
        <v>198620000</v>
      </c>
      <c r="G32" s="130">
        <f>SUM(G26:G31)</f>
        <v>198620000</v>
      </c>
      <c r="H32" s="130">
        <f t="shared" si="0"/>
        <v>0</v>
      </c>
    </row>
    <row r="33" spans="1:8" ht="27.95" customHeight="1">
      <c r="A33" s="249">
        <v>2230</v>
      </c>
      <c r="B33" s="106" t="s">
        <v>88</v>
      </c>
      <c r="C33" s="130"/>
      <c r="D33" s="130"/>
      <c r="E33" s="130"/>
      <c r="F33" s="130"/>
      <c r="G33" s="130"/>
      <c r="H33" s="129">
        <f t="shared" si="0"/>
        <v>0</v>
      </c>
    </row>
    <row r="34" spans="1:8" ht="27.95" customHeight="1">
      <c r="A34" s="169">
        <v>22301</v>
      </c>
      <c r="B34" s="66" t="s">
        <v>31</v>
      </c>
      <c r="C34" s="129">
        <v>0</v>
      </c>
      <c r="D34" s="129">
        <f>32400000*70%</f>
        <v>22680000</v>
      </c>
      <c r="E34" s="129">
        <f>32400000*70%</f>
        <v>22680000</v>
      </c>
      <c r="F34" s="129">
        <f>32400000*70%</f>
        <v>22680000</v>
      </c>
      <c r="G34" s="129">
        <v>32680000</v>
      </c>
      <c r="H34" s="129">
        <f t="shared" si="0"/>
        <v>10000000</v>
      </c>
    </row>
    <row r="35" spans="1:8" ht="27.95" customHeight="1">
      <c r="A35" s="169">
        <v>22302</v>
      </c>
      <c r="B35" s="66" t="s">
        <v>162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f t="shared" si="0"/>
        <v>0</v>
      </c>
    </row>
    <row r="36" spans="1:8" ht="27.95" customHeight="1">
      <c r="A36" s="169">
        <v>22311</v>
      </c>
      <c r="B36" s="66" t="s">
        <v>243</v>
      </c>
      <c r="C36" s="129">
        <v>0</v>
      </c>
      <c r="D36" s="122">
        <f>600000000*70%</f>
        <v>420000000</v>
      </c>
      <c r="E36" s="70">
        <v>0</v>
      </c>
      <c r="F36" s="70">
        <v>0</v>
      </c>
      <c r="G36" s="70">
        <v>0</v>
      </c>
      <c r="H36" s="129">
        <f t="shared" si="0"/>
        <v>0</v>
      </c>
    </row>
    <row r="37" spans="1:8" ht="27.95" customHeight="1">
      <c r="A37" s="169"/>
      <c r="B37" s="106" t="s">
        <v>59</v>
      </c>
      <c r="C37" s="129">
        <v>0</v>
      </c>
      <c r="D37" s="488">
        <f>SUM(D34:D36)</f>
        <v>442680000</v>
      </c>
      <c r="E37" s="111">
        <f>SUM(E34:E36)</f>
        <v>22680000</v>
      </c>
      <c r="F37" s="111">
        <f>SUM(F34:F36)</f>
        <v>22680000</v>
      </c>
      <c r="G37" s="111">
        <f>SUM(G34:G36)</f>
        <v>32680000</v>
      </c>
      <c r="H37" s="130">
        <f t="shared" si="0"/>
        <v>10000000</v>
      </c>
    </row>
    <row r="38" spans="1:8" ht="27.95" customHeight="1">
      <c r="A38" s="249">
        <v>230</v>
      </c>
      <c r="B38" s="106" t="s">
        <v>165</v>
      </c>
      <c r="C38" s="129"/>
      <c r="D38" s="489"/>
      <c r="E38" s="129"/>
      <c r="F38" s="129"/>
      <c r="G38" s="129"/>
      <c r="H38" s="129">
        <f t="shared" si="0"/>
        <v>0</v>
      </c>
    </row>
    <row r="39" spans="1:8" ht="27.95" customHeight="1">
      <c r="A39" s="249">
        <v>2310</v>
      </c>
      <c r="B39" s="106" t="s">
        <v>164</v>
      </c>
      <c r="C39" s="129"/>
      <c r="D39" s="489"/>
      <c r="E39" s="129"/>
      <c r="F39" s="129"/>
      <c r="G39" s="129"/>
      <c r="H39" s="129">
        <f t="shared" si="0"/>
        <v>0</v>
      </c>
    </row>
    <row r="40" spans="1:8" ht="27.95" customHeight="1">
      <c r="A40" s="169">
        <v>23101</v>
      </c>
      <c r="B40" s="66" t="s">
        <v>172</v>
      </c>
      <c r="C40" s="118">
        <v>0</v>
      </c>
      <c r="D40" s="259">
        <f>54000000*70%</f>
        <v>37800000</v>
      </c>
      <c r="E40" s="70">
        <v>0</v>
      </c>
      <c r="F40" s="70">
        <v>0</v>
      </c>
      <c r="G40" s="70">
        <v>20000000</v>
      </c>
      <c r="H40" s="129">
        <f t="shared" si="0"/>
        <v>20000000</v>
      </c>
    </row>
    <row r="41" spans="1:8" ht="27.95" customHeight="1">
      <c r="A41" s="169">
        <v>23102</v>
      </c>
      <c r="B41" s="66" t="s">
        <v>173</v>
      </c>
      <c r="C41" s="118">
        <v>0</v>
      </c>
      <c r="D41" s="259">
        <f>216000000*70%</f>
        <v>151200000</v>
      </c>
      <c r="E41" s="70"/>
      <c r="F41" s="70">
        <v>140000000</v>
      </c>
      <c r="G41" s="70">
        <v>42000000</v>
      </c>
      <c r="H41" s="129">
        <f t="shared" si="0"/>
        <v>-98000000</v>
      </c>
    </row>
    <row r="42" spans="1:8" ht="27.95" customHeight="1">
      <c r="A42" s="169">
        <v>23103</v>
      </c>
      <c r="B42" s="66" t="s">
        <v>106</v>
      </c>
      <c r="C42" s="129">
        <v>0</v>
      </c>
      <c r="D42" s="400">
        <f>10000000*70%</f>
        <v>7000000</v>
      </c>
      <c r="E42" s="70">
        <v>0</v>
      </c>
      <c r="F42" s="70">
        <v>0</v>
      </c>
      <c r="G42" s="70">
        <v>0</v>
      </c>
      <c r="H42" s="129">
        <f t="shared" si="0"/>
        <v>0</v>
      </c>
    </row>
    <row r="43" spans="1:8" ht="27.95" customHeight="1">
      <c r="A43" s="169">
        <v>23104</v>
      </c>
      <c r="B43" s="66" t="s">
        <v>107</v>
      </c>
      <c r="C43" s="129">
        <v>0</v>
      </c>
      <c r="D43" s="400">
        <f>5000000*70%</f>
        <v>3500000</v>
      </c>
      <c r="E43" s="70">
        <v>0</v>
      </c>
      <c r="F43" s="70">
        <v>0</v>
      </c>
      <c r="G43" s="70">
        <v>0</v>
      </c>
      <c r="H43" s="129">
        <f t="shared" si="0"/>
        <v>0</v>
      </c>
    </row>
    <row r="44" spans="1:8" ht="27.95" customHeight="1">
      <c r="A44" s="169"/>
      <c r="B44" s="106" t="s">
        <v>59</v>
      </c>
      <c r="C44" s="118">
        <f>SUM(C40:C43)</f>
        <v>0</v>
      </c>
      <c r="D44" s="117">
        <f>SUM(D40:D43)</f>
        <v>199500000</v>
      </c>
      <c r="E44" s="106">
        <f>SUM(E40:E43)</f>
        <v>0</v>
      </c>
      <c r="F44" s="106">
        <f>SUM(F40:F43)</f>
        <v>140000000</v>
      </c>
      <c r="G44" s="106">
        <f>SUM(G40:G43)</f>
        <v>62000000</v>
      </c>
      <c r="H44" s="130">
        <f t="shared" si="0"/>
        <v>-78000000</v>
      </c>
    </row>
    <row r="45" spans="1:8" ht="27.95" customHeight="1">
      <c r="A45" s="169"/>
      <c r="B45" s="106" t="s">
        <v>18</v>
      </c>
      <c r="C45" s="251">
        <v>0</v>
      </c>
      <c r="D45" s="105">
        <f>D44+D37+D32+D24+D8</f>
        <v>1523912000</v>
      </c>
      <c r="E45" s="106">
        <f>E44+E37+E32+E24+E8</f>
        <v>1075903200</v>
      </c>
      <c r="F45" s="106">
        <f>F44+F37+F32+F24+F8</f>
        <v>1642392000</v>
      </c>
      <c r="G45" s="106">
        <f>G44+G37+G32+G24+G8</f>
        <v>1813610240</v>
      </c>
      <c r="H45" s="130">
        <f t="shared" si="0"/>
        <v>171218240</v>
      </c>
    </row>
    <row r="46" spans="1:8" ht="27.95" customHeight="1">
      <c r="B46" s="308"/>
    </row>
    <row r="47" spans="1:8" ht="27.95" customHeight="1">
      <c r="B47" s="308"/>
    </row>
    <row r="48" spans="1:8" ht="27.95" customHeight="1">
      <c r="B48" s="308"/>
    </row>
    <row r="49" spans="2:2" ht="27.95" customHeight="1">
      <c r="B49" s="308"/>
    </row>
  </sheetData>
  <pageMargins left="0.7" right="0.25" top="0.81" bottom="0.48" header="0.31" footer="0.17"/>
  <pageSetup scale="55" orientation="portrait" r:id="rId1"/>
  <headerFooter>
    <oddHeader>&amp;C&amp;"Algerian,Bold"&amp;36HAY'ADdA DHAWRISTA TAYADA</oddHeader>
    <oddFooter>&amp;R&amp;"Times New Roman,Bold"&amp;14 &amp;16 52</oddFooter>
  </headerFooter>
  <ignoredErrors>
    <ignoredError sqref="C8" formulaRange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topLeftCell="A34" zoomScale="51" zoomScaleSheetLayoutView="51" workbookViewId="0">
      <selection activeCell="N40" sqref="N40"/>
    </sheetView>
  </sheetViews>
  <sheetFormatPr defaultRowHeight="33.950000000000003" customHeight="1"/>
  <cols>
    <col min="1" max="1" width="18.1640625" style="181" bestFit="1" customWidth="1"/>
    <col min="2" max="2" width="115.33203125" style="181" customWidth="1"/>
    <col min="3" max="9" width="9.33203125" style="181" hidden="1" customWidth="1"/>
    <col min="10" max="10" width="0.1640625" style="181" hidden="1" customWidth="1"/>
    <col min="11" max="11" width="20.5" style="181" hidden="1" customWidth="1"/>
    <col min="12" max="12" width="0.1640625" style="371" customWidth="1"/>
    <col min="13" max="13" width="31.5" style="371" bestFit="1" customWidth="1"/>
    <col min="14" max="14" width="31.5" style="371" customWidth="1"/>
    <col min="15" max="15" width="28" style="371" bestFit="1" customWidth="1"/>
    <col min="16" max="16384" width="9.33203125" style="181"/>
  </cols>
  <sheetData>
    <row r="1" spans="1:15" ht="33.950000000000003" customHeight="1">
      <c r="A1" s="490" t="s">
        <v>20</v>
      </c>
      <c r="B1" s="491" t="s">
        <v>808</v>
      </c>
      <c r="C1" s="492"/>
      <c r="D1" s="492"/>
      <c r="E1" s="492"/>
      <c r="F1" s="492"/>
      <c r="G1" s="492"/>
      <c r="H1" s="492"/>
      <c r="I1" s="492"/>
      <c r="J1" s="492"/>
      <c r="K1" s="492"/>
      <c r="L1" s="124"/>
      <c r="M1" s="124"/>
      <c r="N1" s="124"/>
      <c r="O1" s="124"/>
    </row>
    <row r="2" spans="1:15" ht="33.950000000000003" customHeight="1">
      <c r="A2" s="493" t="s">
        <v>6</v>
      </c>
      <c r="B2" s="494" t="s">
        <v>7</v>
      </c>
      <c r="C2" s="495" t="s">
        <v>24</v>
      </c>
      <c r="D2" s="495" t="s">
        <v>28</v>
      </c>
      <c r="E2" s="495" t="s">
        <v>33</v>
      </c>
      <c r="F2" s="495" t="s">
        <v>40</v>
      </c>
      <c r="G2" s="495" t="s">
        <v>64</v>
      </c>
      <c r="H2" s="495" t="s">
        <v>69</v>
      </c>
      <c r="I2" s="495" t="s">
        <v>78</v>
      </c>
      <c r="J2" s="495" t="s">
        <v>110</v>
      </c>
      <c r="K2" s="495" t="s">
        <v>166</v>
      </c>
      <c r="L2" s="496" t="s">
        <v>538</v>
      </c>
      <c r="M2" s="496" t="s">
        <v>607</v>
      </c>
      <c r="N2" s="496" t="s">
        <v>722</v>
      </c>
      <c r="O2" s="496" t="s">
        <v>34</v>
      </c>
    </row>
    <row r="3" spans="1:15" ht="33.950000000000003" customHeight="1">
      <c r="A3" s="493">
        <v>210</v>
      </c>
      <c r="B3" s="124" t="s">
        <v>95</v>
      </c>
      <c r="C3" s="492"/>
      <c r="D3" s="492"/>
      <c r="E3" s="492"/>
      <c r="F3" s="492"/>
      <c r="G3" s="492"/>
      <c r="H3" s="492"/>
      <c r="I3" s="492"/>
      <c r="J3" s="492"/>
      <c r="K3" s="492"/>
      <c r="L3" s="124"/>
      <c r="M3" s="124"/>
      <c r="N3" s="124"/>
      <c r="O3" s="124"/>
    </row>
    <row r="4" spans="1:15" ht="33.950000000000003" customHeight="1">
      <c r="A4" s="493">
        <v>2110</v>
      </c>
      <c r="B4" s="124" t="s">
        <v>155</v>
      </c>
      <c r="C4" s="497">
        <v>0</v>
      </c>
      <c r="D4" s="497">
        <v>45168000</v>
      </c>
      <c r="E4" s="497">
        <v>82272000</v>
      </c>
      <c r="F4" s="497">
        <v>82272000</v>
      </c>
      <c r="G4" s="497">
        <v>167590800</v>
      </c>
      <c r="H4" s="497">
        <f>135236400+4149600+27000000+3000000</f>
        <v>169386000</v>
      </c>
      <c r="I4" s="497">
        <f>169386000+6000000+4149600</f>
        <v>179535600</v>
      </c>
      <c r="J4" s="497"/>
      <c r="K4" s="497"/>
      <c r="L4" s="123"/>
      <c r="M4" s="123"/>
      <c r="N4" s="123"/>
      <c r="O4" s="123"/>
    </row>
    <row r="5" spans="1:15" ht="33.950000000000003" customHeight="1">
      <c r="A5" s="498">
        <v>21101</v>
      </c>
      <c r="B5" s="123" t="s">
        <v>9</v>
      </c>
      <c r="C5" s="497">
        <v>0</v>
      </c>
      <c r="D5" s="497">
        <v>24500000</v>
      </c>
      <c r="E5" s="497">
        <v>0</v>
      </c>
      <c r="F5" s="497">
        <v>0</v>
      </c>
      <c r="G5" s="497">
        <v>0</v>
      </c>
      <c r="H5" s="497">
        <v>0</v>
      </c>
      <c r="I5" s="497">
        <v>0</v>
      </c>
      <c r="J5" s="497">
        <v>0</v>
      </c>
      <c r="K5" s="497">
        <v>248570400</v>
      </c>
      <c r="L5" s="123">
        <v>156218400</v>
      </c>
      <c r="M5" s="123">
        <v>226324800</v>
      </c>
      <c r="N5" s="123">
        <v>234000000</v>
      </c>
      <c r="O5" s="123">
        <f>N5-M5</f>
        <v>7675200</v>
      </c>
    </row>
    <row r="6" spans="1:15" ht="33.950000000000003" customHeight="1">
      <c r="A6" s="498">
        <v>21102</v>
      </c>
      <c r="B6" s="123" t="s">
        <v>528</v>
      </c>
      <c r="C6" s="123">
        <v>0</v>
      </c>
      <c r="D6" s="123">
        <v>10800000</v>
      </c>
      <c r="E6" s="123">
        <v>14400000</v>
      </c>
      <c r="F6" s="123">
        <v>14400000</v>
      </c>
      <c r="G6" s="123">
        <v>14400000</v>
      </c>
      <c r="H6" s="123">
        <f>14400000+16200000+720000</f>
        <v>31320000</v>
      </c>
      <c r="I6" s="123">
        <f>31320000+720000+3960000</f>
        <v>36000000</v>
      </c>
      <c r="J6" s="497">
        <v>0</v>
      </c>
      <c r="K6" s="497">
        <v>0</v>
      </c>
      <c r="L6" s="123">
        <v>126000000</v>
      </c>
      <c r="M6" s="123">
        <v>276000000</v>
      </c>
      <c r="N6" s="123">
        <v>276000000</v>
      </c>
      <c r="O6" s="123">
        <f t="shared" ref="O6:O44" si="0">N6-M6</f>
        <v>0</v>
      </c>
    </row>
    <row r="7" spans="1:15" ht="33.950000000000003" customHeight="1">
      <c r="A7" s="498">
        <v>21103</v>
      </c>
      <c r="B7" s="123" t="s">
        <v>11</v>
      </c>
      <c r="C7" s="124">
        <v>0</v>
      </c>
      <c r="D7" s="124">
        <f>SUM(D4:D6)</f>
        <v>80468000</v>
      </c>
      <c r="E7" s="124">
        <f>SUM(E4:E6)</f>
        <v>96672000</v>
      </c>
      <c r="F7" s="124">
        <f>SUM(F4:F6)</f>
        <v>96672000</v>
      </c>
      <c r="G7" s="124">
        <f>SUM(G4:G6)</f>
        <v>181990800</v>
      </c>
      <c r="H7" s="124">
        <f>SUM(H4:H6)</f>
        <v>200706000</v>
      </c>
      <c r="I7" s="123">
        <v>0</v>
      </c>
      <c r="J7" s="123">
        <v>0</v>
      </c>
      <c r="K7" s="123">
        <v>172800000</v>
      </c>
      <c r="L7" s="123">
        <v>140400000</v>
      </c>
      <c r="M7" s="123">
        <v>306000000</v>
      </c>
      <c r="N7" s="123">
        <v>324000000</v>
      </c>
      <c r="O7" s="123">
        <f t="shared" si="0"/>
        <v>18000000</v>
      </c>
    </row>
    <row r="8" spans="1:15" ht="33.950000000000003" customHeight="1">
      <c r="A8" s="498">
        <v>21105</v>
      </c>
      <c r="B8" s="123" t="s">
        <v>399</v>
      </c>
      <c r="C8" s="123">
        <v>0</v>
      </c>
      <c r="D8" s="123"/>
      <c r="E8" s="123"/>
      <c r="F8" s="123"/>
      <c r="G8" s="123"/>
      <c r="H8" s="123"/>
      <c r="I8" s="123">
        <v>0</v>
      </c>
      <c r="J8" s="123">
        <v>0</v>
      </c>
      <c r="K8" s="123">
        <v>148800000</v>
      </c>
      <c r="L8" s="123">
        <v>202800000</v>
      </c>
      <c r="M8" s="123">
        <v>353613600</v>
      </c>
      <c r="N8" s="123">
        <v>364893600</v>
      </c>
      <c r="O8" s="123">
        <f t="shared" si="0"/>
        <v>11280000</v>
      </c>
    </row>
    <row r="9" spans="1:15" ht="33.950000000000003" customHeight="1">
      <c r="A9" s="498"/>
      <c r="B9" s="124" t="s">
        <v>59</v>
      </c>
      <c r="C9" s="124">
        <v>0</v>
      </c>
      <c r="D9" s="124" t="e">
        <f>SUM(#REF!)</f>
        <v>#REF!</v>
      </c>
      <c r="E9" s="124" t="e">
        <f>SUM(#REF!)</f>
        <v>#REF!</v>
      </c>
      <c r="F9" s="124" t="e">
        <f>SUM(#REF!)</f>
        <v>#REF!</v>
      </c>
      <c r="G9" s="124" t="e">
        <f>SUM(#REF!)</f>
        <v>#REF!</v>
      </c>
      <c r="H9" s="124" t="e">
        <f>SUM(#REF!)</f>
        <v>#REF!</v>
      </c>
      <c r="I9" s="123">
        <v>0</v>
      </c>
      <c r="J9" s="124">
        <f>SUM(J5:J8)</f>
        <v>0</v>
      </c>
      <c r="K9" s="124">
        <f>SUM(K5:K8)</f>
        <v>570170400</v>
      </c>
      <c r="L9" s="124">
        <f>SUM(L5:L8)</f>
        <v>625418400</v>
      </c>
      <c r="M9" s="124">
        <f>SUM(M5:M8)</f>
        <v>1161938400</v>
      </c>
      <c r="N9" s="124">
        <f>SUM(N5:N8)</f>
        <v>1198893600</v>
      </c>
      <c r="O9" s="124">
        <f t="shared" si="0"/>
        <v>36955200</v>
      </c>
    </row>
    <row r="10" spans="1:15" ht="33.950000000000003" customHeight="1">
      <c r="A10" s="493">
        <v>220</v>
      </c>
      <c r="B10" s="124" t="s">
        <v>159</v>
      </c>
      <c r="C10" s="123" t="s">
        <v>4</v>
      </c>
      <c r="D10" s="123"/>
      <c r="E10" s="123"/>
      <c r="F10" s="123"/>
      <c r="G10" s="123"/>
      <c r="H10" s="123"/>
      <c r="I10" s="123">
        <v>0</v>
      </c>
      <c r="J10" s="123"/>
      <c r="K10" s="123"/>
      <c r="L10" s="123"/>
      <c r="M10" s="123"/>
      <c r="N10" s="123"/>
      <c r="O10" s="123">
        <f t="shared" si="0"/>
        <v>0</v>
      </c>
    </row>
    <row r="11" spans="1:15" ht="33.950000000000003" customHeight="1">
      <c r="A11" s="493">
        <v>2210</v>
      </c>
      <c r="B11" s="124" t="s">
        <v>160</v>
      </c>
      <c r="C11" s="123">
        <v>0</v>
      </c>
      <c r="D11" s="123">
        <v>22600000</v>
      </c>
      <c r="E11" s="123">
        <v>0</v>
      </c>
      <c r="F11" s="123">
        <v>0</v>
      </c>
      <c r="G11" s="123">
        <v>0</v>
      </c>
      <c r="H11" s="123">
        <v>0</v>
      </c>
      <c r="I11" s="123">
        <v>7448000</v>
      </c>
      <c r="J11" s="123"/>
      <c r="K11" s="123"/>
      <c r="L11" s="123"/>
      <c r="M11" s="123"/>
      <c r="N11" s="123"/>
      <c r="O11" s="123">
        <f t="shared" si="0"/>
        <v>0</v>
      </c>
    </row>
    <row r="12" spans="1:15" ht="33.950000000000003" customHeight="1">
      <c r="A12" s="498">
        <v>22101</v>
      </c>
      <c r="B12" s="123" t="s">
        <v>14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7448000</v>
      </c>
      <c r="J12" s="123">
        <v>0</v>
      </c>
      <c r="K12" s="123">
        <f>40000000*70%</f>
        <v>28000000</v>
      </c>
      <c r="L12" s="123">
        <f>40000000*70%</f>
        <v>28000000</v>
      </c>
      <c r="M12" s="123">
        <v>84200000</v>
      </c>
      <c r="N12" s="123">
        <v>84200000</v>
      </c>
      <c r="O12" s="123">
        <f t="shared" si="0"/>
        <v>0</v>
      </c>
    </row>
    <row r="13" spans="1:15" ht="33.950000000000003" customHeight="1">
      <c r="A13" s="498">
        <v>22102</v>
      </c>
      <c r="B13" s="123" t="s">
        <v>253</v>
      </c>
      <c r="C13" s="123"/>
      <c r="D13" s="123"/>
      <c r="E13" s="123"/>
      <c r="F13" s="123"/>
      <c r="G13" s="123"/>
      <c r="H13" s="123"/>
      <c r="I13" s="123"/>
      <c r="J13" s="123">
        <v>0</v>
      </c>
      <c r="K13" s="123">
        <v>26200000</v>
      </c>
      <c r="L13" s="123">
        <v>26200000</v>
      </c>
      <c r="M13" s="123">
        <v>0</v>
      </c>
      <c r="N13" s="123">
        <v>0</v>
      </c>
      <c r="O13" s="123">
        <f t="shared" si="0"/>
        <v>0</v>
      </c>
    </row>
    <row r="14" spans="1:15" ht="33.950000000000003" customHeight="1">
      <c r="A14" s="498">
        <v>22103</v>
      </c>
      <c r="B14" s="123" t="s">
        <v>83</v>
      </c>
      <c r="C14" s="123"/>
      <c r="D14" s="123"/>
      <c r="E14" s="123"/>
      <c r="F14" s="123"/>
      <c r="G14" s="123"/>
      <c r="H14" s="123"/>
      <c r="I14" s="123"/>
      <c r="J14" s="123">
        <v>0</v>
      </c>
      <c r="K14" s="123">
        <v>64000000</v>
      </c>
      <c r="L14" s="123"/>
      <c r="M14" s="123"/>
      <c r="N14" s="123"/>
      <c r="O14" s="123">
        <f t="shared" si="0"/>
        <v>0</v>
      </c>
    </row>
    <row r="15" spans="1:15" ht="33.950000000000003" customHeight="1">
      <c r="A15" s="498">
        <v>22104</v>
      </c>
      <c r="B15" s="123" t="s">
        <v>116</v>
      </c>
      <c r="C15" s="123"/>
      <c r="D15" s="123"/>
      <c r="E15" s="123"/>
      <c r="F15" s="123"/>
      <c r="G15" s="123"/>
      <c r="H15" s="123"/>
      <c r="I15" s="123">
        <v>37240000</v>
      </c>
      <c r="J15" s="123">
        <v>0</v>
      </c>
      <c r="K15" s="123">
        <f>38400000*70%</f>
        <v>26880000</v>
      </c>
      <c r="L15" s="123">
        <f>38400000*70%</f>
        <v>26880000</v>
      </c>
      <c r="M15" s="123">
        <f>38400000*70%</f>
        <v>26880000</v>
      </c>
      <c r="N15" s="123">
        <f>38400000*70%</f>
        <v>26880000</v>
      </c>
      <c r="O15" s="123">
        <f t="shared" si="0"/>
        <v>0</v>
      </c>
    </row>
    <row r="16" spans="1:15" ht="33.950000000000003" customHeight="1">
      <c r="A16" s="498">
        <v>22105</v>
      </c>
      <c r="B16" s="123" t="s">
        <v>244</v>
      </c>
      <c r="C16" s="123">
        <v>0</v>
      </c>
      <c r="D16" s="123">
        <v>4000000</v>
      </c>
      <c r="E16" s="123">
        <v>8000000</v>
      </c>
      <c r="F16" s="123">
        <v>17000000</v>
      </c>
      <c r="G16" s="123">
        <v>12661600</v>
      </c>
      <c r="H16" s="123">
        <v>25000000</v>
      </c>
      <c r="I16" s="124">
        <f>SUM(I9:I15)</f>
        <v>52136000</v>
      </c>
      <c r="J16" s="123">
        <v>0</v>
      </c>
      <c r="K16" s="123">
        <f>57000000*70%</f>
        <v>39900000</v>
      </c>
      <c r="L16" s="123">
        <v>42036000</v>
      </c>
      <c r="M16" s="123">
        <v>58850400</v>
      </c>
      <c r="N16" s="123">
        <v>58850400</v>
      </c>
      <c r="O16" s="123">
        <f t="shared" si="0"/>
        <v>0</v>
      </c>
    </row>
    <row r="17" spans="1:15" ht="33.950000000000003" customHeight="1">
      <c r="A17" s="498">
        <v>22106</v>
      </c>
      <c r="B17" s="123" t="s">
        <v>857</v>
      </c>
      <c r="C17" s="123"/>
      <c r="D17" s="123"/>
      <c r="E17" s="123"/>
      <c r="F17" s="123"/>
      <c r="G17" s="123"/>
      <c r="H17" s="123"/>
      <c r="I17" s="124"/>
      <c r="J17" s="123"/>
      <c r="K17" s="123"/>
      <c r="L17" s="123"/>
      <c r="M17" s="123">
        <v>0</v>
      </c>
      <c r="N17" s="123">
        <v>20000000</v>
      </c>
      <c r="O17" s="123">
        <f t="shared" si="0"/>
        <v>20000000</v>
      </c>
    </row>
    <row r="18" spans="1:15" ht="33.950000000000003" customHeight="1">
      <c r="A18" s="498">
        <v>22109</v>
      </c>
      <c r="B18" s="123" t="s">
        <v>94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/>
      <c r="J18" s="123">
        <v>0</v>
      </c>
      <c r="K18" s="123">
        <f>3000000+3500000</f>
        <v>6500000</v>
      </c>
      <c r="L18" s="123">
        <f>3000000+3500000</f>
        <v>6500000</v>
      </c>
      <c r="M18" s="123">
        <f>3000000+3500000</f>
        <v>6500000</v>
      </c>
      <c r="N18" s="123">
        <f>3000000+3500000</f>
        <v>6500000</v>
      </c>
      <c r="O18" s="123">
        <f t="shared" si="0"/>
        <v>0</v>
      </c>
    </row>
    <row r="19" spans="1:15" ht="33.950000000000003" customHeight="1">
      <c r="A19" s="498">
        <v>22112</v>
      </c>
      <c r="B19" s="123" t="s">
        <v>16</v>
      </c>
      <c r="C19" s="123" t="s">
        <v>4</v>
      </c>
      <c r="D19" s="123">
        <v>0</v>
      </c>
      <c r="E19" s="123">
        <v>0</v>
      </c>
      <c r="F19" s="123">
        <v>3000000</v>
      </c>
      <c r="G19" s="123">
        <v>2234400</v>
      </c>
      <c r="H19" s="123">
        <v>2234400</v>
      </c>
      <c r="I19" s="123">
        <v>0</v>
      </c>
      <c r="J19" s="123">
        <v>0</v>
      </c>
      <c r="K19" s="123">
        <f>24000000*70%</f>
        <v>16800000</v>
      </c>
      <c r="L19" s="123">
        <f>24000000*70%</f>
        <v>16800000</v>
      </c>
      <c r="M19" s="123">
        <v>26800000</v>
      </c>
      <c r="N19" s="123">
        <v>26800000</v>
      </c>
      <c r="O19" s="123">
        <f t="shared" si="0"/>
        <v>0</v>
      </c>
    </row>
    <row r="20" spans="1:15" ht="33.950000000000003" customHeight="1">
      <c r="A20" s="498">
        <v>22122</v>
      </c>
      <c r="B20" s="123" t="s">
        <v>858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>
        <v>0</v>
      </c>
      <c r="N20" s="123">
        <v>50000000</v>
      </c>
      <c r="O20" s="123">
        <f t="shared" si="0"/>
        <v>50000000</v>
      </c>
    </row>
    <row r="21" spans="1:15" ht="33.950000000000003" customHeight="1">
      <c r="A21" s="498">
        <v>22125</v>
      </c>
      <c r="B21" s="123" t="s">
        <v>454</v>
      </c>
      <c r="C21" s="124"/>
      <c r="D21" s="124"/>
      <c r="E21" s="124"/>
      <c r="F21" s="124"/>
      <c r="G21" s="124"/>
      <c r="H21" s="124"/>
      <c r="I21" s="123"/>
      <c r="J21" s="123"/>
      <c r="K21" s="123">
        <v>0</v>
      </c>
      <c r="L21" s="123">
        <v>180000000</v>
      </c>
      <c r="M21" s="123">
        <v>230000000</v>
      </c>
      <c r="N21" s="123">
        <v>230000000</v>
      </c>
      <c r="O21" s="123">
        <f t="shared" si="0"/>
        <v>0</v>
      </c>
    </row>
    <row r="22" spans="1:15" ht="33.950000000000003" customHeight="1">
      <c r="A22" s="498">
        <v>22137</v>
      </c>
      <c r="B22" s="123" t="s">
        <v>453</v>
      </c>
      <c r="C22" s="124"/>
      <c r="D22" s="124"/>
      <c r="E22" s="124"/>
      <c r="F22" s="124"/>
      <c r="G22" s="124"/>
      <c r="H22" s="124"/>
      <c r="I22" s="123"/>
      <c r="J22" s="123"/>
      <c r="K22" s="123">
        <v>0</v>
      </c>
      <c r="L22" s="123">
        <v>40000000</v>
      </c>
      <c r="M22" s="123">
        <v>50000000</v>
      </c>
      <c r="N22" s="123">
        <v>50000000</v>
      </c>
      <c r="O22" s="123">
        <f t="shared" si="0"/>
        <v>0</v>
      </c>
    </row>
    <row r="23" spans="1:15" ht="33.950000000000003" customHeight="1">
      <c r="A23" s="498">
        <v>22141</v>
      </c>
      <c r="B23" s="123" t="s">
        <v>423</v>
      </c>
      <c r="C23" s="124"/>
      <c r="D23" s="124"/>
      <c r="E23" s="124"/>
      <c r="F23" s="124"/>
      <c r="G23" s="124"/>
      <c r="H23" s="124"/>
      <c r="I23" s="123"/>
      <c r="J23" s="123"/>
      <c r="K23" s="123">
        <v>0</v>
      </c>
      <c r="L23" s="123">
        <v>26000000</v>
      </c>
      <c r="M23" s="123">
        <v>0</v>
      </c>
      <c r="N23" s="123">
        <v>0</v>
      </c>
      <c r="O23" s="123">
        <f t="shared" si="0"/>
        <v>0</v>
      </c>
    </row>
    <row r="24" spans="1:15" ht="33.950000000000003" customHeight="1">
      <c r="A24" s="498"/>
      <c r="B24" s="124" t="s">
        <v>59</v>
      </c>
      <c r="C24" s="123" t="s">
        <v>4</v>
      </c>
      <c r="D24" s="123"/>
      <c r="E24" s="123"/>
      <c r="F24" s="123"/>
      <c r="G24" s="123"/>
      <c r="H24" s="123"/>
      <c r="I24" s="123">
        <v>3724000</v>
      </c>
      <c r="J24" s="124">
        <f>SUM(J10:J19)</f>
        <v>0</v>
      </c>
      <c r="K24" s="124">
        <f>SUM(K12:K19)</f>
        <v>208280000</v>
      </c>
      <c r="L24" s="124">
        <f>SUM(L12:L23)</f>
        <v>392416000</v>
      </c>
      <c r="M24" s="124">
        <f>SUM(M12:M23)</f>
        <v>483230400</v>
      </c>
      <c r="N24" s="124">
        <f>SUM(N12:N23)</f>
        <v>553230400</v>
      </c>
      <c r="O24" s="124">
        <f t="shared" si="0"/>
        <v>70000000</v>
      </c>
    </row>
    <row r="25" spans="1:15" ht="33.950000000000003" customHeight="1">
      <c r="A25" s="493">
        <v>2220</v>
      </c>
      <c r="B25" s="124" t="s">
        <v>161</v>
      </c>
      <c r="C25" s="123">
        <v>0</v>
      </c>
      <c r="D25" s="123">
        <v>6000000</v>
      </c>
      <c r="E25" s="123">
        <v>7200000</v>
      </c>
      <c r="F25" s="123">
        <v>10000000</v>
      </c>
      <c r="G25" s="123">
        <v>11172000</v>
      </c>
      <c r="H25" s="123">
        <v>11172000</v>
      </c>
      <c r="I25" s="124">
        <f>SUM(I19:I24)</f>
        <v>3724000</v>
      </c>
      <c r="J25" s="124"/>
      <c r="K25" s="124"/>
      <c r="L25" s="124"/>
      <c r="M25" s="124"/>
      <c r="N25" s="124"/>
      <c r="O25" s="123">
        <f t="shared" si="0"/>
        <v>0</v>
      </c>
    </row>
    <row r="26" spans="1:15" ht="33.950000000000003" customHeight="1">
      <c r="A26" s="498">
        <v>22202</v>
      </c>
      <c r="B26" s="123" t="s">
        <v>91</v>
      </c>
      <c r="C26" s="123">
        <v>0</v>
      </c>
      <c r="D26" s="123">
        <v>17000000</v>
      </c>
      <c r="E26" s="123">
        <v>9734400</v>
      </c>
      <c r="F26" s="123">
        <v>20000000</v>
      </c>
      <c r="G26" s="123">
        <v>18620000</v>
      </c>
      <c r="H26" s="123">
        <v>30000000</v>
      </c>
      <c r="I26" s="123"/>
      <c r="J26" s="123">
        <v>0</v>
      </c>
      <c r="K26" s="123">
        <v>62000000</v>
      </c>
      <c r="L26" s="123">
        <v>209000000</v>
      </c>
      <c r="M26" s="123">
        <v>209000000</v>
      </c>
      <c r="N26" s="123">
        <v>209000000</v>
      </c>
      <c r="O26" s="123">
        <f t="shared" si="0"/>
        <v>0</v>
      </c>
    </row>
    <row r="27" spans="1:15" ht="33.950000000000003" customHeight="1">
      <c r="A27" s="498">
        <v>22203</v>
      </c>
      <c r="B27" s="123" t="s">
        <v>85</v>
      </c>
      <c r="C27" s="123">
        <v>0</v>
      </c>
      <c r="D27" s="123">
        <v>0</v>
      </c>
      <c r="E27" s="123">
        <v>14592000</v>
      </c>
      <c r="F27" s="123">
        <v>0</v>
      </c>
      <c r="G27" s="123">
        <v>0</v>
      </c>
      <c r="H27" s="123">
        <v>10000000</v>
      </c>
      <c r="I27" s="123">
        <v>0</v>
      </c>
      <c r="J27" s="123">
        <v>0</v>
      </c>
      <c r="K27" s="123">
        <f>20000000*70%</f>
        <v>14000000</v>
      </c>
      <c r="L27" s="123">
        <f>20000000*70%</f>
        <v>14000000</v>
      </c>
      <c r="M27" s="123">
        <f>20000000*70%</f>
        <v>14000000</v>
      </c>
      <c r="N27" s="123">
        <f>20000000*70%</f>
        <v>14000000</v>
      </c>
      <c r="O27" s="123">
        <f t="shared" si="0"/>
        <v>0</v>
      </c>
    </row>
    <row r="28" spans="1:15" ht="33.950000000000003" customHeight="1">
      <c r="A28" s="498">
        <v>22204</v>
      </c>
      <c r="B28" s="123" t="s">
        <v>86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7500000</v>
      </c>
      <c r="L28" s="123">
        <v>7500000</v>
      </c>
      <c r="M28" s="123">
        <v>7500000</v>
      </c>
      <c r="N28" s="123">
        <v>7500000</v>
      </c>
      <c r="O28" s="123">
        <f t="shared" si="0"/>
        <v>0</v>
      </c>
    </row>
    <row r="29" spans="1:15" ht="33.950000000000003" customHeight="1">
      <c r="A29" s="498">
        <v>22208</v>
      </c>
      <c r="B29" s="123" t="s">
        <v>234</v>
      </c>
      <c r="C29" s="123"/>
      <c r="D29" s="123"/>
      <c r="E29" s="123"/>
      <c r="F29" s="123"/>
      <c r="G29" s="123"/>
      <c r="H29" s="123"/>
      <c r="I29" s="123"/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f t="shared" si="0"/>
        <v>0</v>
      </c>
    </row>
    <row r="30" spans="1:15" ht="33.950000000000003" customHeight="1">
      <c r="A30" s="498">
        <v>22209</v>
      </c>
      <c r="B30" s="123" t="s">
        <v>145</v>
      </c>
      <c r="C30" s="123">
        <v>0</v>
      </c>
      <c r="D30" s="123">
        <v>3000000</v>
      </c>
      <c r="E30" s="123">
        <v>8000000</v>
      </c>
      <c r="F30" s="123">
        <v>10000000</v>
      </c>
      <c r="G30" s="123">
        <v>7448000</v>
      </c>
      <c r="H30" s="123">
        <v>7448000</v>
      </c>
      <c r="I30" s="123">
        <v>2979200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f t="shared" si="0"/>
        <v>0</v>
      </c>
    </row>
    <row r="31" spans="1:15" ht="33.950000000000003" customHeight="1">
      <c r="A31" s="498"/>
      <c r="B31" s="124" t="s">
        <v>59</v>
      </c>
      <c r="C31" s="123">
        <v>0</v>
      </c>
      <c r="D31" s="123">
        <v>0</v>
      </c>
      <c r="E31" s="123"/>
      <c r="F31" s="123">
        <v>0</v>
      </c>
      <c r="G31" s="123">
        <v>0</v>
      </c>
      <c r="H31" s="123">
        <v>0</v>
      </c>
      <c r="I31" s="123">
        <v>4468800</v>
      </c>
      <c r="J31" s="124">
        <v>0</v>
      </c>
      <c r="K31" s="124">
        <f>SUM(K26:K30)</f>
        <v>83500000</v>
      </c>
      <c r="L31" s="124">
        <f>SUM(L26:L30)</f>
        <v>230500000</v>
      </c>
      <c r="M31" s="124">
        <f>SUM(M26:M30)</f>
        <v>230500000</v>
      </c>
      <c r="N31" s="124">
        <f>SUM(N26:N30)</f>
        <v>230500000</v>
      </c>
      <c r="O31" s="124">
        <f t="shared" si="0"/>
        <v>0</v>
      </c>
    </row>
    <row r="32" spans="1:15" ht="33.950000000000003" customHeight="1">
      <c r="A32" s="493">
        <v>2230</v>
      </c>
      <c r="B32" s="124" t="s">
        <v>88</v>
      </c>
      <c r="C32" s="123">
        <v>0</v>
      </c>
      <c r="D32" s="123">
        <v>0</v>
      </c>
      <c r="E32" s="123"/>
      <c r="F32" s="123">
        <v>0</v>
      </c>
      <c r="G32" s="123">
        <v>0</v>
      </c>
      <c r="H32" s="123">
        <v>0</v>
      </c>
      <c r="I32" s="124">
        <f>SUM(I27:I31)</f>
        <v>7448000</v>
      </c>
      <c r="J32" s="124"/>
      <c r="K32" s="124"/>
      <c r="L32" s="124"/>
      <c r="M32" s="124"/>
      <c r="N32" s="124"/>
      <c r="O32" s="123">
        <f t="shared" si="0"/>
        <v>0</v>
      </c>
    </row>
    <row r="33" spans="1:15" ht="33.950000000000003" customHeight="1">
      <c r="A33" s="498">
        <v>22301</v>
      </c>
      <c r="B33" s="123" t="s">
        <v>31</v>
      </c>
      <c r="C33" s="123">
        <v>0</v>
      </c>
      <c r="D33" s="123">
        <v>0</v>
      </c>
      <c r="E33" s="123"/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f>8000000*70%</f>
        <v>5600000</v>
      </c>
      <c r="L33" s="123">
        <v>25000000</v>
      </c>
      <c r="M33" s="123">
        <v>25000000</v>
      </c>
      <c r="N33" s="123">
        <v>25000000</v>
      </c>
      <c r="O33" s="123">
        <f t="shared" si="0"/>
        <v>0</v>
      </c>
    </row>
    <row r="34" spans="1:15" ht="33.950000000000003" customHeight="1">
      <c r="A34" s="498">
        <v>22302</v>
      </c>
      <c r="B34" s="123" t="s">
        <v>162</v>
      </c>
      <c r="C34" s="123">
        <v>0</v>
      </c>
      <c r="D34" s="123">
        <v>5000000</v>
      </c>
      <c r="E34" s="123">
        <v>6400000</v>
      </c>
      <c r="F34" s="123">
        <v>10000000</v>
      </c>
      <c r="G34" s="123">
        <v>7448000</v>
      </c>
      <c r="H34" s="123">
        <v>7448000</v>
      </c>
      <c r="I34" s="123">
        <v>12661600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f t="shared" si="0"/>
        <v>0</v>
      </c>
    </row>
    <row r="35" spans="1:15" ht="33.950000000000003" customHeight="1">
      <c r="A35" s="498">
        <v>22314</v>
      </c>
      <c r="B35" s="123" t="s">
        <v>163</v>
      </c>
      <c r="C35" s="123">
        <v>0</v>
      </c>
      <c r="D35" s="123">
        <v>0</v>
      </c>
      <c r="E35" s="123">
        <v>28000000</v>
      </c>
      <c r="F35" s="123">
        <v>40000000</v>
      </c>
      <c r="G35" s="123">
        <v>37240000</v>
      </c>
      <c r="H35" s="123">
        <v>75000000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f t="shared" si="0"/>
        <v>0</v>
      </c>
    </row>
    <row r="36" spans="1:15" ht="33.950000000000003" customHeight="1">
      <c r="A36" s="498"/>
      <c r="B36" s="124" t="s">
        <v>59</v>
      </c>
      <c r="C36" s="123"/>
      <c r="D36" s="123"/>
      <c r="E36" s="123"/>
      <c r="F36" s="123">
        <v>0</v>
      </c>
      <c r="G36" s="123">
        <v>0</v>
      </c>
      <c r="H36" s="123">
        <v>0</v>
      </c>
      <c r="I36" s="124">
        <f>SUM(I33:I35)</f>
        <v>12661600</v>
      </c>
      <c r="J36" s="124">
        <v>0</v>
      </c>
      <c r="K36" s="124">
        <f>SUM(K33:K35)</f>
        <v>5600000</v>
      </c>
      <c r="L36" s="124">
        <f>SUM(L33:L35)</f>
        <v>25000000</v>
      </c>
      <c r="M36" s="124">
        <f>SUM(M33:M35)</f>
        <v>25000000</v>
      </c>
      <c r="N36" s="124">
        <f>SUM(N33:N35)</f>
        <v>25000000</v>
      </c>
      <c r="O36" s="124">
        <f t="shared" si="0"/>
        <v>0</v>
      </c>
    </row>
    <row r="37" spans="1:15" ht="33.950000000000003" customHeight="1">
      <c r="A37" s="493">
        <v>230</v>
      </c>
      <c r="B37" s="124" t="s">
        <v>165</v>
      </c>
      <c r="C37" s="124">
        <v>0</v>
      </c>
      <c r="D37" s="124">
        <f>SUM(D25:D35)</f>
        <v>31000000</v>
      </c>
      <c r="E37" s="124">
        <f>SUM(E25:E35)</f>
        <v>73926400</v>
      </c>
      <c r="F37" s="124">
        <f>SUM(F25:F36)</f>
        <v>90000000</v>
      </c>
      <c r="G37" s="124">
        <f>SUM(G25:G36)</f>
        <v>81928000</v>
      </c>
      <c r="H37" s="124">
        <f>SUM(H25:H36)</f>
        <v>141068000</v>
      </c>
      <c r="I37" s="124" t="e">
        <f>I36+I32+I25+I16+#REF!</f>
        <v>#REF!</v>
      </c>
      <c r="J37" s="124"/>
      <c r="K37" s="124"/>
      <c r="L37" s="124"/>
      <c r="M37" s="124"/>
      <c r="N37" s="124"/>
      <c r="O37" s="123">
        <f t="shared" si="0"/>
        <v>0</v>
      </c>
    </row>
    <row r="38" spans="1:15" ht="33.950000000000003" customHeight="1">
      <c r="A38" s="493">
        <v>2310</v>
      </c>
      <c r="B38" s="124" t="s">
        <v>164</v>
      </c>
      <c r="C38" s="123"/>
      <c r="D38" s="123">
        <v>0</v>
      </c>
      <c r="E38" s="123"/>
      <c r="F38" s="123"/>
      <c r="G38" s="123"/>
      <c r="H38" s="123"/>
      <c r="I38" s="123"/>
      <c r="J38" s="499"/>
      <c r="K38" s="499"/>
      <c r="L38" s="123"/>
      <c r="M38" s="123"/>
      <c r="N38" s="123"/>
      <c r="O38" s="123">
        <f t="shared" si="0"/>
        <v>0</v>
      </c>
    </row>
    <row r="39" spans="1:15" ht="33.950000000000003" customHeight="1">
      <c r="A39" s="498">
        <v>23101</v>
      </c>
      <c r="B39" s="123" t="s">
        <v>172</v>
      </c>
      <c r="C39" s="123"/>
      <c r="D39" s="123" t="e">
        <f>#REF!-D38</f>
        <v>#REF!</v>
      </c>
      <c r="E39" s="123"/>
      <c r="F39" s="123"/>
      <c r="G39" s="123"/>
      <c r="H39" s="123"/>
      <c r="I39" s="123"/>
      <c r="J39" s="123">
        <v>0</v>
      </c>
      <c r="K39" s="123">
        <v>49678000</v>
      </c>
      <c r="L39" s="123">
        <v>0</v>
      </c>
      <c r="M39" s="123">
        <v>0</v>
      </c>
      <c r="N39" s="123">
        <v>0</v>
      </c>
      <c r="O39" s="123">
        <f t="shared" si="0"/>
        <v>0</v>
      </c>
    </row>
    <row r="40" spans="1:15" ht="33.950000000000003" customHeight="1">
      <c r="A40" s="498">
        <v>23102</v>
      </c>
      <c r="B40" s="123" t="s">
        <v>609</v>
      </c>
      <c r="C40" s="500"/>
      <c r="D40" s="500"/>
      <c r="E40" s="500"/>
      <c r="F40" s="500"/>
      <c r="G40" s="500"/>
      <c r="H40" s="500"/>
      <c r="I40" s="500"/>
      <c r="J40" s="123">
        <v>0</v>
      </c>
      <c r="K40" s="123">
        <f>156000000*70%</f>
        <v>109200000</v>
      </c>
      <c r="L40" s="123">
        <v>42000000</v>
      </c>
      <c r="M40" s="123">
        <v>0</v>
      </c>
      <c r="N40" s="123">
        <v>0</v>
      </c>
      <c r="O40" s="123">
        <f t="shared" si="0"/>
        <v>0</v>
      </c>
    </row>
    <row r="41" spans="1:15" ht="33.950000000000003" customHeight="1">
      <c r="A41" s="498">
        <v>23103</v>
      </c>
      <c r="B41" s="123" t="s">
        <v>106</v>
      </c>
      <c r="C41" s="500"/>
      <c r="D41" s="500"/>
      <c r="E41" s="500"/>
      <c r="F41" s="500"/>
      <c r="G41" s="500"/>
      <c r="H41" s="500"/>
      <c r="I41" s="500"/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f t="shared" si="0"/>
        <v>0</v>
      </c>
    </row>
    <row r="42" spans="1:15" ht="33.950000000000003" customHeight="1">
      <c r="A42" s="498">
        <v>23104</v>
      </c>
      <c r="B42" s="123" t="s">
        <v>107</v>
      </c>
      <c r="C42" s="500"/>
      <c r="D42" s="500"/>
      <c r="E42" s="500"/>
      <c r="F42" s="500"/>
      <c r="G42" s="500"/>
      <c r="H42" s="500"/>
      <c r="I42" s="500"/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f t="shared" si="0"/>
        <v>0</v>
      </c>
    </row>
    <row r="43" spans="1:15" ht="33.950000000000003" customHeight="1">
      <c r="A43" s="498"/>
      <c r="B43" s="124" t="s">
        <v>59</v>
      </c>
      <c r="C43" s="500"/>
      <c r="D43" s="500"/>
      <c r="E43" s="500"/>
      <c r="F43" s="500"/>
      <c r="G43" s="500"/>
      <c r="H43" s="500"/>
      <c r="I43" s="500"/>
      <c r="J43" s="124">
        <v>0</v>
      </c>
      <c r="K43" s="501">
        <f>SUM(K39:K42)</f>
        <v>158878000</v>
      </c>
      <c r="L43" s="124">
        <f>SUM(L39:L42)</f>
        <v>42000000</v>
      </c>
      <c r="M43" s="124">
        <f>SUM(M39:M42)</f>
        <v>0</v>
      </c>
      <c r="N43" s="124">
        <f>SUM(N39:N42)</f>
        <v>0</v>
      </c>
      <c r="O43" s="124">
        <f t="shared" si="0"/>
        <v>0</v>
      </c>
    </row>
    <row r="44" spans="1:15" ht="33.950000000000003" customHeight="1">
      <c r="A44" s="498"/>
      <c r="B44" s="124" t="s">
        <v>18</v>
      </c>
      <c r="C44" s="500"/>
      <c r="D44" s="500"/>
      <c r="E44" s="500"/>
      <c r="F44" s="500"/>
      <c r="G44" s="500"/>
      <c r="H44" s="500"/>
      <c r="I44" s="500"/>
      <c r="J44" s="124">
        <v>0</v>
      </c>
      <c r="K44" s="501">
        <f>K43+K36+K31+K24+K9</f>
        <v>1026428400</v>
      </c>
      <c r="L44" s="124">
        <f>L43+L36+L31+L24+L9</f>
        <v>1315334400</v>
      </c>
      <c r="M44" s="124">
        <f>M43+M36+M31+M24+M9</f>
        <v>1900668800</v>
      </c>
      <c r="N44" s="124">
        <f>N43+N36+N31+N24+N9</f>
        <v>2007624000</v>
      </c>
      <c r="O44" s="124">
        <f t="shared" si="0"/>
        <v>106955200</v>
      </c>
    </row>
    <row r="46" spans="1:15" ht="33.950000000000003" customHeight="1">
      <c r="B46" s="502"/>
    </row>
  </sheetData>
  <pageMargins left="0.7" right="0.47" top="0.9" bottom="0.5" header="0.31" footer="0.17"/>
  <pageSetup scale="45" orientation="portrait" r:id="rId1"/>
  <headerFooter>
    <oddHeader>&amp;C&amp;"Algerian,Bold"&amp;28KOMISHANKA MAAMULWANAAGA IYO LA DAGAALANKA M.MAASUGA</oddHeader>
    <oddFooter>&amp;R&amp;"Times New Roman,Bold"&amp;16 53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60" workbookViewId="0">
      <selection activeCell="P5" sqref="P5"/>
    </sheetView>
  </sheetViews>
  <sheetFormatPr defaultRowHeight="23.1" customHeight="1"/>
  <cols>
    <col min="1" max="1" width="20.33203125" style="376" bestFit="1" customWidth="1"/>
    <col min="2" max="2" width="80.5" style="181" customWidth="1"/>
    <col min="3" max="3" width="0.1640625" style="181" hidden="1" customWidth="1"/>
    <col min="4" max="12" width="9.33203125" style="181" hidden="1" customWidth="1"/>
    <col min="13" max="13" width="24.5" style="181" hidden="1" customWidth="1"/>
    <col min="14" max="14" width="28" style="371" hidden="1" customWidth="1"/>
    <col min="15" max="15" width="27.6640625" style="371" bestFit="1" customWidth="1"/>
    <col min="16" max="16" width="27.6640625" style="371" customWidth="1"/>
    <col min="17" max="17" width="25.83203125" style="371" bestFit="1" customWidth="1"/>
    <col min="18" max="16384" width="9.33203125" style="181"/>
  </cols>
  <sheetData>
    <row r="1" spans="1:17" ht="23.1" customHeight="1">
      <c r="A1" s="430" t="s">
        <v>21</v>
      </c>
      <c r="B1" s="354" t="s">
        <v>809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66"/>
      <c r="O1" s="66"/>
      <c r="P1" s="66"/>
      <c r="Q1" s="66"/>
    </row>
    <row r="2" spans="1:17" ht="23.1" customHeight="1">
      <c r="A2" s="430" t="s">
        <v>6</v>
      </c>
      <c r="B2" s="251" t="s">
        <v>7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35</v>
      </c>
      <c r="H2" s="256" t="s">
        <v>42</v>
      </c>
      <c r="I2" s="256" t="s">
        <v>66</v>
      </c>
      <c r="J2" s="256" t="s">
        <v>69</v>
      </c>
      <c r="K2" s="256" t="s">
        <v>75</v>
      </c>
      <c r="L2" s="256" t="s">
        <v>110</v>
      </c>
      <c r="M2" s="256" t="s">
        <v>166</v>
      </c>
      <c r="N2" s="112" t="s">
        <v>538</v>
      </c>
      <c r="O2" s="112" t="s">
        <v>607</v>
      </c>
      <c r="P2" s="112" t="s">
        <v>722</v>
      </c>
      <c r="Q2" s="112" t="s">
        <v>34</v>
      </c>
    </row>
    <row r="3" spans="1:17" ht="23.1" customHeight="1">
      <c r="A3" s="249">
        <v>210</v>
      </c>
      <c r="B3" s="106" t="s">
        <v>95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66"/>
      <c r="O3" s="66"/>
      <c r="P3" s="66"/>
      <c r="Q3" s="66"/>
    </row>
    <row r="4" spans="1:17" ht="23.1" customHeight="1">
      <c r="A4" s="249">
        <v>2110</v>
      </c>
      <c r="B4" s="106" t="s">
        <v>155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23.1" customHeight="1">
      <c r="A5" s="169">
        <v>21101</v>
      </c>
      <c r="B5" s="66" t="s">
        <v>9</v>
      </c>
      <c r="C5" s="66"/>
      <c r="D5" s="66"/>
      <c r="E5" s="66"/>
      <c r="F5" s="66"/>
      <c r="G5" s="66"/>
      <c r="H5" s="66"/>
      <c r="I5" s="66"/>
      <c r="J5" s="66"/>
      <c r="K5" s="66"/>
      <c r="L5" s="66">
        <f>5452606800+308184000</f>
        <v>5760790800</v>
      </c>
      <c r="M5" s="66">
        <v>344791200</v>
      </c>
      <c r="N5" s="66">
        <v>412214400</v>
      </c>
      <c r="O5" s="66">
        <v>648048960</v>
      </c>
      <c r="P5" s="66">
        <v>750222720</v>
      </c>
      <c r="Q5" s="66">
        <f>P5-O5</f>
        <v>102173760</v>
      </c>
    </row>
    <row r="6" spans="1:17" ht="23.1" customHeight="1">
      <c r="A6" s="169">
        <v>21102</v>
      </c>
      <c r="B6" s="66" t="s">
        <v>561</v>
      </c>
      <c r="C6" s="66"/>
      <c r="D6" s="66"/>
      <c r="E6" s="66"/>
      <c r="F6" s="66"/>
      <c r="G6" s="66"/>
      <c r="H6" s="66"/>
      <c r="I6" s="66"/>
      <c r="J6" s="66"/>
      <c r="K6" s="66"/>
      <c r="L6" s="66">
        <v>0</v>
      </c>
      <c r="M6" s="66"/>
      <c r="N6" s="66">
        <v>133200000</v>
      </c>
      <c r="O6" s="66">
        <v>133200000</v>
      </c>
      <c r="P6" s="66">
        <v>271200000</v>
      </c>
      <c r="Q6" s="66">
        <f t="shared" ref="Q6:Q54" si="0">P6-O6</f>
        <v>138000000</v>
      </c>
    </row>
    <row r="7" spans="1:17" ht="23.1" customHeight="1">
      <c r="A7" s="169">
        <v>21103</v>
      </c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>
        <f>110800000+61200000</f>
        <v>172000000</v>
      </c>
      <c r="M7" s="66">
        <v>18000000</v>
      </c>
      <c r="N7" s="66">
        <v>162000000</v>
      </c>
      <c r="O7" s="66">
        <v>219600000</v>
      </c>
      <c r="P7" s="66">
        <v>342000000</v>
      </c>
      <c r="Q7" s="66">
        <f t="shared" si="0"/>
        <v>122400000</v>
      </c>
    </row>
    <row r="8" spans="1:17" ht="23.1" customHeight="1">
      <c r="A8" s="249">
        <v>2120</v>
      </c>
      <c r="B8" s="106" t="s">
        <v>156</v>
      </c>
      <c r="C8" s="106"/>
      <c r="D8" s="106"/>
      <c r="E8" s="106"/>
      <c r="F8" s="106"/>
      <c r="G8" s="106"/>
      <c r="H8" s="106"/>
      <c r="I8" s="106"/>
      <c r="J8" s="106"/>
      <c r="K8" s="66"/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f t="shared" si="0"/>
        <v>0</v>
      </c>
    </row>
    <row r="9" spans="1:17" ht="23.1" customHeight="1">
      <c r="A9" s="169">
        <v>21202</v>
      </c>
      <c r="B9" s="66" t="s">
        <v>298</v>
      </c>
      <c r="C9" s="66"/>
      <c r="D9" s="66"/>
      <c r="E9" s="66"/>
      <c r="F9" s="66"/>
      <c r="G9" s="66"/>
      <c r="H9" s="66"/>
      <c r="I9" s="66"/>
      <c r="J9" s="66"/>
      <c r="K9" s="66"/>
      <c r="L9" s="66">
        <v>10218000</v>
      </c>
      <c r="M9" s="66">
        <v>8052200</v>
      </c>
      <c r="N9" s="66">
        <v>0</v>
      </c>
      <c r="O9" s="66">
        <v>0</v>
      </c>
      <c r="P9" s="66">
        <v>0</v>
      </c>
      <c r="Q9" s="66">
        <f t="shared" si="0"/>
        <v>0</v>
      </c>
    </row>
    <row r="10" spans="1:17" ht="23.1" customHeight="1">
      <c r="A10" s="169"/>
      <c r="B10" s="106" t="s">
        <v>59</v>
      </c>
      <c r="C10" s="66"/>
      <c r="D10" s="66"/>
      <c r="E10" s="66"/>
      <c r="F10" s="66"/>
      <c r="G10" s="66"/>
      <c r="H10" s="66"/>
      <c r="I10" s="66"/>
      <c r="J10" s="66"/>
      <c r="K10" s="66"/>
      <c r="L10" s="106">
        <f>SUM(L5:L9)</f>
        <v>5943008800</v>
      </c>
      <c r="M10" s="106">
        <f>SUM(M5:M9)</f>
        <v>370843400</v>
      </c>
      <c r="N10" s="106">
        <f>SUM(N5:N9)</f>
        <v>707414400</v>
      </c>
      <c r="O10" s="106">
        <f>SUM(O5:O9)</f>
        <v>1000848960</v>
      </c>
      <c r="P10" s="106">
        <f>SUM(P5:P9)</f>
        <v>1363422720</v>
      </c>
      <c r="Q10" s="106">
        <f t="shared" si="0"/>
        <v>362573760</v>
      </c>
    </row>
    <row r="11" spans="1:17" ht="23.1" customHeight="1">
      <c r="A11" s="249">
        <v>220</v>
      </c>
      <c r="B11" s="106" t="s">
        <v>159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>
        <f t="shared" si="0"/>
        <v>0</v>
      </c>
    </row>
    <row r="12" spans="1:17" ht="23.1" customHeight="1">
      <c r="A12" s="249">
        <v>2210</v>
      </c>
      <c r="B12" s="106" t="s">
        <v>160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>
        <f t="shared" si="0"/>
        <v>0</v>
      </c>
    </row>
    <row r="13" spans="1:17" ht="23.1" customHeight="1">
      <c r="A13" s="169">
        <v>22101</v>
      </c>
      <c r="B13" s="66" t="s">
        <v>14</v>
      </c>
      <c r="C13" s="66"/>
      <c r="D13" s="66"/>
      <c r="E13" s="66"/>
      <c r="F13" s="66"/>
      <c r="G13" s="66"/>
      <c r="H13" s="66"/>
      <c r="I13" s="66"/>
      <c r="J13" s="66"/>
      <c r="K13" s="66"/>
      <c r="L13" s="66">
        <f>22344000+30462320</f>
        <v>52806320</v>
      </c>
      <c r="M13" s="66">
        <v>15525058</v>
      </c>
      <c r="N13" s="66">
        <v>65525058</v>
      </c>
      <c r="O13" s="66">
        <f>N13</f>
        <v>65525058</v>
      </c>
      <c r="P13" s="66">
        <v>100000000</v>
      </c>
      <c r="Q13" s="66">
        <f t="shared" si="0"/>
        <v>34474942</v>
      </c>
    </row>
    <row r="14" spans="1:17" ht="23.1" customHeight="1">
      <c r="A14" s="169">
        <v>22102</v>
      </c>
      <c r="B14" s="66" t="s">
        <v>82</v>
      </c>
      <c r="C14" s="66"/>
      <c r="D14" s="66"/>
      <c r="E14" s="66"/>
      <c r="F14" s="66"/>
      <c r="G14" s="66"/>
      <c r="H14" s="66"/>
      <c r="I14" s="66"/>
      <c r="J14" s="66"/>
      <c r="K14" s="66"/>
      <c r="L14" s="66">
        <f>8937600</f>
        <v>8937600</v>
      </c>
      <c r="M14" s="66">
        <v>5880000</v>
      </c>
      <c r="N14" s="66">
        <v>25880000</v>
      </c>
      <c r="O14" s="66">
        <v>25880000</v>
      </c>
      <c r="P14" s="66">
        <v>25880000</v>
      </c>
      <c r="Q14" s="66">
        <f t="shared" si="0"/>
        <v>0</v>
      </c>
    </row>
    <row r="15" spans="1:17" ht="23.1" customHeight="1">
      <c r="A15" s="169">
        <v>22104</v>
      </c>
      <c r="B15" s="66" t="s">
        <v>116</v>
      </c>
      <c r="C15" s="66"/>
      <c r="D15" s="66"/>
      <c r="E15" s="66"/>
      <c r="F15" s="66"/>
      <c r="G15" s="66"/>
      <c r="H15" s="66"/>
      <c r="I15" s="66"/>
      <c r="J15" s="66"/>
      <c r="K15" s="66"/>
      <c r="L15" s="66">
        <f>67136000+77000000</f>
        <v>144136000</v>
      </c>
      <c r="M15" s="66">
        <v>62955984</v>
      </c>
      <c r="N15" s="66">
        <f t="shared" ref="N15:P21" si="1">M15</f>
        <v>62955984</v>
      </c>
      <c r="O15" s="66">
        <f t="shared" si="1"/>
        <v>62955984</v>
      </c>
      <c r="P15" s="66">
        <f t="shared" si="1"/>
        <v>62955984</v>
      </c>
      <c r="Q15" s="66">
        <f t="shared" si="0"/>
        <v>0</v>
      </c>
    </row>
    <row r="16" spans="1:17" ht="23.1" customHeight="1">
      <c r="A16" s="169">
        <v>22105</v>
      </c>
      <c r="B16" s="66" t="s">
        <v>93</v>
      </c>
      <c r="C16" s="66"/>
      <c r="D16" s="66"/>
      <c r="E16" s="66"/>
      <c r="F16" s="66"/>
      <c r="G16" s="66"/>
      <c r="H16" s="66"/>
      <c r="I16" s="66"/>
      <c r="J16" s="66"/>
      <c r="K16" s="66"/>
      <c r="L16" s="66">
        <f>3724000</f>
        <v>3724000</v>
      </c>
      <c r="M16" s="66">
        <v>2940000</v>
      </c>
      <c r="N16" s="66">
        <f t="shared" si="1"/>
        <v>2940000</v>
      </c>
      <c r="O16" s="66">
        <f t="shared" si="1"/>
        <v>2940000</v>
      </c>
      <c r="P16" s="66">
        <f t="shared" si="1"/>
        <v>2940000</v>
      </c>
      <c r="Q16" s="66">
        <f t="shared" si="0"/>
        <v>0</v>
      </c>
    </row>
    <row r="17" spans="1:17" ht="23.1" customHeight="1">
      <c r="A17" s="169">
        <v>22107</v>
      </c>
      <c r="B17" s="66" t="s">
        <v>30</v>
      </c>
      <c r="C17" s="66"/>
      <c r="D17" s="66"/>
      <c r="E17" s="66"/>
      <c r="F17" s="66"/>
      <c r="G17" s="66"/>
      <c r="H17" s="66"/>
      <c r="I17" s="66"/>
      <c r="J17" s="66"/>
      <c r="K17" s="66"/>
      <c r="L17" s="66">
        <f>39792000+5213600</f>
        <v>45005600</v>
      </c>
      <c r="M17" s="66">
        <v>11381303</v>
      </c>
      <c r="N17" s="66">
        <v>57966912</v>
      </c>
      <c r="O17" s="66">
        <v>77966912</v>
      </c>
      <c r="P17" s="66">
        <v>77966912</v>
      </c>
      <c r="Q17" s="66">
        <f t="shared" si="0"/>
        <v>0</v>
      </c>
    </row>
    <row r="18" spans="1:17" ht="23.1" customHeight="1">
      <c r="A18" s="169">
        <v>22108</v>
      </c>
      <c r="B18" s="66" t="s">
        <v>60</v>
      </c>
      <c r="C18" s="66"/>
      <c r="D18" s="66"/>
      <c r="E18" s="66"/>
      <c r="F18" s="66"/>
      <c r="G18" s="66"/>
      <c r="H18" s="66"/>
      <c r="I18" s="66"/>
      <c r="J18" s="66"/>
      <c r="K18" s="66"/>
      <c r="L18" s="66">
        <v>1226626880</v>
      </c>
      <c r="M18" s="66"/>
      <c r="N18" s="66">
        <f>M18*70%</f>
        <v>0</v>
      </c>
      <c r="O18" s="66">
        <v>30000000</v>
      </c>
      <c r="P18" s="66">
        <v>30000000</v>
      </c>
      <c r="Q18" s="66">
        <f t="shared" si="0"/>
        <v>0</v>
      </c>
    </row>
    <row r="19" spans="1:17" ht="23.1" customHeight="1">
      <c r="A19" s="169">
        <v>22109</v>
      </c>
      <c r="B19" s="66" t="s">
        <v>94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66">
        <f>17448000+5213600</f>
        <v>22661600</v>
      </c>
      <c r="M19" s="66">
        <v>10793798</v>
      </c>
      <c r="N19" s="66">
        <f t="shared" si="1"/>
        <v>10793798</v>
      </c>
      <c r="O19" s="66">
        <v>15793798</v>
      </c>
      <c r="P19" s="66">
        <v>15793798</v>
      </c>
      <c r="Q19" s="66">
        <f t="shared" si="0"/>
        <v>0</v>
      </c>
    </row>
    <row r="20" spans="1:17" ht="23.1" customHeight="1">
      <c r="A20" s="169">
        <v>22112</v>
      </c>
      <c r="B20" s="66" t="s">
        <v>16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f>17448000+49000000</f>
        <v>66448000</v>
      </c>
      <c r="M20" s="66">
        <v>32182886</v>
      </c>
      <c r="N20" s="66">
        <f t="shared" si="1"/>
        <v>32182886</v>
      </c>
      <c r="O20" s="66">
        <v>42182886</v>
      </c>
      <c r="P20" s="66">
        <v>42182886</v>
      </c>
      <c r="Q20" s="66">
        <f t="shared" si="0"/>
        <v>0</v>
      </c>
    </row>
    <row r="21" spans="1:17" ht="23.1" customHeight="1">
      <c r="A21" s="169">
        <v>22123</v>
      </c>
      <c r="B21" s="66" t="s">
        <v>208</v>
      </c>
      <c r="C21" s="66"/>
      <c r="D21" s="66"/>
      <c r="E21" s="66"/>
      <c r="F21" s="66"/>
      <c r="G21" s="66"/>
      <c r="H21" s="66"/>
      <c r="I21" s="66"/>
      <c r="J21" s="66"/>
      <c r="K21" s="66"/>
      <c r="L21" s="66">
        <v>3865000000</v>
      </c>
      <c r="M21" s="66">
        <v>0</v>
      </c>
      <c r="N21" s="66">
        <f t="shared" si="1"/>
        <v>0</v>
      </c>
      <c r="O21" s="66">
        <f t="shared" si="1"/>
        <v>0</v>
      </c>
      <c r="P21" s="66">
        <f t="shared" si="1"/>
        <v>0</v>
      </c>
      <c r="Q21" s="66">
        <f t="shared" si="0"/>
        <v>0</v>
      </c>
    </row>
    <row r="22" spans="1:17" ht="23.1" customHeight="1">
      <c r="A22" s="169">
        <v>22132</v>
      </c>
      <c r="B22" s="66" t="s">
        <v>757</v>
      </c>
      <c r="C22" s="106"/>
      <c r="D22" s="106"/>
      <c r="E22" s="106"/>
      <c r="F22" s="106"/>
      <c r="G22" s="106"/>
      <c r="H22" s="106"/>
      <c r="I22" s="106"/>
      <c r="J22" s="106"/>
      <c r="K22" s="66"/>
      <c r="L22" s="66">
        <v>9594000</v>
      </c>
      <c r="M22" s="66">
        <v>2820636</v>
      </c>
      <c r="N22" s="66">
        <v>302700000</v>
      </c>
      <c r="O22" s="66">
        <v>302700000</v>
      </c>
      <c r="P22" s="66">
        <v>322700000</v>
      </c>
      <c r="Q22" s="66">
        <f t="shared" si="0"/>
        <v>20000000</v>
      </c>
    </row>
    <row r="23" spans="1:17" ht="23.1" customHeight="1">
      <c r="A23" s="169" t="s">
        <v>886</v>
      </c>
      <c r="B23" s="66" t="s">
        <v>887</v>
      </c>
      <c r="C23" s="106"/>
      <c r="D23" s="106"/>
      <c r="E23" s="106"/>
      <c r="F23" s="106"/>
      <c r="G23" s="106"/>
      <c r="H23" s="106"/>
      <c r="I23" s="106"/>
      <c r="J23" s="106"/>
      <c r="K23" s="66"/>
      <c r="L23" s="66"/>
      <c r="M23" s="66"/>
      <c r="N23" s="66"/>
      <c r="O23" s="66"/>
      <c r="P23" s="66">
        <v>332500000</v>
      </c>
      <c r="Q23" s="66">
        <f t="shared" si="0"/>
        <v>332500000</v>
      </c>
    </row>
    <row r="24" spans="1:17" ht="23.1" customHeight="1">
      <c r="A24" s="169">
        <v>22141</v>
      </c>
      <c r="B24" s="66" t="s">
        <v>423</v>
      </c>
      <c r="C24" s="106"/>
      <c r="D24" s="106"/>
      <c r="E24" s="106"/>
      <c r="F24" s="106"/>
      <c r="G24" s="106"/>
      <c r="H24" s="106"/>
      <c r="I24" s="106"/>
      <c r="J24" s="106"/>
      <c r="K24" s="66"/>
      <c r="L24" s="66"/>
      <c r="M24" s="66"/>
      <c r="N24" s="66">
        <v>0</v>
      </c>
      <c r="O24" s="66">
        <v>30000000</v>
      </c>
      <c r="P24" s="66">
        <v>54000000</v>
      </c>
      <c r="Q24" s="66">
        <f t="shared" si="0"/>
        <v>24000000</v>
      </c>
    </row>
    <row r="25" spans="1:17" ht="23.1" customHeight="1">
      <c r="A25" s="169">
        <v>22176</v>
      </c>
      <c r="B25" s="66" t="s">
        <v>859</v>
      </c>
      <c r="C25" s="106"/>
      <c r="D25" s="106"/>
      <c r="E25" s="106"/>
      <c r="F25" s="106"/>
      <c r="G25" s="106"/>
      <c r="H25" s="106"/>
      <c r="I25" s="106"/>
      <c r="J25" s="106"/>
      <c r="K25" s="66"/>
      <c r="L25" s="66"/>
      <c r="M25" s="66"/>
      <c r="N25" s="66"/>
      <c r="O25" s="66">
        <v>0</v>
      </c>
      <c r="P25" s="66">
        <v>100000000</v>
      </c>
      <c r="Q25" s="66">
        <f t="shared" si="0"/>
        <v>100000000</v>
      </c>
    </row>
    <row r="26" spans="1:17" ht="23.1" customHeight="1">
      <c r="A26" s="169"/>
      <c r="B26" s="106" t="s">
        <v>59</v>
      </c>
      <c r="C26" s="66"/>
      <c r="D26" s="66"/>
      <c r="E26" s="66"/>
      <c r="F26" s="66"/>
      <c r="G26" s="66"/>
      <c r="H26" s="66"/>
      <c r="I26" s="66"/>
      <c r="J26" s="66"/>
      <c r="K26" s="66"/>
      <c r="L26" s="106">
        <f>SUM(L13:L22)</f>
        <v>5444940000</v>
      </c>
      <c r="M26" s="106">
        <f>SUM(M13:M22)</f>
        <v>144479665</v>
      </c>
      <c r="N26" s="106">
        <f>SUM(N13:N22)</f>
        <v>560944638</v>
      </c>
      <c r="O26" s="106">
        <f>SUM(O13:O25)</f>
        <v>655944638</v>
      </c>
      <c r="P26" s="106">
        <f>SUM(P13:P25)</f>
        <v>1166919580</v>
      </c>
      <c r="Q26" s="106">
        <f t="shared" si="0"/>
        <v>510974942</v>
      </c>
    </row>
    <row r="27" spans="1:17" ht="23.1" customHeight="1">
      <c r="A27" s="249">
        <v>2220</v>
      </c>
      <c r="B27" s="106" t="s">
        <v>161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>
        <f t="shared" si="0"/>
        <v>0</v>
      </c>
    </row>
    <row r="28" spans="1:17" ht="23.1" customHeight="1">
      <c r="A28" s="169">
        <v>22202</v>
      </c>
      <c r="B28" s="66" t="s">
        <v>91</v>
      </c>
      <c r="C28" s="66"/>
      <c r="D28" s="66"/>
      <c r="E28" s="66"/>
      <c r="F28" s="66"/>
      <c r="G28" s="66"/>
      <c r="H28" s="66"/>
      <c r="I28" s="66"/>
      <c r="J28" s="66"/>
      <c r="K28" s="66"/>
      <c r="L28" s="66">
        <f>412503000+230000000</f>
        <v>642503000</v>
      </c>
      <c r="M28" s="66">
        <v>230000000</v>
      </c>
      <c r="N28" s="66">
        <v>248000000</v>
      </c>
      <c r="O28" s="66">
        <v>263000000</v>
      </c>
      <c r="P28" s="66">
        <v>273000000</v>
      </c>
      <c r="Q28" s="66">
        <f t="shared" si="0"/>
        <v>10000000</v>
      </c>
    </row>
    <row r="29" spans="1:17" ht="23.1" customHeight="1">
      <c r="A29" s="169">
        <v>22203</v>
      </c>
      <c r="B29" s="66" t="s">
        <v>85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66">
        <f>37240000+32000000</f>
        <v>69240000</v>
      </c>
      <c r="M29" s="66">
        <v>24108000</v>
      </c>
      <c r="N29" s="66">
        <f t="shared" ref="N29:P33" si="2">M29</f>
        <v>24108000</v>
      </c>
      <c r="O29" s="66">
        <f t="shared" si="2"/>
        <v>24108000</v>
      </c>
      <c r="P29" s="66">
        <f t="shared" si="2"/>
        <v>24108000</v>
      </c>
      <c r="Q29" s="66">
        <f t="shared" si="0"/>
        <v>0</v>
      </c>
    </row>
    <row r="30" spans="1:17" ht="23.1" customHeight="1">
      <c r="A30" s="169">
        <v>22204</v>
      </c>
      <c r="B30" s="66" t="s">
        <v>86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66">
        <f>18620000+5958400</f>
        <v>24578400</v>
      </c>
      <c r="M30" s="66">
        <v>7350000</v>
      </c>
      <c r="N30" s="66">
        <f t="shared" si="2"/>
        <v>7350000</v>
      </c>
      <c r="O30" s="66">
        <v>17350000</v>
      </c>
      <c r="P30" s="66">
        <v>17350000</v>
      </c>
      <c r="Q30" s="66">
        <f t="shared" si="0"/>
        <v>0</v>
      </c>
    </row>
    <row r="31" spans="1:17" ht="23.1" customHeight="1">
      <c r="A31" s="169">
        <v>22208</v>
      </c>
      <c r="B31" s="66" t="s">
        <v>314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6">
        <f>601648350</f>
        <v>601648350</v>
      </c>
      <c r="M31" s="116">
        <v>0</v>
      </c>
      <c r="N31" s="66">
        <f t="shared" si="2"/>
        <v>0</v>
      </c>
      <c r="O31" s="66">
        <f t="shared" si="2"/>
        <v>0</v>
      </c>
      <c r="P31" s="66">
        <f t="shared" si="2"/>
        <v>0</v>
      </c>
      <c r="Q31" s="66">
        <f t="shared" si="0"/>
        <v>0</v>
      </c>
    </row>
    <row r="32" spans="1:17" ht="23.1" customHeight="1">
      <c r="A32" s="169">
        <v>22209</v>
      </c>
      <c r="B32" s="66" t="s">
        <v>145</v>
      </c>
      <c r="C32" s="66"/>
      <c r="D32" s="66"/>
      <c r="E32" s="66"/>
      <c r="F32" s="66"/>
      <c r="G32" s="66"/>
      <c r="H32" s="66"/>
      <c r="I32" s="66"/>
      <c r="J32" s="66"/>
      <c r="K32" s="66">
        <v>90</v>
      </c>
      <c r="L32" s="66">
        <v>15400000</v>
      </c>
      <c r="M32" s="66">
        <v>19992000</v>
      </c>
      <c r="N32" s="66">
        <v>0</v>
      </c>
      <c r="O32" s="66">
        <v>0</v>
      </c>
      <c r="P32" s="66">
        <v>0</v>
      </c>
      <c r="Q32" s="66">
        <f t="shared" si="0"/>
        <v>0</v>
      </c>
    </row>
    <row r="33" spans="1:17" ht="23.1" customHeight="1">
      <c r="A33" s="169">
        <v>22216</v>
      </c>
      <c r="B33" s="66" t="s">
        <v>177</v>
      </c>
      <c r="C33" s="118"/>
      <c r="D33" s="100" t="s">
        <v>4</v>
      </c>
      <c r="E33" s="100"/>
      <c r="F33" s="100"/>
      <c r="G33" s="100">
        <v>240000000</v>
      </c>
      <c r="H33" s="100">
        <v>120000000</v>
      </c>
      <c r="I33" s="100"/>
      <c r="J33" s="100"/>
      <c r="K33" s="100"/>
      <c r="L33" s="116">
        <f>22344000+3724000</f>
        <v>26068000</v>
      </c>
      <c r="M33" s="116">
        <v>0</v>
      </c>
      <c r="N33" s="66">
        <f t="shared" si="2"/>
        <v>0</v>
      </c>
      <c r="O33" s="66">
        <f t="shared" si="2"/>
        <v>0</v>
      </c>
      <c r="P33" s="66">
        <f t="shared" si="2"/>
        <v>0</v>
      </c>
      <c r="Q33" s="66">
        <f t="shared" si="0"/>
        <v>0</v>
      </c>
    </row>
    <row r="34" spans="1:17" ht="23.1" customHeight="1">
      <c r="A34" s="169"/>
      <c r="B34" s="106" t="s">
        <v>59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05">
        <f>SUM(L28:L32)</f>
        <v>1353369750</v>
      </c>
      <c r="M34" s="105">
        <f>SUM(M28:M33)</f>
        <v>281450000</v>
      </c>
      <c r="N34" s="106">
        <f>SUM(N28:N33)</f>
        <v>279458000</v>
      </c>
      <c r="O34" s="106">
        <f>SUM(O28:O33)</f>
        <v>304458000</v>
      </c>
      <c r="P34" s="106">
        <f>SUM(P28:P33)</f>
        <v>314458000</v>
      </c>
      <c r="Q34" s="106">
        <f t="shared" si="0"/>
        <v>10000000</v>
      </c>
    </row>
    <row r="35" spans="1:17" ht="23.1" customHeight="1">
      <c r="A35" s="249">
        <v>2230</v>
      </c>
      <c r="B35" s="106" t="s">
        <v>88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66"/>
      <c r="O35" s="66"/>
      <c r="P35" s="66"/>
      <c r="Q35" s="66">
        <f t="shared" si="0"/>
        <v>0</v>
      </c>
    </row>
    <row r="36" spans="1:17" ht="23.1" customHeight="1">
      <c r="A36" s="169">
        <v>22301</v>
      </c>
      <c r="B36" s="66" t="s">
        <v>31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6">
        <f>44792401+72850034</f>
        <v>117642435</v>
      </c>
      <c r="M36" s="116">
        <v>34586876</v>
      </c>
      <c r="N36" s="66">
        <f>M36</f>
        <v>34586876</v>
      </c>
      <c r="O36" s="66">
        <f>N36</f>
        <v>34586876</v>
      </c>
      <c r="P36" s="66">
        <f>O36</f>
        <v>34586876</v>
      </c>
      <c r="Q36" s="66">
        <f t="shared" si="0"/>
        <v>0</v>
      </c>
    </row>
    <row r="37" spans="1:17" ht="23.1" customHeight="1">
      <c r="A37" s="169">
        <v>22302</v>
      </c>
      <c r="B37" s="66" t="s">
        <v>162</v>
      </c>
      <c r="C37" s="118"/>
      <c r="D37" s="118"/>
      <c r="E37" s="100" t="e">
        <f>#REF!+#REF!</f>
        <v>#REF!</v>
      </c>
      <c r="F37" s="100" t="e">
        <f>#REF!+#REF!</f>
        <v>#REF!</v>
      </c>
      <c r="G37" s="100"/>
      <c r="H37" s="100"/>
      <c r="I37" s="100"/>
      <c r="J37" s="100"/>
      <c r="K37" s="100"/>
      <c r="L37" s="116">
        <v>5586000</v>
      </c>
      <c r="M37" s="116">
        <v>1642284</v>
      </c>
      <c r="N37" s="66">
        <v>42000000</v>
      </c>
      <c r="O37" s="66">
        <v>42000000</v>
      </c>
      <c r="P37" s="66">
        <v>20000000</v>
      </c>
      <c r="Q37" s="66">
        <f t="shared" si="0"/>
        <v>-22000000</v>
      </c>
    </row>
    <row r="38" spans="1:17" ht="23.1" customHeight="1">
      <c r="A38" s="169">
        <v>22314</v>
      </c>
      <c r="B38" s="66" t="s">
        <v>163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00">
        <f>K38-J38</f>
        <v>0</v>
      </c>
      <c r="M38" s="100">
        <f>L38-K38</f>
        <v>0</v>
      </c>
      <c r="N38" s="66">
        <f>M38-L38</f>
        <v>0</v>
      </c>
      <c r="O38" s="66">
        <f>N38-M38</f>
        <v>0</v>
      </c>
      <c r="P38" s="66">
        <f>O38-N38</f>
        <v>0</v>
      </c>
      <c r="Q38" s="66">
        <f t="shared" si="0"/>
        <v>0</v>
      </c>
    </row>
    <row r="39" spans="1:17" ht="23.1" customHeight="1">
      <c r="A39" s="169"/>
      <c r="B39" s="106" t="s">
        <v>59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7">
        <f>SUM(L36:L38)</f>
        <v>123228435</v>
      </c>
      <c r="M39" s="117">
        <f>SUM(M36:M38)</f>
        <v>36229160</v>
      </c>
      <c r="N39" s="106">
        <f>SUM(N36:N38)</f>
        <v>76586876</v>
      </c>
      <c r="O39" s="106">
        <f>SUM(O36:O38)</f>
        <v>76586876</v>
      </c>
      <c r="P39" s="106">
        <f>SUM(P36:P38)</f>
        <v>54586876</v>
      </c>
      <c r="Q39" s="106">
        <f t="shared" si="0"/>
        <v>-22000000</v>
      </c>
    </row>
    <row r="40" spans="1:17" ht="23.1" customHeight="1">
      <c r="A40" s="249">
        <v>230</v>
      </c>
      <c r="B40" s="106" t="s">
        <v>165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66"/>
      <c r="O40" s="66"/>
      <c r="P40" s="66"/>
      <c r="Q40" s="66">
        <f t="shared" si="0"/>
        <v>0</v>
      </c>
    </row>
    <row r="41" spans="1:17" ht="23.1" customHeight="1">
      <c r="A41" s="249">
        <v>2310</v>
      </c>
      <c r="B41" s="106" t="s">
        <v>164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66"/>
      <c r="O41" s="66"/>
      <c r="P41" s="66"/>
      <c r="Q41" s="66">
        <f t="shared" si="0"/>
        <v>0</v>
      </c>
    </row>
    <row r="42" spans="1:17" ht="23.1" customHeight="1">
      <c r="A42" s="169">
        <v>23101</v>
      </c>
      <c r="B42" s="66" t="s">
        <v>104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00">
        <f>K42-J42</f>
        <v>0</v>
      </c>
      <c r="M42" s="503">
        <v>29400000</v>
      </c>
      <c r="N42" s="131">
        <v>50000000</v>
      </c>
      <c r="O42" s="131">
        <v>0</v>
      </c>
      <c r="P42" s="131">
        <v>0</v>
      </c>
      <c r="Q42" s="66">
        <f t="shared" si="0"/>
        <v>0</v>
      </c>
    </row>
    <row r="43" spans="1:17" ht="23.1" customHeight="1">
      <c r="A43" s="169">
        <v>23102</v>
      </c>
      <c r="B43" s="66" t="s">
        <v>173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00"/>
      <c r="M43" s="503"/>
      <c r="N43" s="131">
        <v>108000000</v>
      </c>
      <c r="O43" s="131">
        <v>0</v>
      </c>
      <c r="P43" s="131">
        <v>0</v>
      </c>
      <c r="Q43" s="66">
        <f t="shared" si="0"/>
        <v>0</v>
      </c>
    </row>
    <row r="44" spans="1:17" ht="23.1" customHeight="1">
      <c r="A44" s="169">
        <v>23102</v>
      </c>
      <c r="B44" s="66" t="s">
        <v>673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00">
        <f>K44-J44</f>
        <v>0</v>
      </c>
      <c r="M44" s="121">
        <v>61250000</v>
      </c>
      <c r="N44" s="131">
        <v>108000000</v>
      </c>
      <c r="O44" s="131">
        <v>108000000</v>
      </c>
      <c r="P44" s="131">
        <v>0</v>
      </c>
      <c r="Q44" s="66">
        <f t="shared" si="0"/>
        <v>-108000000</v>
      </c>
    </row>
    <row r="45" spans="1:17" ht="23.1" customHeight="1">
      <c r="A45" s="169">
        <v>23103</v>
      </c>
      <c r="B45" s="66" t="s">
        <v>106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6">
        <f>5958400+5724000</f>
        <v>11682400</v>
      </c>
      <c r="M45" s="503">
        <v>3434635</v>
      </c>
      <c r="N45" s="131">
        <v>0</v>
      </c>
      <c r="O45" s="131">
        <v>0</v>
      </c>
      <c r="P45" s="131">
        <v>0</v>
      </c>
      <c r="Q45" s="66">
        <f t="shared" si="0"/>
        <v>0</v>
      </c>
    </row>
    <row r="46" spans="1:17" ht="23.1" customHeight="1">
      <c r="A46" s="169">
        <v>23104</v>
      </c>
      <c r="B46" s="66" t="s">
        <v>107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00">
        <v>5234000</v>
      </c>
      <c r="M46" s="121">
        <v>1538796</v>
      </c>
      <c r="N46" s="131">
        <v>0</v>
      </c>
      <c r="O46" s="131">
        <v>0</v>
      </c>
      <c r="P46" s="131">
        <v>0</v>
      </c>
      <c r="Q46" s="66">
        <f t="shared" si="0"/>
        <v>0</v>
      </c>
    </row>
    <row r="47" spans="1:17" ht="23.1" customHeight="1">
      <c r="A47" s="169"/>
      <c r="B47" s="106" t="s">
        <v>59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05">
        <f>SUM(L42:L46)</f>
        <v>16916400</v>
      </c>
      <c r="M47" s="105">
        <f>SUM(M42:M46)</f>
        <v>95623431</v>
      </c>
      <c r="N47" s="106">
        <f>SUM(N42:N46)</f>
        <v>266000000</v>
      </c>
      <c r="O47" s="106">
        <f>SUM(O42:O46)</f>
        <v>108000000</v>
      </c>
      <c r="P47" s="106">
        <f>SUM(P42:P46)</f>
        <v>0</v>
      </c>
      <c r="Q47" s="106">
        <f t="shared" si="0"/>
        <v>-108000000</v>
      </c>
    </row>
    <row r="48" spans="1:17" ht="23.1" customHeight="1">
      <c r="A48" s="249">
        <v>2320</v>
      </c>
      <c r="B48" s="66">
        <v>0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00"/>
      <c r="M48" s="100"/>
      <c r="N48" s="66"/>
      <c r="O48" s="66"/>
      <c r="P48" s="66"/>
      <c r="Q48" s="66">
        <f t="shared" si="0"/>
        <v>0</v>
      </c>
    </row>
    <row r="49" spans="1:17" ht="23.1" customHeight="1">
      <c r="A49" s="169">
        <v>23201</v>
      </c>
      <c r="B49" s="66" t="s">
        <v>275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00">
        <v>0</v>
      </c>
      <c r="M49" s="100">
        <v>0</v>
      </c>
      <c r="N49" s="66">
        <v>0</v>
      </c>
      <c r="O49" s="66">
        <v>0</v>
      </c>
      <c r="P49" s="66">
        <v>0</v>
      </c>
      <c r="Q49" s="66">
        <f t="shared" si="0"/>
        <v>0</v>
      </c>
    </row>
    <row r="50" spans="1:17" ht="23.1" customHeight="1">
      <c r="A50" s="169"/>
      <c r="B50" s="106" t="s">
        <v>59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05">
        <f>SUM(L49)</f>
        <v>0</v>
      </c>
      <c r="M50" s="105">
        <f>M49</f>
        <v>0</v>
      </c>
      <c r="N50" s="106">
        <f>SUM(N49)</f>
        <v>0</v>
      </c>
      <c r="O50" s="106">
        <f>SUM(O49)</f>
        <v>0</v>
      </c>
      <c r="P50" s="106">
        <f>SUM(P49)</f>
        <v>0</v>
      </c>
      <c r="Q50" s="66">
        <f t="shared" si="0"/>
        <v>0</v>
      </c>
    </row>
    <row r="51" spans="1:17" s="378" customFormat="1" ht="23.1" customHeight="1">
      <c r="A51" s="368">
        <v>2630</v>
      </c>
      <c r="B51" s="297" t="s">
        <v>306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>
        <f t="shared" si="0"/>
        <v>0</v>
      </c>
    </row>
    <row r="52" spans="1:17" ht="23.1" customHeight="1">
      <c r="A52" s="169">
        <v>26301</v>
      </c>
      <c r="B52" s="66" t="s">
        <v>403</v>
      </c>
      <c r="C52" s="106"/>
      <c r="D52" s="106"/>
      <c r="E52" s="106"/>
      <c r="F52" s="106"/>
      <c r="G52" s="106"/>
      <c r="H52" s="106"/>
      <c r="I52" s="106"/>
      <c r="J52" s="106"/>
      <c r="K52" s="66"/>
      <c r="L52" s="66">
        <v>208000000</v>
      </c>
      <c r="M52" s="66">
        <v>0</v>
      </c>
      <c r="N52" s="66">
        <v>0</v>
      </c>
      <c r="O52" s="66">
        <v>0</v>
      </c>
      <c r="P52" s="66">
        <v>0</v>
      </c>
      <c r="Q52" s="66">
        <f t="shared" si="0"/>
        <v>0</v>
      </c>
    </row>
    <row r="53" spans="1:17" ht="23.1" customHeight="1">
      <c r="A53" s="169"/>
      <c r="B53" s="106" t="s">
        <v>59</v>
      </c>
      <c r="C53" s="66"/>
      <c r="D53" s="66"/>
      <c r="E53" s="66"/>
      <c r="F53" s="66"/>
      <c r="G53" s="66"/>
      <c r="H53" s="66"/>
      <c r="I53" s="66"/>
      <c r="J53" s="106">
        <f>SUM(J52)</f>
        <v>0</v>
      </c>
      <c r="K53" s="106">
        <f>SUM(K52)</f>
        <v>0</v>
      </c>
      <c r="L53" s="106">
        <f>SUM(L52)</f>
        <v>208000000</v>
      </c>
      <c r="M53" s="106">
        <f>M52</f>
        <v>0</v>
      </c>
      <c r="N53" s="106">
        <f>SUM(N52)</f>
        <v>0</v>
      </c>
      <c r="O53" s="106">
        <f>SUM(O52)</f>
        <v>0</v>
      </c>
      <c r="P53" s="106">
        <f>SUM(P52)</f>
        <v>0</v>
      </c>
      <c r="Q53" s="66">
        <f t="shared" si="0"/>
        <v>0</v>
      </c>
    </row>
    <row r="54" spans="1:17" ht="23.1" customHeight="1">
      <c r="A54" s="169"/>
      <c r="B54" s="106" t="s">
        <v>18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05">
        <f>L53+L47+L39+L34+L26+L10</f>
        <v>13089463385</v>
      </c>
      <c r="M54" s="105">
        <f>M53+M50+M47+M39+M34+M26+M10</f>
        <v>928625656</v>
      </c>
      <c r="N54" s="106">
        <f>N53+N50+N47+N39+N34+N26+N10</f>
        <v>1890403914</v>
      </c>
      <c r="O54" s="106">
        <f>O53+O50+O47+O39+O34+O26+O10</f>
        <v>2145838474</v>
      </c>
      <c r="P54" s="106">
        <f>P53+P50+P47+P39+P34+P26+P10</f>
        <v>2899387176</v>
      </c>
      <c r="Q54" s="106">
        <f t="shared" si="0"/>
        <v>753548702</v>
      </c>
    </row>
  </sheetData>
  <pageMargins left="0.7" right="0.7" top="0.75" bottom="0.75" header="0.3" footer="0.3"/>
  <pageSetup scale="55" orientation="portrait" r:id="rId1"/>
  <headerFooter>
    <oddHeader xml:space="preserve">&amp;C&amp;"Algerian,Bold"&amp;36WARAARAdDA DIB-U-DAJINTA </oddHeader>
    <oddFooter>&amp;R&amp;"Times New Roman,Bold"&amp;12 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37"/>
  </sheetPr>
  <dimension ref="A1:AB54"/>
  <sheetViews>
    <sheetView view="pageBreakPreview" zoomScale="60" workbookViewId="0">
      <selection activeCell="M20" sqref="M20"/>
    </sheetView>
  </sheetViews>
  <sheetFormatPr defaultRowHeight="12.75"/>
  <cols>
    <col min="1" max="1" width="19.83203125" bestFit="1" customWidth="1"/>
    <col min="2" max="2" width="43.5" customWidth="1"/>
    <col min="3" max="3" width="17" hidden="1" customWidth="1"/>
    <col min="4" max="4" width="18.5" hidden="1" customWidth="1"/>
    <col min="5" max="6" width="20.33203125" hidden="1" customWidth="1"/>
    <col min="7" max="7" width="0.1640625" hidden="1" customWidth="1"/>
    <col min="8" max="8" width="0.6640625" hidden="1" customWidth="1"/>
    <col min="9" max="10" width="24.5" hidden="1" customWidth="1"/>
    <col min="11" max="12" width="24.5" customWidth="1"/>
    <col min="13" max="13" width="28.83203125" bestFit="1" customWidth="1"/>
    <col min="14" max="14" width="1.6640625" hidden="1" customWidth="1"/>
    <col min="15" max="15" width="9.6640625" hidden="1" customWidth="1"/>
    <col min="16" max="16" width="11.6640625" hidden="1" customWidth="1"/>
    <col min="17" max="17" width="9.33203125" hidden="1" customWidth="1"/>
  </cols>
  <sheetData>
    <row r="1" spans="1:28" ht="20.25" customHeight="1">
      <c r="A1" s="549" t="s">
        <v>595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50"/>
      <c r="O1" s="550"/>
      <c r="P1" s="550"/>
      <c r="Q1" s="8"/>
    </row>
    <row r="2" spans="1:28" s="3" customFormat="1" ht="20.25" customHeight="1">
      <c r="A2" s="158" t="s">
        <v>21</v>
      </c>
      <c r="B2" s="174" t="s">
        <v>819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4"/>
      <c r="O2" s="14"/>
      <c r="P2" s="14"/>
    </row>
    <row r="3" spans="1:28" s="6" customFormat="1" ht="20.25" customHeight="1">
      <c r="A3" s="158" t="s">
        <v>0</v>
      </c>
      <c r="B3" s="157" t="s">
        <v>1</v>
      </c>
      <c r="C3" s="157" t="s">
        <v>28</v>
      </c>
      <c r="D3" s="157" t="s">
        <v>33</v>
      </c>
      <c r="E3" s="157" t="s">
        <v>40</v>
      </c>
      <c r="F3" s="157" t="s">
        <v>66</v>
      </c>
      <c r="G3" s="157" t="s">
        <v>69</v>
      </c>
      <c r="H3" s="157" t="s">
        <v>96</v>
      </c>
      <c r="I3" s="157" t="s">
        <v>167</v>
      </c>
      <c r="J3" s="157" t="s">
        <v>529</v>
      </c>
      <c r="K3" s="157" t="s">
        <v>604</v>
      </c>
      <c r="L3" s="157" t="s">
        <v>722</v>
      </c>
      <c r="M3" s="157" t="s">
        <v>39</v>
      </c>
      <c r="N3" s="14" t="s">
        <v>22</v>
      </c>
      <c r="O3" s="14" t="s">
        <v>4</v>
      </c>
      <c r="P3" s="14"/>
    </row>
    <row r="4" spans="1:28" s="1" customFormat="1" ht="20.25" customHeight="1">
      <c r="A4" s="158">
        <v>210</v>
      </c>
      <c r="B4" s="159" t="s">
        <v>271</v>
      </c>
      <c r="C4" s="160">
        <f>3756364000-93840000-412000000</f>
        <v>3250524000</v>
      </c>
      <c r="D4" s="160">
        <v>2600419200</v>
      </c>
      <c r="E4" s="160">
        <v>2600419200</v>
      </c>
      <c r="F4" s="160">
        <v>2600419200</v>
      </c>
      <c r="G4" s="160">
        <v>2600419200</v>
      </c>
      <c r="H4" s="160">
        <v>0</v>
      </c>
      <c r="I4" s="160">
        <v>0</v>
      </c>
      <c r="J4" s="160">
        <v>0</v>
      </c>
      <c r="K4" s="160">
        <v>0</v>
      </c>
      <c r="L4" s="160">
        <v>0</v>
      </c>
      <c r="M4" s="161">
        <f>L4-K4</f>
        <v>0</v>
      </c>
      <c r="N4" s="12"/>
      <c r="O4" s="12"/>
      <c r="P4" s="12"/>
    </row>
    <row r="5" spans="1:28" s="1" customFormat="1" ht="20.25" customHeight="1">
      <c r="A5" s="158">
        <v>21101</v>
      </c>
      <c r="B5" s="159" t="s">
        <v>221</v>
      </c>
      <c r="C5" s="160"/>
      <c r="D5" s="160"/>
      <c r="E5" s="160"/>
      <c r="F5" s="160"/>
      <c r="G5" s="160"/>
      <c r="H5" s="160">
        <v>2600419200</v>
      </c>
      <c r="I5" s="160">
        <v>546000000</v>
      </c>
      <c r="J5" s="160">
        <v>546000000</v>
      </c>
      <c r="K5" s="160">
        <v>546000000</v>
      </c>
      <c r="L5" s="160">
        <v>546000000</v>
      </c>
      <c r="M5" s="161">
        <f>L5-K5</f>
        <v>0</v>
      </c>
      <c r="N5" s="12"/>
      <c r="O5" s="12"/>
      <c r="P5" s="12"/>
    </row>
    <row r="6" spans="1:28" s="1" customFormat="1" ht="20.25" customHeight="1">
      <c r="A6" s="164">
        <v>21103</v>
      </c>
      <c r="B6" s="159" t="s">
        <v>68</v>
      </c>
      <c r="C6" s="160"/>
      <c r="D6" s="160"/>
      <c r="E6" s="160"/>
      <c r="F6" s="160"/>
      <c r="G6" s="160"/>
      <c r="H6" s="160">
        <v>0</v>
      </c>
      <c r="I6" s="160">
        <v>273000000</v>
      </c>
      <c r="J6" s="160">
        <v>273000000</v>
      </c>
      <c r="K6" s="160">
        <v>273000000</v>
      </c>
      <c r="L6" s="160">
        <v>273000000</v>
      </c>
      <c r="M6" s="161">
        <f>L6-K6</f>
        <v>0</v>
      </c>
      <c r="N6" s="12"/>
      <c r="O6" s="12"/>
      <c r="P6" s="12"/>
      <c r="AB6" s="156"/>
    </row>
    <row r="7" spans="1:28" s="4" customFormat="1" ht="20.25" customHeight="1">
      <c r="A7" s="540"/>
      <c r="B7" s="162" t="s">
        <v>62</v>
      </c>
      <c r="C7" s="163"/>
      <c r="D7" s="163"/>
      <c r="E7" s="163"/>
      <c r="F7" s="160"/>
      <c r="G7" s="160"/>
      <c r="H7" s="160">
        <f>SUM(H4:H6)</f>
        <v>2600419200</v>
      </c>
      <c r="I7" s="160">
        <f>SUM(I4:I6)</f>
        <v>819000000</v>
      </c>
      <c r="J7" s="160">
        <f>SUM(J4:J6)</f>
        <v>819000000</v>
      </c>
      <c r="K7" s="160">
        <f>SUM(K4:K6)</f>
        <v>819000000</v>
      </c>
      <c r="L7" s="160">
        <f>SUM(L4:L6)</f>
        <v>819000000</v>
      </c>
      <c r="M7" s="161">
        <f>L7-K7</f>
        <v>0</v>
      </c>
      <c r="N7" s="19"/>
      <c r="O7" s="19"/>
      <c r="P7" s="19"/>
    </row>
    <row r="8" spans="1:28" s="2" customFormat="1" ht="20.25" customHeight="1">
      <c r="A8" s="548" t="s">
        <v>22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20">
        <v>10800000</v>
      </c>
      <c r="O8" s="20"/>
      <c r="P8" s="20"/>
    </row>
    <row r="9" spans="1:28" s="2" customFormat="1" ht="20.25" customHeight="1">
      <c r="A9" s="548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20"/>
      <c r="O9" s="20"/>
      <c r="P9" s="20"/>
    </row>
    <row r="10" spans="1:28" s="2" customFormat="1" ht="20.25" customHeight="1">
      <c r="A10" s="548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20"/>
      <c r="O10" s="20"/>
      <c r="P10" s="20"/>
    </row>
    <row r="11" spans="1:28" s="7" customFormat="1" ht="20.25" customHeight="1">
      <c r="A11" s="548"/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14" t="s">
        <v>4</v>
      </c>
      <c r="O11" s="14" t="s">
        <v>4</v>
      </c>
      <c r="P11" s="14" t="s">
        <v>4</v>
      </c>
    </row>
    <row r="12" spans="1:28" s="2" customFormat="1" ht="20.25" customHeight="1">
      <c r="A12" s="548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20"/>
      <c r="O12" s="20"/>
      <c r="P12" s="20"/>
    </row>
    <row r="13" spans="1:28" s="4" customFormat="1" ht="20.25" customHeight="1">
      <c r="A13" s="548"/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19">
        <v>74752350</v>
      </c>
      <c r="O13" s="19"/>
      <c r="P13" s="19"/>
    </row>
    <row r="14" spans="1:28" s="2" customFormat="1" ht="20.25" customHeight="1">
      <c r="A14" s="548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20"/>
      <c r="O14" s="20"/>
      <c r="P14" s="20"/>
    </row>
    <row r="15" spans="1:28" s="2" customFormat="1" ht="20.25" customHeight="1">
      <c r="A15" s="79" t="s">
        <v>596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28" s="2" customFormat="1" ht="20.25" customHeight="1">
      <c r="A16" s="17" t="s">
        <v>21</v>
      </c>
      <c r="B16" s="175" t="s">
        <v>820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9" s="2" customFormat="1" ht="20.25" customHeight="1">
      <c r="A17" s="13" t="s">
        <v>0</v>
      </c>
      <c r="B17" s="13" t="s">
        <v>1</v>
      </c>
      <c r="C17" s="13" t="s">
        <v>28</v>
      </c>
      <c r="D17" s="13" t="s">
        <v>36</v>
      </c>
      <c r="E17" s="13" t="s">
        <v>41</v>
      </c>
      <c r="F17" s="13" t="s">
        <v>66</v>
      </c>
      <c r="G17" s="13" t="s">
        <v>69</v>
      </c>
      <c r="H17" s="13" t="s">
        <v>96</v>
      </c>
      <c r="I17" s="13" t="s">
        <v>167</v>
      </c>
      <c r="J17" s="13" t="s">
        <v>529</v>
      </c>
      <c r="K17" s="13" t="s">
        <v>604</v>
      </c>
      <c r="L17" s="13" t="s">
        <v>722</v>
      </c>
      <c r="M17" s="21" t="s">
        <v>39</v>
      </c>
      <c r="S17" s="165"/>
    </row>
    <row r="18" spans="1:19" s="2" customFormat="1" ht="20.25" customHeight="1">
      <c r="A18" s="541">
        <v>2000</v>
      </c>
      <c r="B18" s="17" t="s">
        <v>23</v>
      </c>
      <c r="C18" s="17">
        <v>1189000000</v>
      </c>
      <c r="D18" s="17">
        <f>951200000+200000000</f>
        <v>1151200000</v>
      </c>
      <c r="E18" s="17">
        <v>1151200000</v>
      </c>
      <c r="F18" s="17">
        <v>1151200000</v>
      </c>
      <c r="G18" s="17">
        <v>1151200000</v>
      </c>
      <c r="H18" s="16">
        <v>0</v>
      </c>
      <c r="I18" s="17">
        <v>0</v>
      </c>
      <c r="J18" s="17">
        <v>0</v>
      </c>
      <c r="K18" s="17"/>
      <c r="L18" s="17"/>
      <c r="M18" s="17">
        <f>L18-K18</f>
        <v>0</v>
      </c>
    </row>
    <row r="19" spans="1:19" s="2" customFormat="1" ht="20.25" customHeight="1">
      <c r="A19" s="542">
        <v>21101</v>
      </c>
      <c r="B19" s="15" t="s">
        <v>221</v>
      </c>
      <c r="C19" s="16"/>
      <c r="D19" s="16"/>
      <c r="E19" s="16"/>
      <c r="F19" s="16"/>
      <c r="G19" s="16"/>
      <c r="H19" s="16">
        <v>1151200000</v>
      </c>
      <c r="I19" s="16">
        <v>390000000</v>
      </c>
      <c r="J19" s="16">
        <v>390000000</v>
      </c>
      <c r="K19" s="16">
        <v>390000000</v>
      </c>
      <c r="L19" s="16">
        <v>390000000</v>
      </c>
      <c r="M19" s="17">
        <f>L19-K19</f>
        <v>0</v>
      </c>
    </row>
    <row r="20" spans="1:19" s="2" customFormat="1" ht="20.25" customHeight="1">
      <c r="A20" s="543">
        <v>21103</v>
      </c>
      <c r="B20" s="15" t="s">
        <v>68</v>
      </c>
      <c r="C20" s="16"/>
      <c r="D20" s="16"/>
      <c r="E20" s="16"/>
      <c r="F20" s="16"/>
      <c r="G20" s="16"/>
      <c r="H20" s="16">
        <v>0</v>
      </c>
      <c r="I20" s="16">
        <v>195000000</v>
      </c>
      <c r="J20" s="16">
        <v>195000000</v>
      </c>
      <c r="K20" s="16">
        <v>195000000</v>
      </c>
      <c r="L20" s="16">
        <v>195000000</v>
      </c>
      <c r="M20" s="17">
        <f>L20-K20</f>
        <v>0</v>
      </c>
    </row>
    <row r="21" spans="1:19" s="10" customFormat="1" ht="20.25" customHeight="1">
      <c r="A21" s="544"/>
      <c r="B21" s="18" t="s">
        <v>5</v>
      </c>
      <c r="C21" s="18">
        <f>SUM(C18)</f>
        <v>1189000000</v>
      </c>
      <c r="D21" s="17">
        <f>SUM(D18)</f>
        <v>1151200000</v>
      </c>
      <c r="E21" s="17">
        <v>1151200000</v>
      </c>
      <c r="F21" s="17">
        <v>1151200000</v>
      </c>
      <c r="G21" s="17">
        <v>1151200000</v>
      </c>
      <c r="H21" s="17">
        <f>SUM(H18:H20)</f>
        <v>1151200000</v>
      </c>
      <c r="I21" s="17">
        <f>SUM(I18:I20)</f>
        <v>585000000</v>
      </c>
      <c r="J21" s="17">
        <f>SUM(J18:J20)</f>
        <v>585000000</v>
      </c>
      <c r="K21" s="17">
        <f>SUM(K18:K20)</f>
        <v>585000000</v>
      </c>
      <c r="L21" s="17">
        <f>SUM(L18:L20)</f>
        <v>585000000</v>
      </c>
      <c r="M21" s="17">
        <f>L21-K21</f>
        <v>0</v>
      </c>
    </row>
    <row r="22" spans="1:19" s="2" customFormat="1" ht="12">
      <c r="A22" s="9"/>
      <c r="B22" s="9"/>
      <c r="C22" s="9"/>
      <c r="D22" s="9"/>
      <c r="E22" s="9"/>
      <c r="F22" s="11"/>
      <c r="G22" s="11"/>
      <c r="H22" s="11"/>
      <c r="I22" s="11"/>
      <c r="J22" s="11"/>
      <c r="K22" s="11"/>
      <c r="L22" s="11"/>
      <c r="M22" s="9"/>
    </row>
    <row r="23" spans="1:19" s="2" customFormat="1" ht="12">
      <c r="D23" s="2">
        <f>D22/C18</f>
        <v>0</v>
      </c>
    </row>
    <row r="24" spans="1:19" s="2" customFormat="1" ht="12"/>
    <row r="25" spans="1:19" s="2" customFormat="1" ht="12"/>
    <row r="26" spans="1:19" s="2" customFormat="1" ht="12"/>
    <row r="27" spans="1:19" s="2" customFormat="1" ht="12">
      <c r="N27" s="2">
        <f>SUM(N22:N26)</f>
        <v>0</v>
      </c>
    </row>
    <row r="28" spans="1:19" s="2" customFormat="1" ht="12"/>
    <row r="29" spans="1:19" s="2" customFormat="1" ht="12"/>
    <row r="30" spans="1:19" s="2" customFormat="1" ht="12"/>
    <row r="31" spans="1:19" s="2" customFormat="1" ht="12"/>
    <row r="32" spans="1:19">
      <c r="N32" s="5">
        <f>SUM(N29:N31)</f>
        <v>0</v>
      </c>
    </row>
    <row r="50" spans="14:14">
      <c r="N50">
        <v>0</v>
      </c>
    </row>
    <row r="52" spans="14:14">
      <c r="N52">
        <f>SUM(N34:N51)</f>
        <v>0</v>
      </c>
    </row>
    <row r="54" spans="14:14">
      <c r="N54">
        <f>1386274192-71600000-798000-176160000-12600000</f>
        <v>1125116192</v>
      </c>
    </row>
  </sheetData>
  <mergeCells count="3">
    <mergeCell ref="A8:M14"/>
    <mergeCell ref="A1:M1"/>
    <mergeCell ref="N1:P1"/>
  </mergeCells>
  <phoneticPr fontId="0" type="noConversion"/>
  <printOptions gridLines="1"/>
  <pageMargins left="0.66" right="0.25" top="2.59" bottom="0.21" header="1.98" footer="0.35"/>
  <pageSetup scale="75" orientation="portrait" r:id="rId1"/>
  <headerFooter alignWithMargins="0">
    <oddFooter>&amp;R1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workbookViewId="0">
      <selection activeCell="B57" sqref="B57"/>
    </sheetView>
  </sheetViews>
  <sheetFormatPr defaultRowHeight="24.95" customHeight="1"/>
  <cols>
    <col min="1" max="1" width="17.1640625" style="181" bestFit="1" customWidth="1"/>
    <col min="2" max="2" width="81.1640625" style="181" customWidth="1"/>
    <col min="3" max="3" width="32.6640625" style="181" hidden="1" customWidth="1"/>
    <col min="4" max="4" width="27.6640625" style="181" hidden="1" customWidth="1"/>
    <col min="5" max="5" width="27.6640625" style="181" bestFit="1" customWidth="1"/>
    <col min="6" max="6" width="27.6640625" style="181" customWidth="1"/>
    <col min="7" max="7" width="27.6640625" style="181" bestFit="1" customWidth="1"/>
    <col min="8" max="16384" width="9.33203125" style="181"/>
  </cols>
  <sheetData>
    <row r="1" spans="1:7" ht="24.95" customHeight="1">
      <c r="A1" s="251" t="s">
        <v>21</v>
      </c>
      <c r="B1" s="354" t="s">
        <v>810</v>
      </c>
      <c r="C1" s="251"/>
      <c r="D1" s="118"/>
      <c r="E1" s="118"/>
      <c r="F1" s="118"/>
      <c r="G1" s="118"/>
    </row>
    <row r="2" spans="1:7" ht="24.95" customHeight="1">
      <c r="A2" s="249">
        <v>210</v>
      </c>
      <c r="B2" s="106" t="s">
        <v>95</v>
      </c>
      <c r="C2" s="256" t="s">
        <v>166</v>
      </c>
      <c r="D2" s="256" t="s">
        <v>538</v>
      </c>
      <c r="E2" s="256" t="s">
        <v>607</v>
      </c>
      <c r="F2" s="256" t="s">
        <v>722</v>
      </c>
      <c r="G2" s="256" t="s">
        <v>34</v>
      </c>
    </row>
    <row r="3" spans="1:7" ht="24.95" customHeight="1">
      <c r="A3" s="249">
        <v>2110</v>
      </c>
      <c r="B3" s="106" t="s">
        <v>155</v>
      </c>
      <c r="C3" s="66"/>
      <c r="D3" s="66"/>
      <c r="E3" s="66"/>
      <c r="F3" s="66"/>
      <c r="G3" s="66"/>
    </row>
    <row r="4" spans="1:7" ht="24.95" customHeight="1">
      <c r="A4" s="169">
        <v>21101</v>
      </c>
      <c r="B4" s="66" t="s">
        <v>9</v>
      </c>
      <c r="C4" s="66">
        <v>1333394400</v>
      </c>
      <c r="D4" s="66">
        <v>1506304800</v>
      </c>
      <c r="E4" s="66">
        <v>2176649280</v>
      </c>
      <c r="F4" s="66">
        <v>2230712640</v>
      </c>
      <c r="G4" s="66">
        <f>F4-E4</f>
        <v>54063360</v>
      </c>
    </row>
    <row r="5" spans="1:7" ht="24.95" customHeight="1">
      <c r="A5" s="169">
        <v>21102</v>
      </c>
      <c r="B5" s="66" t="s">
        <v>418</v>
      </c>
      <c r="C5" s="66">
        <v>0</v>
      </c>
      <c r="D5" s="66">
        <v>97200000</v>
      </c>
      <c r="E5" s="66">
        <v>97200000</v>
      </c>
      <c r="F5" s="66">
        <v>672840000</v>
      </c>
      <c r="G5" s="66">
        <f t="shared" ref="G5:G48" si="0">F5-E5</f>
        <v>575640000</v>
      </c>
    </row>
    <row r="6" spans="1:7" ht="24.95" customHeight="1">
      <c r="A6" s="169">
        <v>21103</v>
      </c>
      <c r="B6" s="66" t="s">
        <v>11</v>
      </c>
      <c r="C6" s="66">
        <v>61200000</v>
      </c>
      <c r="D6" s="66">
        <v>151200000</v>
      </c>
      <c r="E6" s="66">
        <v>234000000</v>
      </c>
      <c r="F6" s="66">
        <v>234000000</v>
      </c>
      <c r="G6" s="66">
        <f t="shared" si="0"/>
        <v>0</v>
      </c>
    </row>
    <row r="7" spans="1:7" ht="24.95" customHeight="1">
      <c r="A7" s="169"/>
      <c r="B7" s="106" t="s">
        <v>59</v>
      </c>
      <c r="C7" s="106">
        <f>SUM(C4:C6)</f>
        <v>1394594400</v>
      </c>
      <c r="D7" s="106">
        <f>SUM(D4:D6)</f>
        <v>1754704800</v>
      </c>
      <c r="E7" s="106">
        <f>SUM(E4:E6)</f>
        <v>2507849280</v>
      </c>
      <c r="F7" s="106">
        <f>SUM(F4:F6)</f>
        <v>3137552640</v>
      </c>
      <c r="G7" s="106">
        <f t="shared" si="0"/>
        <v>629703360</v>
      </c>
    </row>
    <row r="8" spans="1:7" ht="24.95" customHeight="1">
      <c r="A8" s="249">
        <v>220</v>
      </c>
      <c r="B8" s="106" t="s">
        <v>159</v>
      </c>
      <c r="C8" s="66"/>
      <c r="D8" s="66"/>
      <c r="E8" s="66"/>
      <c r="F8" s="66"/>
      <c r="G8" s="66">
        <f t="shared" si="0"/>
        <v>0</v>
      </c>
    </row>
    <row r="9" spans="1:7" ht="24.95" customHeight="1">
      <c r="A9" s="249">
        <v>2210</v>
      </c>
      <c r="B9" s="106" t="s">
        <v>160</v>
      </c>
      <c r="C9" s="66"/>
      <c r="D9" s="66"/>
      <c r="E9" s="66"/>
      <c r="F9" s="66"/>
      <c r="G9" s="66">
        <f t="shared" si="0"/>
        <v>0</v>
      </c>
    </row>
    <row r="10" spans="1:7" ht="24.95" customHeight="1">
      <c r="A10" s="169">
        <v>22101</v>
      </c>
      <c r="B10" s="66" t="s">
        <v>14</v>
      </c>
      <c r="C10" s="66">
        <v>14180992</v>
      </c>
      <c r="D10" s="66">
        <v>50000000</v>
      </c>
      <c r="E10" s="66">
        <v>70000000</v>
      </c>
      <c r="F10" s="66">
        <v>70000000</v>
      </c>
      <c r="G10" s="66">
        <f t="shared" si="0"/>
        <v>0</v>
      </c>
    </row>
    <row r="11" spans="1:7" ht="24.95" customHeight="1">
      <c r="A11" s="169">
        <v>22102</v>
      </c>
      <c r="B11" s="66" t="s">
        <v>82</v>
      </c>
      <c r="C11" s="66" t="s">
        <v>4</v>
      </c>
      <c r="D11" s="66">
        <v>0</v>
      </c>
      <c r="E11" s="66">
        <v>0</v>
      </c>
      <c r="F11" s="66">
        <v>0</v>
      </c>
      <c r="G11" s="66">
        <f t="shared" si="0"/>
        <v>0</v>
      </c>
    </row>
    <row r="12" spans="1:7" ht="24.95" customHeight="1">
      <c r="A12" s="169">
        <v>22103</v>
      </c>
      <c r="B12" s="66" t="s">
        <v>83</v>
      </c>
      <c r="C12" s="66">
        <v>0</v>
      </c>
      <c r="D12" s="66">
        <v>0</v>
      </c>
      <c r="E12" s="66">
        <v>0</v>
      </c>
      <c r="F12" s="66">
        <v>0</v>
      </c>
      <c r="G12" s="66">
        <f t="shared" si="0"/>
        <v>0</v>
      </c>
    </row>
    <row r="13" spans="1:7" ht="24.95" customHeight="1">
      <c r="A13" s="169">
        <v>22104</v>
      </c>
      <c r="B13" s="66" t="s">
        <v>116</v>
      </c>
      <c r="C13" s="66">
        <v>54068000</v>
      </c>
      <c r="D13" s="66">
        <f>C13</f>
        <v>54068000</v>
      </c>
      <c r="E13" s="66">
        <f>D13</f>
        <v>54068000</v>
      </c>
      <c r="F13" s="66">
        <f>E13</f>
        <v>54068000</v>
      </c>
      <c r="G13" s="66">
        <f t="shared" si="0"/>
        <v>0</v>
      </c>
    </row>
    <row r="14" spans="1:7" ht="24.95" customHeight="1">
      <c r="A14" s="169">
        <v>22105</v>
      </c>
      <c r="B14" s="66" t="s">
        <v>93</v>
      </c>
      <c r="C14" s="66">
        <v>18946032</v>
      </c>
      <c r="D14" s="66">
        <v>86400000</v>
      </c>
      <c r="E14" s="66">
        <v>66400000</v>
      </c>
      <c r="F14" s="66">
        <v>66400000</v>
      </c>
      <c r="G14" s="66">
        <f t="shared" si="0"/>
        <v>0</v>
      </c>
    </row>
    <row r="15" spans="1:7" ht="24.95" customHeight="1">
      <c r="A15" s="169">
        <v>22106</v>
      </c>
      <c r="B15" s="66" t="s">
        <v>84</v>
      </c>
      <c r="C15" s="66">
        <v>6459947</v>
      </c>
      <c r="D15" s="66">
        <v>0</v>
      </c>
      <c r="E15" s="66">
        <v>0</v>
      </c>
      <c r="F15" s="66">
        <v>0</v>
      </c>
      <c r="G15" s="66">
        <f t="shared" si="0"/>
        <v>0</v>
      </c>
    </row>
    <row r="16" spans="1:7" ht="24.95" customHeight="1">
      <c r="A16" s="169">
        <v>22107</v>
      </c>
      <c r="B16" s="66" t="s">
        <v>30</v>
      </c>
      <c r="C16" s="66">
        <v>22713600</v>
      </c>
      <c r="D16" s="66">
        <v>20899520</v>
      </c>
      <c r="E16" s="66">
        <v>20899520</v>
      </c>
      <c r="F16" s="66">
        <v>20899520</v>
      </c>
      <c r="G16" s="66">
        <f t="shared" si="0"/>
        <v>0</v>
      </c>
    </row>
    <row r="17" spans="1:7" ht="24.95" customHeight="1">
      <c r="A17" s="169">
        <v>22108</v>
      </c>
      <c r="B17" s="66" t="s">
        <v>60</v>
      </c>
      <c r="C17" s="66">
        <v>0</v>
      </c>
      <c r="D17" s="66">
        <v>0</v>
      </c>
      <c r="E17" s="66">
        <v>0</v>
      </c>
      <c r="F17" s="66">
        <v>0</v>
      </c>
      <c r="G17" s="66">
        <f t="shared" si="0"/>
        <v>0</v>
      </c>
    </row>
    <row r="18" spans="1:7" ht="24.95" customHeight="1">
      <c r="A18" s="169">
        <v>22109</v>
      </c>
      <c r="B18" s="66" t="s">
        <v>94</v>
      </c>
      <c r="C18" s="66">
        <v>5509700</v>
      </c>
      <c r="D18" s="66">
        <f>C18</f>
        <v>5509700</v>
      </c>
      <c r="E18" s="66">
        <f>D18</f>
        <v>5509700</v>
      </c>
      <c r="F18" s="66">
        <f>E18</f>
        <v>5509700</v>
      </c>
      <c r="G18" s="66">
        <f t="shared" si="0"/>
        <v>0</v>
      </c>
    </row>
    <row r="19" spans="1:7" ht="24.95" customHeight="1">
      <c r="A19" s="169">
        <v>22112</v>
      </c>
      <c r="B19" s="66" t="s">
        <v>16</v>
      </c>
      <c r="C19" s="66">
        <v>18098080</v>
      </c>
      <c r="D19" s="66">
        <f>C19</f>
        <v>18098080</v>
      </c>
      <c r="E19" s="66">
        <v>28098080</v>
      </c>
      <c r="F19" s="66">
        <v>53098080</v>
      </c>
      <c r="G19" s="66">
        <f t="shared" si="0"/>
        <v>25000000</v>
      </c>
    </row>
    <row r="20" spans="1:7" ht="24.95" customHeight="1">
      <c r="A20" s="169">
        <v>22120</v>
      </c>
      <c r="B20" s="66" t="s">
        <v>184</v>
      </c>
      <c r="C20" s="66">
        <v>131600000</v>
      </c>
      <c r="D20" s="66">
        <f>188000000*70%</f>
        <v>131599999.99999999</v>
      </c>
      <c r="E20" s="66">
        <f>188000000*70%</f>
        <v>131599999.99999999</v>
      </c>
      <c r="F20" s="66">
        <v>106600000</v>
      </c>
      <c r="G20" s="66">
        <f t="shared" si="0"/>
        <v>-24999999.999999985</v>
      </c>
    </row>
    <row r="21" spans="1:7" ht="24.95" customHeight="1">
      <c r="A21" s="169">
        <v>22132</v>
      </c>
      <c r="B21" s="66" t="s">
        <v>144</v>
      </c>
      <c r="C21" s="66">
        <v>109408096</v>
      </c>
      <c r="D21" s="66">
        <v>0</v>
      </c>
      <c r="E21" s="66">
        <v>0</v>
      </c>
      <c r="F21" s="66">
        <v>0</v>
      </c>
      <c r="G21" s="66">
        <f t="shared" si="0"/>
        <v>0</v>
      </c>
    </row>
    <row r="22" spans="1:7" ht="24.95" customHeight="1">
      <c r="A22" s="169">
        <v>22134</v>
      </c>
      <c r="B22" s="66" t="s">
        <v>100</v>
      </c>
      <c r="C22" s="66">
        <v>0</v>
      </c>
      <c r="D22" s="66">
        <v>0</v>
      </c>
      <c r="E22" s="66">
        <v>0</v>
      </c>
      <c r="F22" s="66">
        <v>0</v>
      </c>
      <c r="G22" s="66">
        <f t="shared" si="0"/>
        <v>0</v>
      </c>
    </row>
    <row r="23" spans="1:7" ht="24.95" customHeight="1">
      <c r="A23" s="169">
        <v>22151</v>
      </c>
      <c r="B23" s="66" t="s">
        <v>375</v>
      </c>
      <c r="C23" s="66">
        <v>0</v>
      </c>
      <c r="D23" s="66">
        <v>150000000</v>
      </c>
      <c r="E23" s="66">
        <v>150000000</v>
      </c>
      <c r="F23" s="66">
        <v>150000000</v>
      </c>
      <c r="G23" s="66">
        <f t="shared" si="0"/>
        <v>0</v>
      </c>
    </row>
    <row r="24" spans="1:7" ht="24.95" customHeight="1">
      <c r="A24" s="169">
        <v>22164</v>
      </c>
      <c r="B24" s="66" t="s">
        <v>587</v>
      </c>
      <c r="C24" s="66"/>
      <c r="D24" s="66">
        <v>100000000</v>
      </c>
      <c r="E24" s="66">
        <v>230000000</v>
      </c>
      <c r="F24" s="66">
        <v>230000000</v>
      </c>
      <c r="G24" s="66">
        <f t="shared" si="0"/>
        <v>0</v>
      </c>
    </row>
    <row r="25" spans="1:7" ht="24.95" customHeight="1">
      <c r="A25" s="169"/>
      <c r="B25" s="106" t="s">
        <v>59</v>
      </c>
      <c r="C25" s="106">
        <f>SUM(C10:C23)</f>
        <v>380984447</v>
      </c>
      <c r="D25" s="106">
        <f>SUM(D10:D24)</f>
        <v>616575300</v>
      </c>
      <c r="E25" s="106">
        <f>SUM(E10:E24)</f>
        <v>756575300</v>
      </c>
      <c r="F25" s="106">
        <f>SUM(F10:F24)</f>
        <v>756575300</v>
      </c>
      <c r="G25" s="106">
        <f t="shared" si="0"/>
        <v>0</v>
      </c>
    </row>
    <row r="26" spans="1:7" ht="24.95" customHeight="1">
      <c r="A26" s="249">
        <v>2220</v>
      </c>
      <c r="B26" s="106" t="s">
        <v>161</v>
      </c>
      <c r="C26" s="66"/>
      <c r="D26" s="66"/>
      <c r="E26" s="66"/>
      <c r="F26" s="66"/>
      <c r="G26" s="66">
        <f t="shared" si="0"/>
        <v>0</v>
      </c>
    </row>
    <row r="27" spans="1:7" ht="24.95" customHeight="1">
      <c r="A27" s="169">
        <v>22201</v>
      </c>
      <c r="B27" s="66" t="s">
        <v>90</v>
      </c>
      <c r="C27" s="66">
        <v>0</v>
      </c>
      <c r="D27" s="66">
        <v>0</v>
      </c>
      <c r="E27" s="66">
        <v>0</v>
      </c>
      <c r="F27" s="66">
        <v>0</v>
      </c>
      <c r="G27" s="66">
        <f t="shared" si="0"/>
        <v>0</v>
      </c>
    </row>
    <row r="28" spans="1:7" ht="24.95" customHeight="1">
      <c r="A28" s="169">
        <v>22202</v>
      </c>
      <c r="B28" s="66" t="s">
        <v>91</v>
      </c>
      <c r="C28" s="66">
        <v>217000000</v>
      </c>
      <c r="D28" s="66">
        <v>248000000</v>
      </c>
      <c r="E28" s="66">
        <v>280000000</v>
      </c>
      <c r="F28" s="66">
        <v>330000000</v>
      </c>
      <c r="G28" s="66">
        <f t="shared" si="0"/>
        <v>50000000</v>
      </c>
    </row>
    <row r="29" spans="1:7" ht="24.95" customHeight="1">
      <c r="A29" s="169">
        <v>22203</v>
      </c>
      <c r="B29" s="66" t="s">
        <v>85</v>
      </c>
      <c r="C29" s="100">
        <v>22339840</v>
      </c>
      <c r="D29" s="100">
        <v>30000000</v>
      </c>
      <c r="E29" s="100">
        <v>30000000</v>
      </c>
      <c r="F29" s="100">
        <v>30000000</v>
      </c>
      <c r="G29" s="66">
        <f t="shared" si="0"/>
        <v>0</v>
      </c>
    </row>
    <row r="30" spans="1:7" ht="24.95" customHeight="1">
      <c r="A30" s="169">
        <v>22204</v>
      </c>
      <c r="B30" s="66" t="s">
        <v>86</v>
      </c>
      <c r="C30" s="100">
        <v>5213600</v>
      </c>
      <c r="D30" s="100">
        <f>C30</f>
        <v>5213600</v>
      </c>
      <c r="E30" s="100">
        <f>D30</f>
        <v>5213600</v>
      </c>
      <c r="F30" s="100">
        <f>E30</f>
        <v>5213600</v>
      </c>
      <c r="G30" s="66">
        <f t="shared" si="0"/>
        <v>0</v>
      </c>
    </row>
    <row r="31" spans="1:7" ht="24.95" customHeight="1">
      <c r="A31" s="169">
        <v>22216</v>
      </c>
      <c r="B31" s="66" t="s">
        <v>313</v>
      </c>
      <c r="C31" s="100" t="s">
        <v>4</v>
      </c>
      <c r="D31" s="100">
        <v>0</v>
      </c>
      <c r="E31" s="100">
        <v>0</v>
      </c>
      <c r="F31" s="100">
        <v>0</v>
      </c>
      <c r="G31" s="66">
        <f t="shared" si="0"/>
        <v>0</v>
      </c>
    </row>
    <row r="32" spans="1:7" ht="24.95" customHeight="1">
      <c r="A32" s="169"/>
      <c r="B32" s="106" t="s">
        <v>59</v>
      </c>
      <c r="C32" s="106">
        <f>SUM(C27:C31)</f>
        <v>244553440</v>
      </c>
      <c r="D32" s="106">
        <f>SUM(D27:D31)</f>
        <v>283213600</v>
      </c>
      <c r="E32" s="106">
        <f>SUM(E27:E31)</f>
        <v>315213600</v>
      </c>
      <c r="F32" s="106">
        <f>SUM(F27:F31)</f>
        <v>365213600</v>
      </c>
      <c r="G32" s="106">
        <f t="shared" si="0"/>
        <v>50000000</v>
      </c>
    </row>
    <row r="33" spans="1:7" ht="24.95" customHeight="1">
      <c r="A33" s="249">
        <v>2230</v>
      </c>
      <c r="B33" s="106" t="s">
        <v>88</v>
      </c>
      <c r="C33" s="66"/>
      <c r="D33" s="66"/>
      <c r="E33" s="66"/>
      <c r="F33" s="66"/>
      <c r="G33" s="66">
        <f t="shared" si="0"/>
        <v>0</v>
      </c>
    </row>
    <row r="34" spans="1:7" ht="24.95" customHeight="1">
      <c r="A34" s="169">
        <v>22301</v>
      </c>
      <c r="B34" s="66" t="s">
        <v>31</v>
      </c>
      <c r="C34" s="107">
        <v>55708800</v>
      </c>
      <c r="D34" s="107">
        <f t="shared" ref="D34:F36" si="1">C34</f>
        <v>55708800</v>
      </c>
      <c r="E34" s="107">
        <v>60708800</v>
      </c>
      <c r="F34" s="107">
        <v>60708800</v>
      </c>
      <c r="G34" s="66">
        <f t="shared" si="0"/>
        <v>0</v>
      </c>
    </row>
    <row r="35" spans="1:7" ht="24.95" customHeight="1">
      <c r="A35" s="169">
        <v>22302</v>
      </c>
      <c r="B35" s="66" t="s">
        <v>162</v>
      </c>
      <c r="C35" s="107">
        <v>2083440</v>
      </c>
      <c r="D35" s="107">
        <f t="shared" si="1"/>
        <v>2083440</v>
      </c>
      <c r="E35" s="107">
        <f t="shared" si="1"/>
        <v>2083440</v>
      </c>
      <c r="F35" s="107">
        <f t="shared" si="1"/>
        <v>2083440</v>
      </c>
      <c r="G35" s="66">
        <f t="shared" si="0"/>
        <v>0</v>
      </c>
    </row>
    <row r="36" spans="1:7" ht="24.95" customHeight="1">
      <c r="A36" s="169">
        <v>22314</v>
      </c>
      <c r="B36" s="66" t="s">
        <v>163</v>
      </c>
      <c r="C36" s="107">
        <v>2085440</v>
      </c>
      <c r="D36" s="107">
        <f t="shared" si="1"/>
        <v>2085440</v>
      </c>
      <c r="E36" s="107">
        <f t="shared" si="1"/>
        <v>2085440</v>
      </c>
      <c r="F36" s="107">
        <f t="shared" si="1"/>
        <v>2085440</v>
      </c>
      <c r="G36" s="66">
        <f t="shared" si="0"/>
        <v>0</v>
      </c>
    </row>
    <row r="37" spans="1:7" ht="24.95" customHeight="1">
      <c r="A37" s="169"/>
      <c r="B37" s="106" t="s">
        <v>59</v>
      </c>
      <c r="C37" s="110">
        <f>SUM(C34:C36)</f>
        <v>59877680</v>
      </c>
      <c r="D37" s="110">
        <f>SUM(D34:D36)</f>
        <v>59877680</v>
      </c>
      <c r="E37" s="110">
        <f>SUM(E34:E36)</f>
        <v>64877680</v>
      </c>
      <c r="F37" s="110">
        <f>SUM(F34:F36)</f>
        <v>64877680</v>
      </c>
      <c r="G37" s="106">
        <f t="shared" si="0"/>
        <v>0</v>
      </c>
    </row>
    <row r="38" spans="1:7" ht="24.95" customHeight="1">
      <c r="A38" s="249">
        <v>230</v>
      </c>
      <c r="B38" s="106" t="s">
        <v>165</v>
      </c>
      <c r="C38" s="107"/>
      <c r="D38" s="107"/>
      <c r="E38" s="107"/>
      <c r="F38" s="107"/>
      <c r="G38" s="66">
        <f t="shared" si="0"/>
        <v>0</v>
      </c>
    </row>
    <row r="39" spans="1:7" ht="24.95" customHeight="1">
      <c r="A39" s="249">
        <v>2310</v>
      </c>
      <c r="B39" s="106" t="s">
        <v>164</v>
      </c>
      <c r="C39" s="107"/>
      <c r="D39" s="107"/>
      <c r="E39" s="107"/>
      <c r="F39" s="107"/>
      <c r="G39" s="66">
        <f t="shared" si="0"/>
        <v>0</v>
      </c>
    </row>
    <row r="40" spans="1:7" ht="24.95" customHeight="1">
      <c r="A40" s="169">
        <v>23101</v>
      </c>
      <c r="B40" s="66" t="s">
        <v>172</v>
      </c>
      <c r="C40" s="107">
        <v>11827200</v>
      </c>
      <c r="D40" s="107">
        <v>0</v>
      </c>
      <c r="E40" s="107">
        <v>0</v>
      </c>
      <c r="F40" s="107">
        <v>0</v>
      </c>
      <c r="G40" s="66">
        <f t="shared" si="0"/>
        <v>0</v>
      </c>
    </row>
    <row r="41" spans="1:7" ht="24.95" customHeight="1">
      <c r="A41" s="169">
        <v>23102</v>
      </c>
      <c r="B41" s="66" t="s">
        <v>642</v>
      </c>
      <c r="C41" s="107">
        <v>72000000</v>
      </c>
      <c r="D41" s="107">
        <v>96000000</v>
      </c>
      <c r="E41" s="107">
        <v>102000000</v>
      </c>
      <c r="F41" s="107">
        <v>0</v>
      </c>
      <c r="G41" s="66">
        <f>F41-E41</f>
        <v>-102000000</v>
      </c>
    </row>
    <row r="42" spans="1:7" ht="24.95" customHeight="1">
      <c r="A42" s="169">
        <v>23103</v>
      </c>
      <c r="B42" s="66" t="s">
        <v>106</v>
      </c>
      <c r="C42" s="107">
        <v>1564080</v>
      </c>
      <c r="D42" s="107">
        <v>0</v>
      </c>
      <c r="E42" s="107">
        <v>0</v>
      </c>
      <c r="F42" s="107">
        <v>0</v>
      </c>
      <c r="G42" s="66">
        <f t="shared" si="0"/>
        <v>0</v>
      </c>
    </row>
    <row r="43" spans="1:7" ht="24.95" customHeight="1">
      <c r="A43" s="169">
        <v>23104</v>
      </c>
      <c r="B43" s="66" t="s">
        <v>107</v>
      </c>
      <c r="C43" s="107">
        <f>4468800*70%</f>
        <v>3128160</v>
      </c>
      <c r="D43" s="107">
        <v>0</v>
      </c>
      <c r="E43" s="107">
        <v>0</v>
      </c>
      <c r="F43" s="107">
        <v>0</v>
      </c>
      <c r="G43" s="66">
        <f t="shared" si="0"/>
        <v>0</v>
      </c>
    </row>
    <row r="44" spans="1:7" ht="24.95" customHeight="1">
      <c r="A44" s="169"/>
      <c r="B44" s="106" t="s">
        <v>59</v>
      </c>
      <c r="C44" s="110">
        <f>SUM(C40:C43)</f>
        <v>88519440</v>
      </c>
      <c r="D44" s="110">
        <f>SUM(D40:D43)</f>
        <v>96000000</v>
      </c>
      <c r="E44" s="110">
        <f>SUM(E40:E43)</f>
        <v>102000000</v>
      </c>
      <c r="F44" s="110">
        <f>SUM(F40:F43)</f>
        <v>0</v>
      </c>
      <c r="G44" s="106">
        <f t="shared" si="0"/>
        <v>-102000000</v>
      </c>
    </row>
    <row r="45" spans="1:7" ht="24.95" customHeight="1">
      <c r="A45" s="249">
        <v>2320</v>
      </c>
      <c r="B45" s="106" t="s">
        <v>342</v>
      </c>
      <c r="C45" s="110"/>
      <c r="D45" s="110"/>
      <c r="E45" s="110"/>
      <c r="F45" s="110"/>
      <c r="G45" s="66">
        <f t="shared" si="0"/>
        <v>0</v>
      </c>
    </row>
    <row r="46" spans="1:7" ht="24.95" customHeight="1">
      <c r="A46" s="169">
        <v>23201</v>
      </c>
      <c r="B46" s="66" t="s">
        <v>374</v>
      </c>
      <c r="C46" s="110">
        <v>0</v>
      </c>
      <c r="D46" s="107">
        <v>0</v>
      </c>
      <c r="E46" s="107">
        <v>1468000000</v>
      </c>
      <c r="F46" s="107">
        <v>910000000</v>
      </c>
      <c r="G46" s="66">
        <f t="shared" si="0"/>
        <v>-558000000</v>
      </c>
    </row>
    <row r="47" spans="1:7" ht="24.95" customHeight="1">
      <c r="A47" s="169"/>
      <c r="B47" s="66" t="s">
        <v>59</v>
      </c>
      <c r="C47" s="110">
        <v>0</v>
      </c>
      <c r="D47" s="110">
        <f>SUM(D46:D46)</f>
        <v>0</v>
      </c>
      <c r="E47" s="110">
        <f>SUM(E46:E46)</f>
        <v>1468000000</v>
      </c>
      <c r="F47" s="110">
        <f>SUM(F46:F46)</f>
        <v>910000000</v>
      </c>
      <c r="G47" s="66">
        <f t="shared" si="0"/>
        <v>-558000000</v>
      </c>
    </row>
    <row r="48" spans="1:7" ht="24.95" customHeight="1">
      <c r="A48" s="169"/>
      <c r="B48" s="106" t="s">
        <v>18</v>
      </c>
      <c r="C48" s="110">
        <f>C44+C37+C32+C25+C7</f>
        <v>2168529407</v>
      </c>
      <c r="D48" s="110">
        <f>D47+D37+D32+D25+D7+D44</f>
        <v>2810371380</v>
      </c>
      <c r="E48" s="110">
        <f>E47+E37+E32+E25+E7+E44</f>
        <v>5214515860</v>
      </c>
      <c r="F48" s="110">
        <f>F47+F37+F32+F25+F7+F44</f>
        <v>5234219220</v>
      </c>
      <c r="G48" s="106">
        <f t="shared" si="0"/>
        <v>19703360</v>
      </c>
    </row>
    <row r="52" spans="2:7" ht="24.95" customHeight="1">
      <c r="B52" s="504"/>
      <c r="C52" s="505"/>
      <c r="D52" s="506"/>
      <c r="E52" s="506"/>
      <c r="F52" s="506"/>
      <c r="G52" s="506"/>
    </row>
    <row r="53" spans="2:7" ht="24.95" customHeight="1">
      <c r="C53" s="505"/>
      <c r="D53" s="369"/>
      <c r="E53" s="369"/>
      <c r="F53" s="369"/>
      <c r="G53" s="369"/>
    </row>
    <row r="54" spans="2:7" ht="24.95" customHeight="1">
      <c r="C54" s="505"/>
      <c r="D54" s="507"/>
      <c r="E54" s="507"/>
      <c r="F54" s="507"/>
      <c r="G54" s="507"/>
    </row>
    <row r="55" spans="2:7" ht="24.95" customHeight="1">
      <c r="D55" s="508" t="s">
        <v>4</v>
      </c>
      <c r="E55" s="508"/>
      <c r="F55" s="508"/>
      <c r="G55" s="508"/>
    </row>
    <row r="57" spans="2:7" ht="24.95" customHeight="1">
      <c r="D57" s="371"/>
      <c r="E57" s="371"/>
      <c r="F57" s="371"/>
      <c r="G57" s="371"/>
    </row>
  </sheetData>
  <pageMargins left="0.7" right="0.7" top="0.75" bottom="0.75" header="0.3" footer="0.3"/>
  <pageSetup scale="55" orientation="portrait" r:id="rId1"/>
  <headerFooter>
    <oddHeader>&amp;C&amp;"Algerian,Bold"&amp;26WASAARADdA DEEGAANKA IYO HORUMARINTA REER MIYIGA</oddHeader>
    <oddFooter>&amp;R&amp;"Times New Roman,Bold"&amp;12 55</oddFooter>
  </headerFooter>
  <rowBreaks count="1" manualBreakCount="1">
    <brk id="48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topLeftCell="B1" zoomScale="60" workbookViewId="0">
      <selection activeCell="E33" sqref="E33"/>
    </sheetView>
  </sheetViews>
  <sheetFormatPr defaultRowHeight="12.75"/>
  <cols>
    <col min="1" max="1" width="19" style="487" bestFit="1" customWidth="1"/>
    <col min="2" max="2" width="83" style="181" customWidth="1"/>
    <col min="3" max="3" width="15.33203125" style="181" hidden="1" customWidth="1"/>
    <col min="4" max="4" width="27.6640625" style="181" hidden="1" customWidth="1"/>
    <col min="5" max="5" width="27.6640625" style="181" bestFit="1" customWidth="1"/>
    <col min="6" max="6" width="27.6640625" style="181" customWidth="1"/>
    <col min="7" max="7" width="28.83203125" style="181" bestFit="1" customWidth="1"/>
    <col min="8" max="16384" width="9.33203125" style="181"/>
  </cols>
  <sheetData>
    <row r="1" spans="1:7" ht="29.1" customHeight="1">
      <c r="A1" s="509" t="s">
        <v>20</v>
      </c>
      <c r="B1" s="250" t="s">
        <v>811</v>
      </c>
      <c r="C1" s="250"/>
      <c r="D1" s="106"/>
      <c r="E1" s="106"/>
      <c r="F1" s="106"/>
      <c r="G1" s="106"/>
    </row>
    <row r="2" spans="1:7" ht="29.1" customHeight="1">
      <c r="A2" s="249">
        <v>210</v>
      </c>
      <c r="B2" s="106" t="s">
        <v>95</v>
      </c>
      <c r="C2" s="106" t="s">
        <v>383</v>
      </c>
      <c r="D2" s="106" t="s">
        <v>530</v>
      </c>
      <c r="E2" s="106" t="s">
        <v>605</v>
      </c>
      <c r="F2" s="106" t="s">
        <v>722</v>
      </c>
      <c r="G2" s="106" t="s">
        <v>34</v>
      </c>
    </row>
    <row r="3" spans="1:7" ht="29.1" customHeight="1">
      <c r="A3" s="249">
        <v>2110</v>
      </c>
      <c r="B3" s="106" t="s">
        <v>155</v>
      </c>
      <c r="C3" s="106"/>
      <c r="D3" s="66"/>
      <c r="E3" s="66"/>
      <c r="F3" s="66"/>
      <c r="G3" s="66"/>
    </row>
    <row r="4" spans="1:7" ht="29.1" customHeight="1">
      <c r="A4" s="169">
        <v>21102</v>
      </c>
      <c r="B4" s="66" t="s">
        <v>266</v>
      </c>
      <c r="C4" s="66">
        <v>0</v>
      </c>
      <c r="D4" s="66">
        <v>381600000</v>
      </c>
      <c r="E4" s="66">
        <v>381600000</v>
      </c>
      <c r="F4" s="66">
        <v>381600000</v>
      </c>
      <c r="G4" s="66">
        <f>F4-E4</f>
        <v>0</v>
      </c>
    </row>
    <row r="5" spans="1:7" ht="29.1" customHeight="1">
      <c r="A5" s="169">
        <v>21102</v>
      </c>
      <c r="B5" s="66" t="s">
        <v>384</v>
      </c>
      <c r="C5" s="66">
        <v>0</v>
      </c>
      <c r="D5" s="66">
        <v>819000000</v>
      </c>
      <c r="E5" s="66">
        <v>1008000000</v>
      </c>
      <c r="F5" s="66">
        <v>1008000000</v>
      </c>
      <c r="G5" s="66">
        <f t="shared" ref="G5:G46" si="0">F5-E5</f>
        <v>0</v>
      </c>
    </row>
    <row r="6" spans="1:7" ht="29.1" customHeight="1">
      <c r="A6" s="169">
        <v>21103</v>
      </c>
      <c r="B6" s="66" t="s">
        <v>246</v>
      </c>
      <c r="C6" s="66">
        <v>0</v>
      </c>
      <c r="D6" s="66">
        <v>126000000</v>
      </c>
      <c r="E6" s="66">
        <v>126000000</v>
      </c>
      <c r="F6" s="66">
        <v>126000000</v>
      </c>
      <c r="G6" s="66">
        <f t="shared" si="0"/>
        <v>0</v>
      </c>
    </row>
    <row r="7" spans="1:7" ht="29.1" customHeight="1">
      <c r="A7" s="169"/>
      <c r="B7" s="106" t="s">
        <v>59</v>
      </c>
      <c r="C7" s="66">
        <v>0</v>
      </c>
      <c r="D7" s="106">
        <f>SUM(D4:D6)</f>
        <v>1326600000</v>
      </c>
      <c r="E7" s="106">
        <f>SUM(E4:E6)</f>
        <v>1515600000</v>
      </c>
      <c r="F7" s="106">
        <f>SUM(F4:F6)</f>
        <v>1515600000</v>
      </c>
      <c r="G7" s="106">
        <f t="shared" si="0"/>
        <v>0</v>
      </c>
    </row>
    <row r="8" spans="1:7" ht="29.1" customHeight="1">
      <c r="A8" s="249">
        <v>220</v>
      </c>
      <c r="B8" s="106" t="s">
        <v>159</v>
      </c>
      <c r="C8" s="66">
        <v>0</v>
      </c>
      <c r="D8" s="66"/>
      <c r="E8" s="66"/>
      <c r="F8" s="66"/>
      <c r="G8" s="66">
        <f t="shared" si="0"/>
        <v>0</v>
      </c>
    </row>
    <row r="9" spans="1:7" ht="29.1" customHeight="1">
      <c r="A9" s="249">
        <v>2210</v>
      </c>
      <c r="B9" s="106" t="s">
        <v>160</v>
      </c>
      <c r="C9" s="66">
        <v>0</v>
      </c>
      <c r="D9" s="66"/>
      <c r="E9" s="66"/>
      <c r="F9" s="66"/>
      <c r="G9" s="66">
        <f t="shared" si="0"/>
        <v>0</v>
      </c>
    </row>
    <row r="10" spans="1:7" ht="29.1" customHeight="1">
      <c r="A10" s="169">
        <v>22101</v>
      </c>
      <c r="B10" s="66" t="s">
        <v>14</v>
      </c>
      <c r="C10" s="66">
        <v>0</v>
      </c>
      <c r="D10" s="66">
        <v>100000000</v>
      </c>
      <c r="E10" s="66">
        <v>100000000</v>
      </c>
      <c r="F10" s="66">
        <v>50000000</v>
      </c>
      <c r="G10" s="66">
        <f t="shared" si="0"/>
        <v>-50000000</v>
      </c>
    </row>
    <row r="11" spans="1:7" ht="29.1" customHeight="1">
      <c r="A11" s="169">
        <v>22102</v>
      </c>
      <c r="B11" s="66" t="s">
        <v>385</v>
      </c>
      <c r="C11" s="66">
        <v>0</v>
      </c>
      <c r="D11" s="66">
        <v>0</v>
      </c>
      <c r="E11" s="66">
        <v>0</v>
      </c>
      <c r="F11" s="66">
        <v>0</v>
      </c>
      <c r="G11" s="66">
        <f t="shared" si="0"/>
        <v>0</v>
      </c>
    </row>
    <row r="12" spans="1:7" ht="29.1" customHeight="1">
      <c r="A12" s="169">
        <v>22103</v>
      </c>
      <c r="B12" s="66" t="s">
        <v>83</v>
      </c>
      <c r="C12" s="66">
        <v>0</v>
      </c>
      <c r="D12" s="66">
        <v>0</v>
      </c>
      <c r="E12" s="66">
        <v>0</v>
      </c>
      <c r="F12" s="66">
        <v>0</v>
      </c>
      <c r="G12" s="66">
        <f t="shared" si="0"/>
        <v>0</v>
      </c>
    </row>
    <row r="13" spans="1:7" ht="29.1" customHeight="1">
      <c r="A13" s="169">
        <v>22104</v>
      </c>
      <c r="B13" s="66" t="s">
        <v>116</v>
      </c>
      <c r="C13" s="66">
        <v>0</v>
      </c>
      <c r="D13" s="66">
        <v>58384000</v>
      </c>
      <c r="E13" s="66">
        <f>D13</f>
        <v>58384000</v>
      </c>
      <c r="F13" s="66">
        <f>E13</f>
        <v>58384000</v>
      </c>
      <c r="G13" s="66">
        <f t="shared" si="0"/>
        <v>0</v>
      </c>
    </row>
    <row r="14" spans="1:7" ht="29.1" customHeight="1">
      <c r="A14" s="169">
        <v>22105</v>
      </c>
      <c r="B14" s="66" t="s">
        <v>386</v>
      </c>
      <c r="C14" s="66">
        <v>0</v>
      </c>
      <c r="D14" s="66">
        <v>72000000</v>
      </c>
      <c r="E14" s="66">
        <v>108000000</v>
      </c>
      <c r="F14" s="66">
        <v>168000000</v>
      </c>
      <c r="G14" s="66">
        <f t="shared" si="0"/>
        <v>60000000</v>
      </c>
    </row>
    <row r="15" spans="1:7" ht="29.1" customHeight="1">
      <c r="A15" s="169">
        <v>22106</v>
      </c>
      <c r="B15" s="66" t="s">
        <v>84</v>
      </c>
      <c r="C15" s="66">
        <v>0</v>
      </c>
      <c r="D15" s="66">
        <v>0</v>
      </c>
      <c r="E15" s="66">
        <v>20000000</v>
      </c>
      <c r="F15" s="66">
        <v>20000000</v>
      </c>
      <c r="G15" s="66">
        <f t="shared" si="0"/>
        <v>0</v>
      </c>
    </row>
    <row r="16" spans="1:7" ht="29.1" customHeight="1">
      <c r="A16" s="169">
        <v>22107</v>
      </c>
      <c r="B16" s="66" t="s">
        <v>30</v>
      </c>
      <c r="C16" s="66">
        <v>0</v>
      </c>
      <c r="D16" s="66">
        <v>0</v>
      </c>
      <c r="E16" s="66">
        <v>0</v>
      </c>
      <c r="F16" s="66">
        <v>0</v>
      </c>
      <c r="G16" s="66">
        <f t="shared" si="0"/>
        <v>0</v>
      </c>
    </row>
    <row r="17" spans="1:13" ht="29.1" customHeight="1">
      <c r="A17" s="169">
        <v>22108</v>
      </c>
      <c r="B17" s="66" t="s">
        <v>387</v>
      </c>
      <c r="C17" s="66">
        <v>0</v>
      </c>
      <c r="D17" s="66">
        <v>59000000</v>
      </c>
      <c r="E17" s="66">
        <f t="shared" ref="E17:F19" si="1">D17</f>
        <v>59000000</v>
      </c>
      <c r="F17" s="66">
        <f t="shared" si="1"/>
        <v>59000000</v>
      </c>
      <c r="G17" s="66">
        <f t="shared" si="0"/>
        <v>0</v>
      </c>
    </row>
    <row r="18" spans="1:13" ht="29.1" customHeight="1">
      <c r="A18" s="169">
        <v>22109</v>
      </c>
      <c r="B18" s="66" t="s">
        <v>94</v>
      </c>
      <c r="C18" s="66">
        <v>0</v>
      </c>
      <c r="D18" s="66">
        <v>30000000</v>
      </c>
      <c r="E18" s="66">
        <f t="shared" si="1"/>
        <v>30000000</v>
      </c>
      <c r="F18" s="66">
        <f t="shared" si="1"/>
        <v>30000000</v>
      </c>
      <c r="G18" s="66">
        <f t="shared" si="0"/>
        <v>0</v>
      </c>
    </row>
    <row r="19" spans="1:13" ht="29.1" customHeight="1">
      <c r="A19" s="169">
        <v>22112</v>
      </c>
      <c r="B19" s="66" t="s">
        <v>16</v>
      </c>
      <c r="C19" s="66">
        <v>0</v>
      </c>
      <c r="D19" s="66">
        <v>62200000</v>
      </c>
      <c r="E19" s="66">
        <f t="shared" si="1"/>
        <v>62200000</v>
      </c>
      <c r="F19" s="66">
        <f t="shared" si="1"/>
        <v>62200000</v>
      </c>
      <c r="G19" s="66">
        <f t="shared" si="0"/>
        <v>0</v>
      </c>
    </row>
    <row r="20" spans="1:13" ht="29.1" customHeight="1">
      <c r="A20" s="169">
        <v>22129</v>
      </c>
      <c r="B20" s="66" t="s">
        <v>388</v>
      </c>
      <c r="C20" s="66">
        <v>0</v>
      </c>
      <c r="D20" s="66">
        <v>0</v>
      </c>
      <c r="E20" s="66">
        <v>0</v>
      </c>
      <c r="F20" s="66">
        <v>0</v>
      </c>
      <c r="G20" s="66">
        <f t="shared" si="0"/>
        <v>0</v>
      </c>
    </row>
    <row r="21" spans="1:13" ht="29.1" customHeight="1">
      <c r="A21" s="169">
        <v>22140</v>
      </c>
      <c r="B21" s="66" t="s">
        <v>438</v>
      </c>
      <c r="C21" s="66">
        <v>0</v>
      </c>
      <c r="D21" s="66">
        <v>0</v>
      </c>
      <c r="E21" s="66">
        <v>0</v>
      </c>
      <c r="F21" s="66">
        <v>0</v>
      </c>
      <c r="G21" s="66">
        <f t="shared" si="0"/>
        <v>0</v>
      </c>
    </row>
    <row r="22" spans="1:13" ht="29.1" customHeight="1">
      <c r="A22" s="169">
        <v>22141</v>
      </c>
      <c r="B22" s="66" t="s">
        <v>643</v>
      </c>
      <c r="C22" s="66"/>
      <c r="D22" s="66">
        <v>350000000</v>
      </c>
      <c r="E22" s="66">
        <v>12000000</v>
      </c>
      <c r="F22" s="66">
        <v>0</v>
      </c>
      <c r="G22" s="66">
        <f t="shared" si="0"/>
        <v>-12000000</v>
      </c>
    </row>
    <row r="23" spans="1:13" ht="29.1" customHeight="1">
      <c r="A23" s="169"/>
      <c r="B23" s="106" t="s">
        <v>59</v>
      </c>
      <c r="C23" s="66">
        <v>0</v>
      </c>
      <c r="D23" s="106">
        <f>SUM(D10:D22)</f>
        <v>731584000</v>
      </c>
      <c r="E23" s="106">
        <f>SUM(E10:E22)</f>
        <v>449584000</v>
      </c>
      <c r="F23" s="106">
        <f>SUM(F10:F22)</f>
        <v>447584000</v>
      </c>
      <c r="G23" s="106">
        <f t="shared" si="0"/>
        <v>-2000000</v>
      </c>
    </row>
    <row r="24" spans="1:13" ht="29.1" customHeight="1">
      <c r="A24" s="249">
        <v>2220</v>
      </c>
      <c r="B24" s="106" t="s">
        <v>161</v>
      </c>
      <c r="C24" s="66">
        <v>0</v>
      </c>
      <c r="D24" s="66"/>
      <c r="E24" s="66"/>
      <c r="F24" s="66"/>
      <c r="G24" s="66">
        <f t="shared" si="0"/>
        <v>0</v>
      </c>
      <c r="M24" s="510"/>
    </row>
    <row r="25" spans="1:13" ht="29.1" customHeight="1">
      <c r="A25" s="169">
        <v>22201</v>
      </c>
      <c r="B25" s="66" t="s">
        <v>90</v>
      </c>
      <c r="C25" s="66">
        <v>0</v>
      </c>
      <c r="D25" s="66">
        <v>0</v>
      </c>
      <c r="E25" s="66">
        <v>0</v>
      </c>
      <c r="F25" s="66">
        <v>0</v>
      </c>
      <c r="G25" s="66">
        <f t="shared" si="0"/>
        <v>0</v>
      </c>
    </row>
    <row r="26" spans="1:13" ht="29.1" customHeight="1">
      <c r="A26" s="169">
        <v>22202</v>
      </c>
      <c r="B26" s="66" t="s">
        <v>91</v>
      </c>
      <c r="C26" s="66">
        <v>0</v>
      </c>
      <c r="D26" s="66">
        <v>176000000</v>
      </c>
      <c r="E26" s="66">
        <v>186000000</v>
      </c>
      <c r="F26" s="66">
        <v>186000000</v>
      </c>
      <c r="G26" s="66">
        <f t="shared" si="0"/>
        <v>0</v>
      </c>
    </row>
    <row r="27" spans="1:13" ht="29.1" customHeight="1">
      <c r="A27" s="169" t="s">
        <v>727</v>
      </c>
      <c r="B27" s="66" t="s">
        <v>451</v>
      </c>
      <c r="C27" s="66"/>
      <c r="D27" s="66">
        <v>0</v>
      </c>
      <c r="E27" s="66">
        <v>0</v>
      </c>
      <c r="F27" s="66">
        <v>0</v>
      </c>
      <c r="G27" s="66">
        <f t="shared" si="0"/>
        <v>0</v>
      </c>
    </row>
    <row r="28" spans="1:13" ht="29.1" customHeight="1">
      <c r="A28" s="169">
        <v>22203</v>
      </c>
      <c r="B28" s="66" t="s">
        <v>85</v>
      </c>
      <c r="C28" s="66">
        <v>0</v>
      </c>
      <c r="D28" s="66">
        <v>44000000</v>
      </c>
      <c r="E28" s="66">
        <v>59000000</v>
      </c>
      <c r="F28" s="66">
        <v>59000000</v>
      </c>
      <c r="G28" s="66">
        <f t="shared" si="0"/>
        <v>0</v>
      </c>
    </row>
    <row r="29" spans="1:13" ht="29.1" customHeight="1">
      <c r="A29" s="169">
        <v>22204</v>
      </c>
      <c r="B29" s="66" t="s">
        <v>86</v>
      </c>
      <c r="C29" s="66">
        <v>0</v>
      </c>
      <c r="D29" s="66">
        <v>0</v>
      </c>
      <c r="E29" s="66">
        <v>0</v>
      </c>
      <c r="F29" s="66">
        <v>0</v>
      </c>
      <c r="G29" s="66">
        <f t="shared" si="0"/>
        <v>0</v>
      </c>
    </row>
    <row r="30" spans="1:13" ht="29.1" customHeight="1">
      <c r="A30" s="169">
        <v>22208</v>
      </c>
      <c r="B30" s="66" t="s">
        <v>389</v>
      </c>
      <c r="C30" s="66">
        <v>0</v>
      </c>
      <c r="D30" s="66">
        <v>0</v>
      </c>
      <c r="E30" s="66">
        <v>0</v>
      </c>
      <c r="F30" s="66">
        <v>0</v>
      </c>
      <c r="G30" s="66">
        <f t="shared" si="0"/>
        <v>0</v>
      </c>
    </row>
    <row r="31" spans="1:13" ht="29.1" customHeight="1">
      <c r="A31" s="169">
        <v>22210</v>
      </c>
      <c r="B31" s="66" t="s">
        <v>390</v>
      </c>
      <c r="C31" s="66">
        <v>0</v>
      </c>
      <c r="D31" s="66">
        <v>0</v>
      </c>
      <c r="E31" s="66">
        <v>0</v>
      </c>
      <c r="F31" s="66">
        <v>0</v>
      </c>
      <c r="G31" s="66">
        <f t="shared" si="0"/>
        <v>0</v>
      </c>
    </row>
    <row r="32" spans="1:13" ht="29.1" customHeight="1">
      <c r="A32" s="169">
        <v>22216</v>
      </c>
      <c r="B32" s="66" t="s">
        <v>177</v>
      </c>
      <c r="C32" s="66">
        <v>0</v>
      </c>
      <c r="D32" s="66">
        <v>0</v>
      </c>
      <c r="E32" s="66">
        <v>0</v>
      </c>
      <c r="F32" s="66">
        <v>0</v>
      </c>
      <c r="G32" s="66">
        <f t="shared" si="0"/>
        <v>0</v>
      </c>
    </row>
    <row r="33" spans="1:7" ht="29.1" customHeight="1">
      <c r="A33" s="169"/>
      <c r="B33" s="106" t="s">
        <v>59</v>
      </c>
      <c r="C33" s="66">
        <v>0</v>
      </c>
      <c r="D33" s="106">
        <f>SUM(D25:D32)</f>
        <v>220000000</v>
      </c>
      <c r="E33" s="106">
        <f>SUM(E25:E32)</f>
        <v>245000000</v>
      </c>
      <c r="F33" s="106">
        <f>SUM(F25:F32)</f>
        <v>245000000</v>
      </c>
      <c r="G33" s="106">
        <f t="shared" si="0"/>
        <v>0</v>
      </c>
    </row>
    <row r="34" spans="1:7" ht="29.1" customHeight="1">
      <c r="A34" s="249">
        <v>2230</v>
      </c>
      <c r="B34" s="106" t="s">
        <v>88</v>
      </c>
      <c r="C34" s="66">
        <v>0</v>
      </c>
      <c r="D34" s="66"/>
      <c r="E34" s="66"/>
      <c r="F34" s="66"/>
      <c r="G34" s="66">
        <f t="shared" si="0"/>
        <v>0</v>
      </c>
    </row>
    <row r="35" spans="1:7" ht="29.1" customHeight="1">
      <c r="A35" s="169">
        <v>22301</v>
      </c>
      <c r="B35" s="66" t="s">
        <v>31</v>
      </c>
      <c r="C35" s="66">
        <v>0</v>
      </c>
      <c r="D35" s="66">
        <v>20000000</v>
      </c>
      <c r="E35" s="66">
        <v>20000000</v>
      </c>
      <c r="F35" s="66">
        <v>50000000</v>
      </c>
      <c r="G35" s="66">
        <f t="shared" si="0"/>
        <v>30000000</v>
      </c>
    </row>
    <row r="36" spans="1:7" ht="29.1" customHeight="1">
      <c r="A36" s="169">
        <v>22302</v>
      </c>
      <c r="B36" s="66" t="s">
        <v>162</v>
      </c>
      <c r="C36" s="66">
        <v>0</v>
      </c>
      <c r="D36" s="66">
        <v>0</v>
      </c>
      <c r="E36" s="66">
        <v>0</v>
      </c>
      <c r="F36" s="66">
        <v>0</v>
      </c>
      <c r="G36" s="66">
        <f t="shared" si="0"/>
        <v>0</v>
      </c>
    </row>
    <row r="37" spans="1:7" ht="29.1" customHeight="1">
      <c r="A37" s="169">
        <v>22309</v>
      </c>
      <c r="B37" s="66" t="s">
        <v>391</v>
      </c>
      <c r="C37" s="66">
        <v>0</v>
      </c>
      <c r="D37" s="66">
        <v>0</v>
      </c>
      <c r="E37" s="66">
        <v>0</v>
      </c>
      <c r="F37" s="66">
        <v>0</v>
      </c>
      <c r="G37" s="66">
        <f t="shared" si="0"/>
        <v>0</v>
      </c>
    </row>
    <row r="38" spans="1:7" ht="29.1" customHeight="1">
      <c r="A38" s="169"/>
      <c r="B38" s="106" t="s">
        <v>59</v>
      </c>
      <c r="C38" s="66">
        <v>0</v>
      </c>
      <c r="D38" s="106">
        <f>SUM(D35:D37)</f>
        <v>20000000</v>
      </c>
      <c r="E38" s="106">
        <f>SUM(E35:E37)</f>
        <v>20000000</v>
      </c>
      <c r="F38" s="106">
        <f>SUM(F35:F37)</f>
        <v>50000000</v>
      </c>
      <c r="G38" s="106">
        <f t="shared" si="0"/>
        <v>30000000</v>
      </c>
    </row>
    <row r="39" spans="1:7" ht="29.1" customHeight="1">
      <c r="A39" s="249">
        <v>230</v>
      </c>
      <c r="B39" s="106" t="s">
        <v>165</v>
      </c>
      <c r="C39" s="66">
        <v>0</v>
      </c>
      <c r="D39" s="66"/>
      <c r="E39" s="66"/>
      <c r="F39" s="66"/>
      <c r="G39" s="66">
        <f t="shared" si="0"/>
        <v>0</v>
      </c>
    </row>
    <row r="40" spans="1:7" ht="29.1" customHeight="1">
      <c r="A40" s="249">
        <v>2310</v>
      </c>
      <c r="B40" s="106" t="s">
        <v>164</v>
      </c>
      <c r="C40" s="66">
        <v>0</v>
      </c>
      <c r="D40" s="66"/>
      <c r="E40" s="66"/>
      <c r="F40" s="66"/>
      <c r="G40" s="66">
        <f t="shared" si="0"/>
        <v>0</v>
      </c>
    </row>
    <row r="41" spans="1:7" ht="29.1" customHeight="1">
      <c r="A41" s="169">
        <v>23101</v>
      </c>
      <c r="B41" s="66" t="s">
        <v>172</v>
      </c>
      <c r="C41" s="66">
        <v>0</v>
      </c>
      <c r="D41" s="66"/>
      <c r="E41" s="66"/>
      <c r="F41" s="66"/>
      <c r="G41" s="66">
        <f t="shared" si="0"/>
        <v>0</v>
      </c>
    </row>
    <row r="42" spans="1:7" ht="29.1" customHeight="1">
      <c r="A42" s="169">
        <v>23102</v>
      </c>
      <c r="B42" s="66" t="s">
        <v>173</v>
      </c>
      <c r="C42" s="66">
        <v>0</v>
      </c>
      <c r="D42" s="66">
        <v>0</v>
      </c>
      <c r="E42" s="66">
        <v>0</v>
      </c>
      <c r="F42" s="66">
        <v>0</v>
      </c>
      <c r="G42" s="66">
        <f t="shared" si="0"/>
        <v>0</v>
      </c>
    </row>
    <row r="43" spans="1:7" ht="29.1" customHeight="1">
      <c r="A43" s="169">
        <v>23103</v>
      </c>
      <c r="B43" s="66" t="s">
        <v>106</v>
      </c>
      <c r="C43" s="66">
        <v>0</v>
      </c>
      <c r="D43" s="66">
        <v>4000000</v>
      </c>
      <c r="E43" s="66">
        <f>D43</f>
        <v>4000000</v>
      </c>
      <c r="F43" s="66">
        <f>E43</f>
        <v>4000000</v>
      </c>
      <c r="G43" s="66">
        <f t="shared" si="0"/>
        <v>0</v>
      </c>
    </row>
    <row r="44" spans="1:7" ht="29.1" customHeight="1">
      <c r="A44" s="169">
        <v>23104</v>
      </c>
      <c r="B44" s="66" t="s">
        <v>392</v>
      </c>
      <c r="C44" s="66">
        <v>0</v>
      </c>
      <c r="D44" s="66">
        <v>7941000</v>
      </c>
      <c r="E44" s="66">
        <f>D44</f>
        <v>7941000</v>
      </c>
      <c r="F44" s="66">
        <f>E44</f>
        <v>7941000</v>
      </c>
      <c r="G44" s="66">
        <f t="shared" si="0"/>
        <v>0</v>
      </c>
    </row>
    <row r="45" spans="1:7" ht="29.1" customHeight="1">
      <c r="A45" s="169"/>
      <c r="B45" s="106" t="s">
        <v>59</v>
      </c>
      <c r="C45" s="66">
        <v>0</v>
      </c>
      <c r="D45" s="106">
        <f>SUM(D41:D44)</f>
        <v>11941000</v>
      </c>
      <c r="E45" s="106">
        <f>SUM(E41:E44)</f>
        <v>11941000</v>
      </c>
      <c r="F45" s="106">
        <f>SUM(F41:F44)</f>
        <v>11941000</v>
      </c>
      <c r="G45" s="106">
        <f t="shared" si="0"/>
        <v>0</v>
      </c>
    </row>
    <row r="46" spans="1:7" ht="29.1" customHeight="1">
      <c r="A46" s="169"/>
      <c r="B46" s="106" t="s">
        <v>18</v>
      </c>
      <c r="C46" s="66">
        <v>0</v>
      </c>
      <c r="D46" s="106">
        <f>D45+D38+D33+D23+D7</f>
        <v>2310125000</v>
      </c>
      <c r="E46" s="106">
        <f>E45+E38+E33+E23+E7</f>
        <v>2242125000</v>
      </c>
      <c r="F46" s="106">
        <f>F45+F38+F33+F23+F7</f>
        <v>2270125000</v>
      </c>
      <c r="G46" s="106">
        <f t="shared" si="0"/>
        <v>28000000</v>
      </c>
    </row>
  </sheetData>
  <pageMargins left="0.7" right="0.7" top="0.75" bottom="0.75" header="0.3" footer="0.3"/>
  <pageSetup scale="50" orientation="portrait" r:id="rId1"/>
  <headerFooter>
    <oddHeader xml:space="preserve">&amp;C&amp;"Algerian,Regular"&amp;36 XAFIISKA GUDIdA FURASHADA URURADA </oddHeader>
    <oddFooter>&amp;R&amp;"Times New Roman,Bold"&amp;12 56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topLeftCell="B1" zoomScale="60" workbookViewId="0">
      <selection activeCell="R46" sqref="R46"/>
    </sheetView>
  </sheetViews>
  <sheetFormatPr defaultRowHeight="24.95" customHeight="1"/>
  <cols>
    <col min="1" max="1" width="15.5" style="513" bestFit="1" customWidth="1"/>
    <col min="2" max="2" width="72.1640625" style="434" customWidth="1"/>
    <col min="3" max="4" width="18.83203125" style="434" hidden="1" customWidth="1"/>
    <col min="5" max="14" width="9.33203125" style="434" hidden="1" customWidth="1"/>
    <col min="15" max="15" width="27.6640625" style="434" hidden="1" customWidth="1"/>
    <col min="16" max="16" width="29.83203125" style="434" bestFit="1" customWidth="1"/>
    <col min="17" max="17" width="21.5" style="434" hidden="1" customWidth="1"/>
    <col min="18" max="18" width="27" style="434" customWidth="1"/>
    <col min="19" max="19" width="26.33203125" style="514" customWidth="1"/>
    <col min="20" max="16384" width="9.33203125" style="434"/>
  </cols>
  <sheetData>
    <row r="1" spans="1:19" ht="24.95" customHeight="1">
      <c r="A1" s="353" t="s">
        <v>21</v>
      </c>
      <c r="B1" s="354" t="s">
        <v>812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06"/>
      <c r="R1" s="106"/>
      <c r="S1" s="106"/>
    </row>
    <row r="2" spans="1:19" ht="24.95" customHeight="1">
      <c r="A2" s="440">
        <v>210</v>
      </c>
      <c r="B2" s="106" t="s">
        <v>95</v>
      </c>
      <c r="C2" s="251" t="s">
        <v>19</v>
      </c>
      <c r="D2" s="256" t="s">
        <v>2</v>
      </c>
      <c r="E2" s="256" t="s">
        <v>24</v>
      </c>
      <c r="F2" s="256" t="s">
        <v>28</v>
      </c>
      <c r="G2" s="256" t="s">
        <v>33</v>
      </c>
      <c r="H2" s="256" t="s">
        <v>40</v>
      </c>
      <c r="I2" s="256" t="s">
        <v>66</v>
      </c>
      <c r="J2" s="256" t="s">
        <v>69</v>
      </c>
      <c r="K2" s="256" t="s">
        <v>75</v>
      </c>
      <c r="L2" s="256" t="s">
        <v>110</v>
      </c>
      <c r="M2" s="256" t="s">
        <v>166</v>
      </c>
      <c r="N2" s="256" t="s">
        <v>318</v>
      </c>
      <c r="O2" s="256" t="s">
        <v>538</v>
      </c>
      <c r="P2" s="256" t="s">
        <v>607</v>
      </c>
      <c r="Q2" s="112" t="s">
        <v>34</v>
      </c>
      <c r="R2" s="112" t="s">
        <v>722</v>
      </c>
      <c r="S2" s="112" t="s">
        <v>34</v>
      </c>
    </row>
    <row r="3" spans="1:19" ht="24.95" customHeight="1">
      <c r="A3" s="440">
        <v>2110</v>
      </c>
      <c r="B3" s="106" t="s">
        <v>155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66"/>
      <c r="R3" s="118"/>
      <c r="S3" s="66"/>
    </row>
    <row r="4" spans="1:19" ht="24.95" customHeight="1">
      <c r="A4" s="262">
        <v>21101</v>
      </c>
      <c r="B4" s="66" t="s">
        <v>9</v>
      </c>
      <c r="C4" s="118"/>
      <c r="D4" s="118"/>
      <c r="E4" s="118"/>
      <c r="F4" s="118"/>
      <c r="G4" s="118"/>
      <c r="H4" s="118"/>
      <c r="I4" s="116">
        <v>321389200</v>
      </c>
      <c r="J4" s="400">
        <f>348925200+54000000+6000000</f>
        <v>408925200</v>
      </c>
      <c r="K4" s="400">
        <f>408925200+12000000+4149600+936000-936000+1887600</f>
        <v>426962400</v>
      </c>
      <c r="L4" s="400">
        <v>731890800</v>
      </c>
      <c r="M4" s="400" t="e">
        <f>#REF!+36000000+64740000</f>
        <v>#REF!</v>
      </c>
      <c r="N4" s="400">
        <v>1285471200</v>
      </c>
      <c r="O4" s="70">
        <v>265356000</v>
      </c>
      <c r="P4" s="70">
        <v>714055680</v>
      </c>
      <c r="Q4" s="511">
        <f>P4-N4</f>
        <v>-571415520</v>
      </c>
      <c r="R4" s="70">
        <v>875010240</v>
      </c>
      <c r="S4" s="70">
        <f>R4-P4</f>
        <v>160954560</v>
      </c>
    </row>
    <row r="5" spans="1:19" ht="24.95" customHeight="1">
      <c r="A5" s="262">
        <v>21102</v>
      </c>
      <c r="B5" s="66" t="s">
        <v>10</v>
      </c>
      <c r="C5" s="66">
        <v>7553000</v>
      </c>
      <c r="D5" s="66">
        <v>0</v>
      </c>
      <c r="E5" s="66">
        <v>0</v>
      </c>
      <c r="F5" s="66">
        <v>45000000</v>
      </c>
      <c r="G5" s="66">
        <f>F5</f>
        <v>45000000</v>
      </c>
      <c r="H5" s="66">
        <v>45000000</v>
      </c>
      <c r="I5" s="66">
        <v>0</v>
      </c>
      <c r="J5" s="70">
        <v>0</v>
      </c>
      <c r="K5" s="70">
        <v>0</v>
      </c>
      <c r="L5" s="70">
        <v>45000000</v>
      </c>
      <c r="M5" s="70">
        <f>L5*200%</f>
        <v>90000000</v>
      </c>
      <c r="N5" s="70">
        <v>187200000</v>
      </c>
      <c r="O5" s="70">
        <v>187200000</v>
      </c>
      <c r="P5" s="70">
        <v>284400000</v>
      </c>
      <c r="Q5" s="70">
        <f t="shared" ref="Q5:Q45" si="0">P5-N5</f>
        <v>97200000</v>
      </c>
      <c r="R5" s="70">
        <v>169200000</v>
      </c>
      <c r="S5" s="70">
        <f t="shared" ref="S5:S45" si="1">R5-P5</f>
        <v>-115200000</v>
      </c>
    </row>
    <row r="6" spans="1:19" ht="24.95" customHeight="1">
      <c r="A6" s="262">
        <v>21103</v>
      </c>
      <c r="B6" s="66" t="s">
        <v>11</v>
      </c>
      <c r="C6" s="66">
        <v>8400000</v>
      </c>
      <c r="D6" s="66">
        <v>10800000</v>
      </c>
      <c r="E6" s="66">
        <v>10800000</v>
      </c>
      <c r="F6" s="66">
        <v>21600000</v>
      </c>
      <c r="G6" s="66">
        <v>33288000</v>
      </c>
      <c r="H6" s="66">
        <v>33288000</v>
      </c>
      <c r="I6" s="66">
        <v>32400000</v>
      </c>
      <c r="J6" s="70">
        <f>30888000+32400000+1440000</f>
        <v>64728000</v>
      </c>
      <c r="K6" s="70">
        <f>64728000+1440000+7920000</f>
        <v>74088000</v>
      </c>
      <c r="L6" s="70">
        <v>166968000</v>
      </c>
      <c r="M6" s="70">
        <v>166968000</v>
      </c>
      <c r="N6" s="70">
        <v>231768000</v>
      </c>
      <c r="O6" s="70">
        <v>153314400</v>
      </c>
      <c r="P6" s="70">
        <v>306000000</v>
      </c>
      <c r="Q6" s="70">
        <f t="shared" si="0"/>
        <v>74232000</v>
      </c>
      <c r="R6" s="70">
        <v>234000000</v>
      </c>
      <c r="S6" s="70">
        <f t="shared" si="1"/>
        <v>-72000000</v>
      </c>
    </row>
    <row r="7" spans="1:19" ht="24.95" customHeight="1">
      <c r="A7" s="262">
        <v>21105</v>
      </c>
      <c r="B7" s="66" t="s">
        <v>398</v>
      </c>
      <c r="C7" s="66"/>
      <c r="D7" s="66"/>
      <c r="E7" s="66"/>
      <c r="F7" s="66"/>
      <c r="G7" s="66"/>
      <c r="H7" s="66"/>
      <c r="I7" s="66"/>
      <c r="J7" s="70"/>
      <c r="K7" s="70"/>
      <c r="L7" s="70"/>
      <c r="M7" s="70">
        <v>834000000</v>
      </c>
      <c r="N7" s="70">
        <f>M7</f>
        <v>834000000</v>
      </c>
      <c r="O7" s="70">
        <v>172800000</v>
      </c>
      <c r="P7" s="70">
        <v>410114400</v>
      </c>
      <c r="Q7" s="70">
        <f t="shared" si="0"/>
        <v>-423885600</v>
      </c>
      <c r="R7" s="70">
        <v>560400000</v>
      </c>
      <c r="S7" s="70">
        <f t="shared" si="1"/>
        <v>150285600</v>
      </c>
    </row>
    <row r="8" spans="1:19" ht="24.95" customHeight="1">
      <c r="A8" s="262"/>
      <c r="B8" s="106" t="s">
        <v>59</v>
      </c>
      <c r="C8" s="66">
        <v>32399990</v>
      </c>
      <c r="D8" s="66">
        <v>2895816</v>
      </c>
      <c r="E8" s="66">
        <v>2895816</v>
      </c>
      <c r="F8" s="66">
        <v>6655816</v>
      </c>
      <c r="G8" s="66">
        <v>59200000</v>
      </c>
      <c r="H8" s="66">
        <v>74000000</v>
      </c>
      <c r="I8" s="66">
        <v>55115200</v>
      </c>
      <c r="J8" s="70">
        <v>55000000</v>
      </c>
      <c r="K8" s="70">
        <v>39873274</v>
      </c>
      <c r="L8" s="111">
        <f>SUM(L4:L6)</f>
        <v>943858800</v>
      </c>
      <c r="M8" s="111" t="e">
        <f>SUM(M3:M7)</f>
        <v>#REF!</v>
      </c>
      <c r="N8" s="111">
        <f>SUM(N4:N7)</f>
        <v>2538439200</v>
      </c>
      <c r="O8" s="111">
        <f>SUM(O4:O7)</f>
        <v>778670400</v>
      </c>
      <c r="P8" s="111">
        <f>SUM(P4:P7)</f>
        <v>1714570080</v>
      </c>
      <c r="Q8" s="70">
        <f t="shared" si="0"/>
        <v>-823869120</v>
      </c>
      <c r="R8" s="111">
        <f>SUM(R4:R7)</f>
        <v>1838610240</v>
      </c>
      <c r="S8" s="111">
        <f t="shared" si="1"/>
        <v>124040160</v>
      </c>
    </row>
    <row r="9" spans="1:19" ht="24.95" customHeight="1">
      <c r="A9" s="440">
        <v>220</v>
      </c>
      <c r="B9" s="106" t="s">
        <v>159</v>
      </c>
      <c r="C9" s="66">
        <v>0</v>
      </c>
      <c r="D9" s="66">
        <v>0</v>
      </c>
      <c r="E9" s="66">
        <v>0</v>
      </c>
      <c r="F9" s="66">
        <v>0</v>
      </c>
      <c r="G9" s="66">
        <v>16000000</v>
      </c>
      <c r="H9" s="66">
        <v>20000000</v>
      </c>
      <c r="I9" s="66">
        <v>14896000</v>
      </c>
      <c r="J9" s="70">
        <v>25000000</v>
      </c>
      <c r="K9" s="70">
        <v>7448000</v>
      </c>
      <c r="L9" s="70"/>
      <c r="M9" s="70"/>
      <c r="N9" s="70"/>
      <c r="O9" s="70">
        <v>0</v>
      </c>
      <c r="P9" s="70">
        <v>0</v>
      </c>
      <c r="Q9" s="70">
        <f t="shared" si="0"/>
        <v>0</v>
      </c>
      <c r="R9" s="70">
        <v>0</v>
      </c>
      <c r="S9" s="70">
        <f t="shared" si="1"/>
        <v>0</v>
      </c>
    </row>
    <row r="10" spans="1:19" ht="24.95" customHeight="1">
      <c r="A10" s="440">
        <v>2210</v>
      </c>
      <c r="B10" s="106" t="s">
        <v>160</v>
      </c>
      <c r="C10" s="66"/>
      <c r="D10" s="66"/>
      <c r="E10" s="66"/>
      <c r="F10" s="66"/>
      <c r="G10" s="66"/>
      <c r="H10" s="66"/>
      <c r="I10" s="66"/>
      <c r="J10" s="70"/>
      <c r="K10" s="70">
        <v>9682400</v>
      </c>
      <c r="L10" s="70"/>
      <c r="M10" s="70"/>
      <c r="N10" s="70"/>
      <c r="O10" s="70"/>
      <c r="P10" s="70"/>
      <c r="Q10" s="70">
        <f t="shared" si="0"/>
        <v>0</v>
      </c>
      <c r="R10" s="70"/>
      <c r="S10" s="70">
        <f t="shared" si="1"/>
        <v>0</v>
      </c>
    </row>
    <row r="11" spans="1:19" ht="24.95" customHeight="1">
      <c r="A11" s="262">
        <v>22101</v>
      </c>
      <c r="B11" s="66" t="s">
        <v>14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70">
        <v>0</v>
      </c>
      <c r="K11" s="70">
        <v>14896000</v>
      </c>
      <c r="L11" s="70">
        <v>30906200</v>
      </c>
      <c r="M11" s="70">
        <f>30906200*70%+20000000</f>
        <v>41634340</v>
      </c>
      <c r="N11" s="70">
        <f>30906200*70%+20000000</f>
        <v>41634340</v>
      </c>
      <c r="O11" s="70">
        <v>30000000</v>
      </c>
      <c r="P11" s="70">
        <v>40000000</v>
      </c>
      <c r="Q11" s="70">
        <f t="shared" si="0"/>
        <v>-1634340</v>
      </c>
      <c r="R11" s="70">
        <v>60000000</v>
      </c>
      <c r="S11" s="70">
        <f t="shared" si="1"/>
        <v>20000000</v>
      </c>
    </row>
    <row r="12" spans="1:19" ht="24.95" customHeight="1">
      <c r="A12" s="262">
        <v>22104</v>
      </c>
      <c r="B12" s="66" t="s">
        <v>116</v>
      </c>
      <c r="C12" s="66"/>
      <c r="D12" s="66"/>
      <c r="E12" s="66"/>
      <c r="F12" s="66"/>
      <c r="G12" s="66"/>
      <c r="H12" s="66"/>
      <c r="I12" s="66"/>
      <c r="J12" s="70"/>
      <c r="K12" s="70">
        <v>115000000</v>
      </c>
      <c r="L12" s="70">
        <v>118865600</v>
      </c>
      <c r="M12" s="70">
        <f>83205920+20000000</f>
        <v>103205920</v>
      </c>
      <c r="N12" s="70">
        <f>83205920+20000000</f>
        <v>103205920</v>
      </c>
      <c r="O12" s="70">
        <v>16000000</v>
      </c>
      <c r="P12" s="70">
        <v>36000000</v>
      </c>
      <c r="Q12" s="70">
        <f t="shared" si="0"/>
        <v>-67205920</v>
      </c>
      <c r="R12" s="70">
        <v>50000000</v>
      </c>
      <c r="S12" s="70">
        <f t="shared" si="1"/>
        <v>14000000</v>
      </c>
    </row>
    <row r="13" spans="1:19" ht="24.95" customHeight="1">
      <c r="A13" s="262">
        <v>22105</v>
      </c>
      <c r="B13" s="66" t="s">
        <v>93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20000000</v>
      </c>
      <c r="I13" s="66">
        <v>0</v>
      </c>
      <c r="J13" s="70">
        <v>20000000</v>
      </c>
      <c r="K13" s="70">
        <v>0</v>
      </c>
      <c r="L13" s="70">
        <v>11954040</v>
      </c>
      <c r="M13" s="70">
        <f>11954040*70%</f>
        <v>8367827.9999999991</v>
      </c>
      <c r="N13" s="70">
        <f>11954040*70%</f>
        <v>8367827.9999999991</v>
      </c>
      <c r="O13" s="70">
        <v>0</v>
      </c>
      <c r="P13" s="70">
        <v>0</v>
      </c>
      <c r="Q13" s="70">
        <f t="shared" si="0"/>
        <v>-8367827.9999999991</v>
      </c>
      <c r="R13" s="70">
        <v>0</v>
      </c>
      <c r="S13" s="70">
        <f t="shared" si="1"/>
        <v>0</v>
      </c>
    </row>
    <row r="14" spans="1:19" ht="24.95" customHeight="1">
      <c r="A14" s="262">
        <v>22106</v>
      </c>
      <c r="B14" s="66" t="s">
        <v>84</v>
      </c>
      <c r="C14" s="66"/>
      <c r="D14" s="66">
        <v>0</v>
      </c>
      <c r="E14" s="66">
        <v>0</v>
      </c>
      <c r="F14" s="66">
        <v>22500000</v>
      </c>
      <c r="G14" s="66">
        <v>0</v>
      </c>
      <c r="H14" s="66">
        <v>40000000</v>
      </c>
      <c r="I14" s="66">
        <v>0</v>
      </c>
      <c r="J14" s="70">
        <v>0</v>
      </c>
      <c r="K14" s="70">
        <v>0</v>
      </c>
      <c r="L14" s="70">
        <v>12289200</v>
      </c>
      <c r="M14" s="70">
        <f>12289200*70%+15000000</f>
        <v>23602440</v>
      </c>
      <c r="N14" s="70">
        <v>0</v>
      </c>
      <c r="O14" s="70">
        <v>0</v>
      </c>
      <c r="P14" s="70">
        <v>100000000</v>
      </c>
      <c r="Q14" s="70">
        <f t="shared" si="0"/>
        <v>100000000</v>
      </c>
      <c r="R14" s="70">
        <v>150000000</v>
      </c>
      <c r="S14" s="70">
        <f t="shared" si="1"/>
        <v>50000000</v>
      </c>
    </row>
    <row r="15" spans="1:19" ht="24.95" customHeight="1">
      <c r="A15" s="262">
        <v>22107</v>
      </c>
      <c r="B15" s="66" t="s">
        <v>30</v>
      </c>
      <c r="C15" s="66"/>
      <c r="D15" s="66"/>
      <c r="E15" s="66"/>
      <c r="F15" s="66"/>
      <c r="G15" s="66"/>
      <c r="H15" s="66"/>
      <c r="I15" s="66"/>
      <c r="J15" s="70"/>
      <c r="K15" s="70">
        <v>5958400</v>
      </c>
      <c r="L15" s="70">
        <v>60716400</v>
      </c>
      <c r="M15" s="70">
        <f>42501480+10000000</f>
        <v>52501480</v>
      </c>
      <c r="N15" s="70">
        <f>M15*70%</f>
        <v>36751036</v>
      </c>
      <c r="O15" s="70">
        <v>40000000</v>
      </c>
      <c r="P15" s="70">
        <v>70000000</v>
      </c>
      <c r="Q15" s="70">
        <f t="shared" si="0"/>
        <v>33248964</v>
      </c>
      <c r="R15" s="70">
        <v>70000000</v>
      </c>
      <c r="S15" s="70">
        <f t="shared" si="1"/>
        <v>0</v>
      </c>
    </row>
    <row r="16" spans="1:19" ht="24.95" customHeight="1">
      <c r="A16" s="262">
        <v>22108</v>
      </c>
      <c r="B16" s="66" t="s">
        <v>860</v>
      </c>
      <c r="C16" s="66"/>
      <c r="D16" s="66"/>
      <c r="E16" s="66"/>
      <c r="F16" s="66"/>
      <c r="G16" s="66"/>
      <c r="H16" s="66"/>
      <c r="I16" s="66"/>
      <c r="J16" s="70"/>
      <c r="K16" s="70"/>
      <c r="L16" s="70"/>
      <c r="M16" s="70"/>
      <c r="N16" s="70"/>
      <c r="O16" s="70"/>
      <c r="P16" s="70">
        <v>0</v>
      </c>
      <c r="Q16" s="70"/>
      <c r="R16" s="70">
        <v>24000000</v>
      </c>
      <c r="S16" s="70">
        <f t="shared" si="1"/>
        <v>24000000</v>
      </c>
    </row>
    <row r="17" spans="1:19" ht="24.95" customHeight="1">
      <c r="A17" s="262">
        <v>22109</v>
      </c>
      <c r="B17" s="66" t="s">
        <v>94</v>
      </c>
      <c r="C17" s="66">
        <v>0</v>
      </c>
      <c r="D17" s="66">
        <v>0</v>
      </c>
      <c r="E17" s="66">
        <v>0</v>
      </c>
      <c r="F17" s="66">
        <v>0</v>
      </c>
      <c r="G17" s="66">
        <v>2400000</v>
      </c>
      <c r="H17" s="66">
        <v>3000000</v>
      </c>
      <c r="I17" s="66">
        <v>1862000</v>
      </c>
      <c r="J17" s="70">
        <v>1862000</v>
      </c>
      <c r="K17" s="111">
        <f>SUM(K8:K15)</f>
        <v>192858074</v>
      </c>
      <c r="L17" s="70">
        <v>42492900</v>
      </c>
      <c r="M17" s="70">
        <f>42492900*70%+30000000</f>
        <v>59745030</v>
      </c>
      <c r="N17" s="70">
        <f>42492900*70%+30000000</f>
        <v>59745030</v>
      </c>
      <c r="O17" s="70">
        <v>25000000</v>
      </c>
      <c r="P17" s="70">
        <v>25000000</v>
      </c>
      <c r="Q17" s="70">
        <f t="shared" si="0"/>
        <v>-34745030</v>
      </c>
      <c r="R17" s="70">
        <v>25000000</v>
      </c>
      <c r="S17" s="70">
        <f t="shared" si="1"/>
        <v>0</v>
      </c>
    </row>
    <row r="18" spans="1:19" ht="24.95" customHeight="1">
      <c r="A18" s="262">
        <v>22112</v>
      </c>
      <c r="B18" s="66" t="s">
        <v>16</v>
      </c>
      <c r="C18" s="106">
        <f>SUM(C13:C17)</f>
        <v>0</v>
      </c>
      <c r="D18" s="106">
        <f>SUM(D13:D17)</f>
        <v>0</v>
      </c>
      <c r="E18" s="106">
        <v>0</v>
      </c>
      <c r="F18" s="106">
        <f>SUM(F13:F17)</f>
        <v>22500000</v>
      </c>
      <c r="G18" s="106">
        <f>SUM(G13:G17)</f>
        <v>2400000</v>
      </c>
      <c r="H18" s="106">
        <f>SUM(H13:H17)</f>
        <v>63000000</v>
      </c>
      <c r="I18" s="106">
        <f>SUM(I13:I17)</f>
        <v>1862000</v>
      </c>
      <c r="J18" s="111">
        <f>SUM(J13:J17)</f>
        <v>21862000</v>
      </c>
      <c r="K18" s="111"/>
      <c r="L18" s="70">
        <v>51971600</v>
      </c>
      <c r="M18" s="70">
        <f>36380120+5000000</f>
        <v>41380120</v>
      </c>
      <c r="N18" s="70">
        <f>36380120+5000000</f>
        <v>41380120</v>
      </c>
      <c r="O18" s="70">
        <v>20000000</v>
      </c>
      <c r="P18" s="70">
        <v>50000000</v>
      </c>
      <c r="Q18" s="70">
        <f t="shared" si="0"/>
        <v>8619880</v>
      </c>
      <c r="R18" s="70">
        <v>50000000</v>
      </c>
      <c r="S18" s="70">
        <f t="shared" si="1"/>
        <v>0</v>
      </c>
    </row>
    <row r="19" spans="1:19" ht="24.95" customHeight="1">
      <c r="A19" s="262">
        <v>22132</v>
      </c>
      <c r="B19" s="66" t="s">
        <v>144</v>
      </c>
      <c r="C19" s="66"/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70">
        <v>0</v>
      </c>
      <c r="K19" s="70">
        <v>28488600</v>
      </c>
      <c r="L19" s="70">
        <f>309000000+18372000</f>
        <v>327372000</v>
      </c>
      <c r="M19" s="70">
        <f>327372000*70%</f>
        <v>229160400</v>
      </c>
      <c r="N19" s="70">
        <v>0</v>
      </c>
      <c r="O19" s="70">
        <v>0</v>
      </c>
      <c r="P19" s="70">
        <v>0</v>
      </c>
      <c r="Q19" s="70">
        <f t="shared" si="0"/>
        <v>0</v>
      </c>
      <c r="R19" s="70">
        <v>0</v>
      </c>
      <c r="S19" s="70">
        <f t="shared" si="1"/>
        <v>0</v>
      </c>
    </row>
    <row r="20" spans="1:19" ht="24.95" customHeight="1">
      <c r="A20" s="262">
        <v>22141</v>
      </c>
      <c r="B20" s="66" t="s">
        <v>758</v>
      </c>
      <c r="C20" s="66"/>
      <c r="D20" s="66"/>
      <c r="E20" s="66"/>
      <c r="F20" s="66"/>
      <c r="G20" s="66"/>
      <c r="H20" s="66"/>
      <c r="I20" s="66"/>
      <c r="J20" s="70"/>
      <c r="K20" s="70"/>
      <c r="L20" s="70"/>
      <c r="M20" s="70"/>
      <c r="N20" s="70"/>
      <c r="O20" s="70">
        <v>0</v>
      </c>
      <c r="P20" s="70">
        <v>100000000</v>
      </c>
      <c r="Q20" s="70"/>
      <c r="R20" s="70">
        <v>0</v>
      </c>
      <c r="S20" s="70">
        <f t="shared" si="1"/>
        <v>-100000000</v>
      </c>
    </row>
    <row r="21" spans="1:19" ht="24.95" customHeight="1">
      <c r="A21" s="440"/>
      <c r="B21" s="106" t="s">
        <v>59</v>
      </c>
      <c r="C21" s="66"/>
      <c r="D21" s="66"/>
      <c r="E21" s="66"/>
      <c r="F21" s="66">
        <v>100000000</v>
      </c>
      <c r="G21" s="66">
        <v>0</v>
      </c>
      <c r="H21" s="66">
        <v>0</v>
      </c>
      <c r="I21" s="66">
        <v>0</v>
      </c>
      <c r="J21" s="70">
        <v>0</v>
      </c>
      <c r="K21" s="111">
        <f>SUM(K19:K19)</f>
        <v>28488600</v>
      </c>
      <c r="L21" s="111">
        <f>SUM(L11:L19)</f>
        <v>656567940</v>
      </c>
      <c r="M21" s="111">
        <f>SUM(M11:M19)</f>
        <v>559597558</v>
      </c>
      <c r="N21" s="111">
        <f>SUM(N11:N19)</f>
        <v>291084274</v>
      </c>
      <c r="O21" s="111">
        <f>SUM(O11:O20)</f>
        <v>131000000</v>
      </c>
      <c r="P21" s="111">
        <f>SUM(P11:P20)</f>
        <v>421000000</v>
      </c>
      <c r="Q21" s="70">
        <f t="shared" si="0"/>
        <v>129915726</v>
      </c>
      <c r="R21" s="111">
        <f>SUM(R11:R20)</f>
        <v>429000000</v>
      </c>
      <c r="S21" s="111">
        <f t="shared" si="1"/>
        <v>8000000</v>
      </c>
    </row>
    <row r="22" spans="1:19" ht="24.95" customHeight="1">
      <c r="A22" s="440">
        <v>2220</v>
      </c>
      <c r="B22" s="106" t="s">
        <v>161</v>
      </c>
      <c r="C22" s="106" t="e">
        <f>SUM(#REF!)</f>
        <v>#REF!</v>
      </c>
      <c r="D22" s="106" t="e">
        <f>SUM(#REF!)</f>
        <v>#REF!</v>
      </c>
      <c r="E22" s="106">
        <f>SUM(E19:E19)</f>
        <v>0</v>
      </c>
      <c r="F22" s="106">
        <f>SUM(F19:F21)</f>
        <v>100000000</v>
      </c>
      <c r="G22" s="106">
        <f>SUM(G19:G21)</f>
        <v>0</v>
      </c>
      <c r="H22" s="106">
        <f>SUM(H19:H21)</f>
        <v>0</v>
      </c>
      <c r="I22" s="106">
        <f>SUM(I19:I21)</f>
        <v>0</v>
      </c>
      <c r="J22" s="111">
        <f>SUM(J19:J21)</f>
        <v>0</v>
      </c>
      <c r="K22" s="111"/>
      <c r="L22" s="111"/>
      <c r="M22" s="111"/>
      <c r="N22" s="111"/>
      <c r="O22" s="111"/>
      <c r="P22" s="111"/>
      <c r="Q22" s="70">
        <f t="shared" si="0"/>
        <v>0</v>
      </c>
      <c r="R22" s="111"/>
      <c r="S22" s="70">
        <f t="shared" si="1"/>
        <v>0</v>
      </c>
    </row>
    <row r="23" spans="1:19" ht="24.95" customHeight="1">
      <c r="A23" s="262">
        <v>22202</v>
      </c>
      <c r="B23" s="66" t="s">
        <v>91</v>
      </c>
      <c r="C23" s="66">
        <v>4799980</v>
      </c>
      <c r="D23" s="66">
        <v>0</v>
      </c>
      <c r="E23" s="66">
        <v>0</v>
      </c>
      <c r="F23" s="66">
        <v>11800000</v>
      </c>
      <c r="G23" s="66">
        <v>24000000</v>
      </c>
      <c r="H23" s="66">
        <v>30000000</v>
      </c>
      <c r="I23" s="66">
        <v>17875200</v>
      </c>
      <c r="J23" s="70">
        <v>17875200</v>
      </c>
      <c r="K23" s="70">
        <v>0</v>
      </c>
      <c r="L23" s="70">
        <v>431733818</v>
      </c>
      <c r="M23" s="70">
        <f>302213672+98211600</f>
        <v>400425272</v>
      </c>
      <c r="N23" s="70">
        <f>M23</f>
        <v>400425272</v>
      </c>
      <c r="O23" s="70">
        <v>150000000</v>
      </c>
      <c r="P23" s="70">
        <v>200000000</v>
      </c>
      <c r="Q23" s="70">
        <f t="shared" si="0"/>
        <v>-200425272</v>
      </c>
      <c r="R23" s="70">
        <v>250000000</v>
      </c>
      <c r="S23" s="70">
        <f t="shared" si="1"/>
        <v>50000000</v>
      </c>
    </row>
    <row r="24" spans="1:19" ht="24.95" customHeight="1">
      <c r="A24" s="262">
        <v>22203</v>
      </c>
      <c r="B24" s="66" t="s">
        <v>85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70">
        <v>0</v>
      </c>
      <c r="K24" s="70">
        <v>0</v>
      </c>
      <c r="L24" s="70">
        <v>59733400</v>
      </c>
      <c r="M24" s="70">
        <f>41813380+5000000</f>
        <v>46813380</v>
      </c>
      <c r="N24" s="70">
        <f>41813380+5000000</f>
        <v>46813380</v>
      </c>
      <c r="O24" s="70">
        <v>30000000</v>
      </c>
      <c r="P24" s="70">
        <v>55000000</v>
      </c>
      <c r="Q24" s="70">
        <f t="shared" si="0"/>
        <v>8186620</v>
      </c>
      <c r="R24" s="70">
        <v>50000000</v>
      </c>
      <c r="S24" s="70">
        <f t="shared" si="1"/>
        <v>-5000000</v>
      </c>
    </row>
    <row r="25" spans="1:19" ht="24.95" customHeight="1">
      <c r="A25" s="262">
        <v>22204</v>
      </c>
      <c r="B25" s="66" t="s">
        <v>86</v>
      </c>
      <c r="C25" s="66">
        <v>15436990</v>
      </c>
      <c r="D25" s="66">
        <f>23000000+92-14000000</f>
        <v>9000092</v>
      </c>
      <c r="E25" s="66">
        <v>9000092</v>
      </c>
      <c r="F25" s="66">
        <v>29000092</v>
      </c>
      <c r="G25" s="66">
        <v>35200000</v>
      </c>
      <c r="H25" s="66">
        <v>44000000</v>
      </c>
      <c r="I25" s="66">
        <v>39873274</v>
      </c>
      <c r="J25" s="70">
        <v>49000000</v>
      </c>
      <c r="K25" s="70">
        <v>1862000</v>
      </c>
      <c r="L25" s="70">
        <v>88225200</v>
      </c>
      <c r="M25" s="70">
        <f>88225200*70%+40000000</f>
        <v>101757640</v>
      </c>
      <c r="N25" s="70">
        <f>88225200*70%+40000000</f>
        <v>101757640</v>
      </c>
      <c r="O25" s="70">
        <v>0</v>
      </c>
      <c r="P25" s="70">
        <v>20000000</v>
      </c>
      <c r="Q25" s="70">
        <f t="shared" si="0"/>
        <v>-81757640</v>
      </c>
      <c r="R25" s="70">
        <v>15000000</v>
      </c>
      <c r="S25" s="70">
        <f t="shared" si="1"/>
        <v>-5000000</v>
      </c>
    </row>
    <row r="26" spans="1:19" ht="24.95" customHeight="1">
      <c r="A26" s="262">
        <v>22208</v>
      </c>
      <c r="B26" s="66" t="s">
        <v>358</v>
      </c>
      <c r="C26" s="66"/>
      <c r="D26" s="66"/>
      <c r="E26" s="66"/>
      <c r="F26" s="66"/>
      <c r="G26" s="66"/>
      <c r="H26" s="66"/>
      <c r="I26" s="66"/>
      <c r="J26" s="70"/>
      <c r="K26" s="70"/>
      <c r="L26" s="70">
        <v>54000000</v>
      </c>
      <c r="M26" s="70">
        <f>54000000/3500*6000</f>
        <v>92571428.571428582</v>
      </c>
      <c r="N26" s="70">
        <f>54000000/3500*6000</f>
        <v>92571428.571428582</v>
      </c>
      <c r="O26" s="70">
        <v>90000000</v>
      </c>
      <c r="P26" s="70">
        <v>180000000</v>
      </c>
      <c r="Q26" s="70">
        <f t="shared" si="0"/>
        <v>87428571.428571418</v>
      </c>
      <c r="R26" s="70">
        <v>180000000</v>
      </c>
      <c r="S26" s="70">
        <f t="shared" si="1"/>
        <v>0</v>
      </c>
    </row>
    <row r="27" spans="1:19" ht="24.95" customHeight="1">
      <c r="A27" s="262"/>
      <c r="B27" s="106" t="s">
        <v>59</v>
      </c>
      <c r="C27" s="66"/>
      <c r="D27" s="66"/>
      <c r="E27" s="66"/>
      <c r="F27" s="66">
        <v>0</v>
      </c>
      <c r="G27" s="66">
        <v>13280000</v>
      </c>
      <c r="H27" s="66">
        <v>16600000</v>
      </c>
      <c r="I27" s="66">
        <v>9682400</v>
      </c>
      <c r="J27" s="70">
        <v>9682400</v>
      </c>
      <c r="K27" s="111">
        <f>SUM(K23:K26)</f>
        <v>1862000</v>
      </c>
      <c r="L27" s="111" t="e">
        <f>#REF!+L25+L24+L23</f>
        <v>#REF!</v>
      </c>
      <c r="M27" s="111">
        <f>SUM(M23:M26)</f>
        <v>641567720.57142854</v>
      </c>
      <c r="N27" s="111">
        <f>SUM(N23:N26)</f>
        <v>641567720.57142854</v>
      </c>
      <c r="O27" s="111">
        <f>SUM(O23:O26)</f>
        <v>270000000</v>
      </c>
      <c r="P27" s="111">
        <f>SUM(P23:P26)</f>
        <v>455000000</v>
      </c>
      <c r="Q27" s="70">
        <f t="shared" si="0"/>
        <v>-186567720.57142854</v>
      </c>
      <c r="R27" s="111">
        <f>SUM(R23:R26)</f>
        <v>495000000</v>
      </c>
      <c r="S27" s="111">
        <f t="shared" si="1"/>
        <v>40000000</v>
      </c>
    </row>
    <row r="28" spans="1:19" ht="24.95" customHeight="1">
      <c r="A28" s="440">
        <v>2230</v>
      </c>
      <c r="B28" s="106" t="s">
        <v>88</v>
      </c>
      <c r="C28" s="66"/>
      <c r="D28" s="66">
        <v>0</v>
      </c>
      <c r="E28" s="66">
        <v>0</v>
      </c>
      <c r="F28" s="66">
        <v>2000000</v>
      </c>
      <c r="G28" s="66">
        <v>16000000</v>
      </c>
      <c r="H28" s="66">
        <v>20000000</v>
      </c>
      <c r="I28" s="66">
        <v>14896000</v>
      </c>
      <c r="J28" s="70">
        <v>20000000</v>
      </c>
      <c r="K28" s="70"/>
      <c r="L28" s="70"/>
      <c r="M28" s="70"/>
      <c r="N28" s="70"/>
      <c r="O28" s="70"/>
      <c r="P28" s="70"/>
      <c r="Q28" s="70">
        <f t="shared" si="0"/>
        <v>0</v>
      </c>
      <c r="R28" s="70"/>
      <c r="S28" s="70">
        <f t="shared" si="1"/>
        <v>0</v>
      </c>
    </row>
    <row r="29" spans="1:19" ht="24.95" customHeight="1">
      <c r="A29" s="262">
        <v>22301</v>
      </c>
      <c r="B29" s="66" t="s">
        <v>245</v>
      </c>
      <c r="C29" s="66"/>
      <c r="D29" s="66">
        <v>0</v>
      </c>
      <c r="E29" s="66">
        <v>0</v>
      </c>
      <c r="F29" s="66">
        <v>9000200</v>
      </c>
      <c r="G29" s="66">
        <v>18400000</v>
      </c>
      <c r="H29" s="66">
        <v>23000000</v>
      </c>
      <c r="I29" s="66">
        <v>13704320</v>
      </c>
      <c r="J29" s="70">
        <v>13704320</v>
      </c>
      <c r="K29" s="70">
        <v>27588136</v>
      </c>
      <c r="L29" s="70">
        <v>84208136</v>
      </c>
      <c r="M29" s="70">
        <f>58945695*70%+10000000</f>
        <v>51261986.5</v>
      </c>
      <c r="N29" s="70">
        <f>58945695*70%+10000000</f>
        <v>51261986.5</v>
      </c>
      <c r="O29" s="70">
        <v>0</v>
      </c>
      <c r="P29" s="70">
        <v>50000000</v>
      </c>
      <c r="Q29" s="70">
        <f t="shared" si="0"/>
        <v>-1261986.5</v>
      </c>
      <c r="R29" s="70">
        <v>80000000</v>
      </c>
      <c r="S29" s="70">
        <f t="shared" si="1"/>
        <v>30000000</v>
      </c>
    </row>
    <row r="30" spans="1:19" ht="24.95" customHeight="1">
      <c r="A30" s="262">
        <v>22302</v>
      </c>
      <c r="B30" s="66" t="s">
        <v>162</v>
      </c>
      <c r="C30" s="66">
        <v>2279995</v>
      </c>
      <c r="D30" s="66">
        <v>2545200</v>
      </c>
      <c r="E30" s="66">
        <v>2545200</v>
      </c>
      <c r="F30" s="66">
        <v>3505200</v>
      </c>
      <c r="G30" s="66">
        <v>9600000</v>
      </c>
      <c r="H30" s="66">
        <v>22000000</v>
      </c>
      <c r="I30" s="66">
        <v>16385600</v>
      </c>
      <c r="J30" s="70">
        <v>16385600</v>
      </c>
      <c r="K30" s="70">
        <v>3724000</v>
      </c>
      <c r="L30" s="70">
        <v>3724000</v>
      </c>
      <c r="M30" s="70">
        <f>3724000*70%</f>
        <v>2606800</v>
      </c>
      <c r="N30" s="70">
        <f>3724000*70%</f>
        <v>2606800</v>
      </c>
      <c r="O30" s="70">
        <v>0</v>
      </c>
      <c r="P30" s="70">
        <v>100000000</v>
      </c>
      <c r="Q30" s="70">
        <f t="shared" si="0"/>
        <v>97393200</v>
      </c>
      <c r="R30" s="70">
        <v>100000000</v>
      </c>
      <c r="S30" s="70">
        <f t="shared" si="1"/>
        <v>0</v>
      </c>
    </row>
    <row r="31" spans="1:19" ht="24.95" customHeight="1">
      <c r="A31" s="262">
        <v>22307</v>
      </c>
      <c r="B31" s="66" t="s">
        <v>759</v>
      </c>
      <c r="C31" s="66"/>
      <c r="D31" s="66"/>
      <c r="E31" s="66"/>
      <c r="F31" s="66"/>
      <c r="G31" s="66"/>
      <c r="H31" s="66"/>
      <c r="I31" s="66"/>
      <c r="J31" s="70"/>
      <c r="K31" s="70"/>
      <c r="L31" s="70">
        <v>0</v>
      </c>
      <c r="M31" s="70">
        <v>100000000</v>
      </c>
      <c r="N31" s="70">
        <v>100000000</v>
      </c>
      <c r="O31" s="70">
        <v>100000000</v>
      </c>
      <c r="P31" s="70">
        <v>100000000</v>
      </c>
      <c r="Q31" s="70">
        <f t="shared" si="0"/>
        <v>0</v>
      </c>
      <c r="R31" s="70">
        <v>100000000</v>
      </c>
      <c r="S31" s="70">
        <f t="shared" si="1"/>
        <v>0</v>
      </c>
    </row>
    <row r="32" spans="1:19" ht="24.95" customHeight="1">
      <c r="A32" s="262"/>
      <c r="B32" s="106" t="s">
        <v>59</v>
      </c>
      <c r="C32" s="66">
        <v>15000000</v>
      </c>
      <c r="D32" s="66">
        <v>14000000</v>
      </c>
      <c r="E32" s="66">
        <v>9025900</v>
      </c>
      <c r="F32" s="66">
        <v>39837118</v>
      </c>
      <c r="G32" s="66">
        <v>0</v>
      </c>
      <c r="H32" s="66">
        <v>0</v>
      </c>
      <c r="I32" s="66">
        <v>0</v>
      </c>
      <c r="J32" s="70">
        <v>0</v>
      </c>
      <c r="K32" s="70">
        <v>0</v>
      </c>
      <c r="L32" s="111">
        <f>SUM(L29:L31)</f>
        <v>87932136</v>
      </c>
      <c r="M32" s="111">
        <f>SUM(M29:M31)</f>
        <v>153868786.5</v>
      </c>
      <c r="N32" s="111">
        <f>SUM(N29:N31)</f>
        <v>153868786.5</v>
      </c>
      <c r="O32" s="111">
        <f>SUM(O29:O31)</f>
        <v>100000000</v>
      </c>
      <c r="P32" s="111">
        <f>SUM(P29:P31)</f>
        <v>250000000</v>
      </c>
      <c r="Q32" s="70">
        <f t="shared" si="0"/>
        <v>96131213.5</v>
      </c>
      <c r="R32" s="111">
        <f>SUM(R29:R31)</f>
        <v>280000000</v>
      </c>
      <c r="S32" s="111">
        <f t="shared" si="1"/>
        <v>30000000</v>
      </c>
    </row>
    <row r="33" spans="1:19" ht="24.95" customHeight="1">
      <c r="A33" s="440">
        <v>230</v>
      </c>
      <c r="B33" s="106" t="s">
        <v>165</v>
      </c>
      <c r="C33" s="106">
        <f t="shared" ref="C33:J33" si="2">SUM(C23:C32)</f>
        <v>37516965</v>
      </c>
      <c r="D33" s="106">
        <f t="shared" si="2"/>
        <v>25545292</v>
      </c>
      <c r="E33" s="106">
        <f t="shared" si="2"/>
        <v>20571192</v>
      </c>
      <c r="F33" s="106">
        <f t="shared" si="2"/>
        <v>95142610</v>
      </c>
      <c r="G33" s="106">
        <f t="shared" si="2"/>
        <v>116480000</v>
      </c>
      <c r="H33" s="106">
        <f t="shared" si="2"/>
        <v>155600000</v>
      </c>
      <c r="I33" s="106">
        <f t="shared" si="2"/>
        <v>112416794</v>
      </c>
      <c r="J33" s="111">
        <f t="shared" si="2"/>
        <v>126647520</v>
      </c>
      <c r="K33" s="111">
        <v>0</v>
      </c>
      <c r="L33" s="111"/>
      <c r="M33" s="111"/>
      <c r="N33" s="111"/>
      <c r="O33" s="111">
        <v>0</v>
      </c>
      <c r="P33" s="111">
        <v>0</v>
      </c>
      <c r="Q33" s="70">
        <f t="shared" si="0"/>
        <v>0</v>
      </c>
      <c r="R33" s="111">
        <v>0</v>
      </c>
      <c r="S33" s="70">
        <f t="shared" si="1"/>
        <v>0</v>
      </c>
    </row>
    <row r="34" spans="1:19" ht="24.95" customHeight="1">
      <c r="A34" s="440">
        <v>2310</v>
      </c>
      <c r="B34" s="106" t="s">
        <v>164</v>
      </c>
      <c r="C34" s="106" t="e">
        <f>C33+C22+C18+#REF!+#REF!</f>
        <v>#REF!</v>
      </c>
      <c r="D34" s="106" t="e">
        <f>D33+D22+D18+#REF!+#REF!</f>
        <v>#REF!</v>
      </c>
      <c r="E34" s="106" t="e">
        <f>E33+E22+E18+#REF!+#REF!</f>
        <v>#REF!</v>
      </c>
      <c r="F34" s="106" t="e">
        <f>F33+F22+F18+#REF!+#REF!</f>
        <v>#REF!</v>
      </c>
      <c r="G34" s="106" t="e">
        <f>G33+G22+G18+#REF!+#REF!</f>
        <v>#REF!</v>
      </c>
      <c r="H34" s="106" t="e">
        <f>H33+H22+H18+#REF!+#REF!</f>
        <v>#REF!</v>
      </c>
      <c r="I34" s="106" t="e">
        <f>I33+I22+I18+#REF!+#REF!</f>
        <v>#REF!</v>
      </c>
      <c r="J34" s="111" t="e">
        <f>J33+J22+J18+#REF!+#REF!</f>
        <v>#REF!</v>
      </c>
      <c r="K34" s="111" t="e">
        <f>K33+#REF!+K27+K21+K17+#REF!</f>
        <v>#REF!</v>
      </c>
      <c r="L34" s="111"/>
      <c r="M34" s="111"/>
      <c r="N34" s="111"/>
      <c r="O34" s="111"/>
      <c r="P34" s="111"/>
      <c r="Q34" s="70">
        <f t="shared" si="0"/>
        <v>0</v>
      </c>
      <c r="R34" s="111"/>
      <c r="S34" s="70">
        <f t="shared" si="1"/>
        <v>0</v>
      </c>
    </row>
    <row r="35" spans="1:19" ht="24.95" customHeight="1">
      <c r="A35" s="262">
        <v>23101</v>
      </c>
      <c r="B35" s="66" t="s">
        <v>193</v>
      </c>
      <c r="C35" s="118"/>
      <c r="D35" s="118" t="s">
        <v>4</v>
      </c>
      <c r="E35" s="118"/>
      <c r="F35" s="66">
        <v>0</v>
      </c>
      <c r="G35" s="118"/>
      <c r="H35" s="118"/>
      <c r="I35" s="118"/>
      <c r="J35" s="118"/>
      <c r="K35" s="118"/>
      <c r="L35" s="70">
        <v>25000000</v>
      </c>
      <c r="M35" s="70">
        <v>16896000</v>
      </c>
      <c r="N35" s="70">
        <v>0</v>
      </c>
      <c r="O35" s="70">
        <v>20000000</v>
      </c>
      <c r="P35" s="70">
        <v>30000000</v>
      </c>
      <c r="Q35" s="70">
        <f t="shared" si="0"/>
        <v>30000000</v>
      </c>
      <c r="R35" s="70">
        <v>20000000</v>
      </c>
      <c r="S35" s="70">
        <f t="shared" si="1"/>
        <v>-10000000</v>
      </c>
    </row>
    <row r="36" spans="1:19" ht="24.95" customHeight="1">
      <c r="A36" s="262">
        <v>23102</v>
      </c>
      <c r="B36" s="66" t="s">
        <v>194</v>
      </c>
      <c r="C36" s="118"/>
      <c r="D36" s="100" t="s">
        <v>4</v>
      </c>
      <c r="E36" s="100"/>
      <c r="F36" s="66">
        <v>0</v>
      </c>
      <c r="G36" s="100"/>
      <c r="H36" s="100"/>
      <c r="I36" s="100"/>
      <c r="J36" s="100"/>
      <c r="K36" s="100"/>
      <c r="L36" s="70">
        <v>0</v>
      </c>
      <c r="M36" s="70">
        <v>160000000</v>
      </c>
      <c r="N36" s="70">
        <v>100000000</v>
      </c>
      <c r="O36" s="70">
        <v>120000000</v>
      </c>
      <c r="P36" s="70">
        <v>300000000</v>
      </c>
      <c r="Q36" s="70">
        <f t="shared" si="0"/>
        <v>200000000</v>
      </c>
      <c r="R36" s="70">
        <v>0</v>
      </c>
      <c r="S36" s="70">
        <f t="shared" si="1"/>
        <v>-300000000</v>
      </c>
    </row>
    <row r="37" spans="1:19" ht="24.95" customHeight="1">
      <c r="A37" s="262">
        <v>23103</v>
      </c>
      <c r="B37" s="66" t="s">
        <v>231</v>
      </c>
      <c r="C37" s="118"/>
      <c r="D37" s="118"/>
      <c r="E37" s="118"/>
      <c r="F37" s="100">
        <v>0</v>
      </c>
      <c r="G37" s="118"/>
      <c r="H37" s="118"/>
      <c r="I37" s="118"/>
      <c r="J37" s="118"/>
      <c r="K37" s="118"/>
      <c r="L37" s="70">
        <v>5586000</v>
      </c>
      <c r="M37" s="70">
        <f>5586000*70%</f>
        <v>3910199.9999999995</v>
      </c>
      <c r="N37" s="70">
        <v>0</v>
      </c>
      <c r="O37" s="70">
        <v>0</v>
      </c>
      <c r="P37" s="70">
        <v>0</v>
      </c>
      <c r="Q37" s="70">
        <f t="shared" si="0"/>
        <v>0</v>
      </c>
      <c r="R37" s="70">
        <v>0</v>
      </c>
      <c r="S37" s="70">
        <f t="shared" si="1"/>
        <v>0</v>
      </c>
    </row>
    <row r="38" spans="1:19" ht="24.95" customHeight="1">
      <c r="A38" s="262">
        <v>23104</v>
      </c>
      <c r="B38" s="66" t="s">
        <v>232</v>
      </c>
      <c r="C38" s="118"/>
      <c r="D38" s="118"/>
      <c r="E38" s="118"/>
      <c r="F38" s="100">
        <v>0</v>
      </c>
      <c r="G38" s="100"/>
      <c r="H38" s="100"/>
      <c r="I38" s="100"/>
      <c r="J38" s="100"/>
      <c r="K38" s="100"/>
      <c r="L38" s="70">
        <v>3996400</v>
      </c>
      <c r="M38" s="70">
        <f>3996400+5000000</f>
        <v>8996400</v>
      </c>
      <c r="N38" s="70">
        <v>0</v>
      </c>
      <c r="O38" s="70">
        <v>0</v>
      </c>
      <c r="P38" s="70">
        <v>0</v>
      </c>
      <c r="Q38" s="70">
        <f t="shared" si="0"/>
        <v>0</v>
      </c>
      <c r="R38" s="70">
        <v>0</v>
      </c>
      <c r="S38" s="70">
        <f t="shared" si="1"/>
        <v>0</v>
      </c>
    </row>
    <row r="39" spans="1:19" ht="24.95" customHeight="1">
      <c r="A39" s="262">
        <v>23105</v>
      </c>
      <c r="B39" s="66" t="s">
        <v>233</v>
      </c>
      <c r="C39" s="118"/>
      <c r="D39" s="118"/>
      <c r="E39" s="118"/>
      <c r="F39" s="100"/>
      <c r="G39" s="100"/>
      <c r="H39" s="100"/>
      <c r="I39" s="100"/>
      <c r="J39" s="100"/>
      <c r="K39" s="100"/>
      <c r="L39" s="70">
        <v>0</v>
      </c>
      <c r="M39" s="70">
        <v>30000000</v>
      </c>
      <c r="N39" s="70">
        <v>0</v>
      </c>
      <c r="O39" s="70">
        <v>0</v>
      </c>
      <c r="P39" s="70">
        <v>0</v>
      </c>
      <c r="Q39" s="70">
        <f t="shared" si="0"/>
        <v>0</v>
      </c>
      <c r="R39" s="70">
        <v>30000000</v>
      </c>
      <c r="S39" s="70">
        <f t="shared" si="1"/>
        <v>30000000</v>
      </c>
    </row>
    <row r="40" spans="1:19" ht="24.95" customHeight="1">
      <c r="A40" s="262">
        <v>23105</v>
      </c>
      <c r="B40" s="66" t="s">
        <v>861</v>
      </c>
      <c r="C40" s="118"/>
      <c r="D40" s="118"/>
      <c r="E40" s="118"/>
      <c r="F40" s="100"/>
      <c r="G40" s="100"/>
      <c r="H40" s="100"/>
      <c r="I40" s="100"/>
      <c r="J40" s="100"/>
      <c r="K40" s="100"/>
      <c r="L40" s="70"/>
      <c r="M40" s="70"/>
      <c r="N40" s="70"/>
      <c r="O40" s="70"/>
      <c r="P40" s="70"/>
      <c r="Q40" s="70"/>
      <c r="R40" s="70">
        <v>300000000</v>
      </c>
      <c r="S40" s="70"/>
    </row>
    <row r="41" spans="1:19" ht="24.95" customHeight="1">
      <c r="A41" s="262"/>
      <c r="B41" s="106" t="s">
        <v>59</v>
      </c>
      <c r="C41" s="118"/>
      <c r="D41" s="118"/>
      <c r="E41" s="118"/>
      <c r="F41" s="100"/>
      <c r="G41" s="100"/>
      <c r="H41" s="100"/>
      <c r="I41" s="100"/>
      <c r="J41" s="100"/>
      <c r="K41" s="100"/>
      <c r="L41" s="70"/>
      <c r="M41" s="70"/>
      <c r="N41" s="70"/>
      <c r="O41" s="111">
        <f>SUM(O35:O39)</f>
        <v>140000000</v>
      </c>
      <c r="P41" s="111">
        <f>SUM(P35:P39)</f>
        <v>330000000</v>
      </c>
      <c r="Q41" s="70"/>
      <c r="R41" s="111">
        <f>SUM(R35:R40)</f>
        <v>350000000</v>
      </c>
      <c r="S41" s="111">
        <f t="shared" si="1"/>
        <v>20000000</v>
      </c>
    </row>
    <row r="42" spans="1:19" s="512" customFormat="1" ht="24.95" customHeight="1">
      <c r="A42" s="440">
        <v>2320</v>
      </c>
      <c r="B42" s="106" t="s">
        <v>372</v>
      </c>
      <c r="C42" s="251"/>
      <c r="D42" s="251"/>
      <c r="E42" s="251"/>
      <c r="F42" s="105"/>
      <c r="G42" s="105"/>
      <c r="H42" s="105"/>
      <c r="I42" s="105"/>
      <c r="J42" s="105"/>
      <c r="K42" s="105"/>
      <c r="L42" s="111"/>
      <c r="M42" s="111"/>
      <c r="N42" s="111"/>
      <c r="O42" s="111"/>
      <c r="P42" s="111"/>
      <c r="Q42" s="111"/>
      <c r="R42" s="111"/>
      <c r="S42" s="70">
        <f t="shared" si="1"/>
        <v>0</v>
      </c>
    </row>
    <row r="43" spans="1:19" ht="24.95" customHeight="1">
      <c r="A43" s="262">
        <v>23201</v>
      </c>
      <c r="B43" s="66" t="s">
        <v>702</v>
      </c>
      <c r="C43" s="118"/>
      <c r="D43" s="118"/>
      <c r="E43" s="118"/>
      <c r="F43" s="100"/>
      <c r="G43" s="100"/>
      <c r="H43" s="100"/>
      <c r="I43" s="100"/>
      <c r="J43" s="100"/>
      <c r="K43" s="100"/>
      <c r="L43" s="70"/>
      <c r="M43" s="70"/>
      <c r="N43" s="70"/>
      <c r="O43" s="70">
        <v>0</v>
      </c>
      <c r="P43" s="70">
        <v>70000000</v>
      </c>
      <c r="Q43" s="70"/>
      <c r="R43" s="70">
        <v>0</v>
      </c>
      <c r="S43" s="70">
        <f t="shared" si="1"/>
        <v>-70000000</v>
      </c>
    </row>
    <row r="44" spans="1:19" ht="24.95" customHeight="1">
      <c r="A44" s="262"/>
      <c r="B44" s="106" t="s">
        <v>59</v>
      </c>
      <c r="C44" s="118"/>
      <c r="D44" s="118"/>
      <c r="E44" s="118"/>
      <c r="F44" s="100"/>
      <c r="G44" s="100"/>
      <c r="H44" s="100"/>
      <c r="I44" s="100"/>
      <c r="J44" s="100"/>
      <c r="K44" s="100"/>
      <c r="L44" s="70"/>
      <c r="M44" s="70"/>
      <c r="N44" s="70"/>
      <c r="O44" s="70"/>
      <c r="P44" s="111">
        <f>SUM(P43)</f>
        <v>70000000</v>
      </c>
      <c r="Q44" s="70"/>
      <c r="R44" s="111">
        <f>SUM(R43)</f>
        <v>0</v>
      </c>
      <c r="S44" s="111">
        <f t="shared" si="1"/>
        <v>-70000000</v>
      </c>
    </row>
    <row r="45" spans="1:19" ht="24.95" customHeight="1">
      <c r="A45" s="262"/>
      <c r="B45" s="106" t="s">
        <v>18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05" t="e">
        <f>#REF!+L32+L27+L21+L8</f>
        <v>#REF!</v>
      </c>
      <c r="M45" s="105" t="e">
        <f>#REF!+#REF!+M32+M27+M21+M8</f>
        <v>#REF!</v>
      </c>
      <c r="N45" s="105" t="e">
        <f>#REF!+#REF!+N32+N27+N21+N8</f>
        <v>#REF!</v>
      </c>
      <c r="O45" s="105">
        <f>O41+O32+O27+O21+O8</f>
        <v>1419670400</v>
      </c>
      <c r="P45" s="105">
        <f>P44+P41+P32+P27+P21+P8</f>
        <v>3240570080</v>
      </c>
      <c r="Q45" s="70" t="e">
        <f t="shared" si="0"/>
        <v>#REF!</v>
      </c>
      <c r="R45" s="105">
        <f>R44+R41+R32+R27+R21+R8</f>
        <v>3392610240</v>
      </c>
      <c r="S45" s="111">
        <f t="shared" si="1"/>
        <v>152040160</v>
      </c>
    </row>
    <row r="47" spans="1:19" ht="24.95" customHeight="1">
      <c r="Q47" s="514"/>
      <c r="R47" s="514"/>
      <c r="S47" s="434"/>
    </row>
  </sheetData>
  <pageMargins left="0.7" right="0.7" top="0.75" bottom="0.75" header="0.3" footer="0.3"/>
  <pageSetup scale="58" orientation="portrait" r:id="rId1"/>
  <headerFooter>
    <oddHeader>&amp;C&amp;"Algerian,Bold"&amp;36  WASAARAdDA WARSHADAHA</oddHeader>
    <oddFooter>&amp;R&amp;"Times New Roman,Bold"&amp;18 57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workbookViewId="0">
      <selection activeCell="B4" sqref="B4"/>
    </sheetView>
  </sheetViews>
  <sheetFormatPr defaultRowHeight="27" customHeight="1"/>
  <cols>
    <col min="1" max="1" width="20.1640625" style="181" bestFit="1" customWidth="1"/>
    <col min="2" max="2" width="85.5" style="181" customWidth="1"/>
    <col min="3" max="3" width="27.5" style="181" hidden="1" customWidth="1"/>
    <col min="4" max="4" width="27.5" style="181" bestFit="1" customWidth="1"/>
    <col min="5" max="5" width="27.5" style="181" customWidth="1"/>
    <col min="6" max="6" width="27.1640625" style="181" customWidth="1"/>
    <col min="7" max="16" width="9.33203125" style="181" customWidth="1"/>
    <col min="17" max="16384" width="9.33203125" style="181"/>
  </cols>
  <sheetData>
    <row r="1" spans="1:6" ht="27" customHeight="1">
      <c r="A1" s="251" t="s">
        <v>21</v>
      </c>
      <c r="B1" s="354" t="s">
        <v>813</v>
      </c>
      <c r="C1" s="354"/>
      <c r="D1" s="118"/>
      <c r="E1" s="118"/>
      <c r="F1" s="303"/>
    </row>
    <row r="2" spans="1:6" ht="27" customHeight="1">
      <c r="A2" s="251" t="s">
        <v>6</v>
      </c>
      <c r="B2" s="251" t="s">
        <v>7</v>
      </c>
      <c r="C2" s="256" t="s">
        <v>538</v>
      </c>
      <c r="D2" s="256" t="s">
        <v>607</v>
      </c>
      <c r="E2" s="256" t="s">
        <v>722</v>
      </c>
      <c r="F2" s="256" t="s">
        <v>34</v>
      </c>
    </row>
    <row r="3" spans="1:6" ht="27" customHeight="1">
      <c r="A3" s="249">
        <v>210</v>
      </c>
      <c r="B3" s="106" t="s">
        <v>95</v>
      </c>
      <c r="C3" s="118"/>
      <c r="D3" s="118"/>
      <c r="E3" s="118"/>
      <c r="F3" s="118"/>
    </row>
    <row r="4" spans="1:6" ht="27" customHeight="1">
      <c r="A4" s="249">
        <v>2110</v>
      </c>
      <c r="B4" s="106" t="s">
        <v>155</v>
      </c>
      <c r="C4" s="118"/>
      <c r="D4" s="118"/>
      <c r="E4" s="118"/>
      <c r="F4" s="100"/>
    </row>
    <row r="5" spans="1:6" ht="27" customHeight="1">
      <c r="A5" s="169">
        <v>21101</v>
      </c>
      <c r="B5" s="66" t="s">
        <v>9</v>
      </c>
      <c r="C5" s="66">
        <v>0</v>
      </c>
      <c r="D5" s="66">
        <v>949216320</v>
      </c>
      <c r="E5" s="66">
        <v>1082502720</v>
      </c>
      <c r="F5" s="100">
        <f>E5-D5</f>
        <v>133286400</v>
      </c>
    </row>
    <row r="6" spans="1:6" ht="27" customHeight="1">
      <c r="A6" s="169">
        <v>21102</v>
      </c>
      <c r="B6" s="66" t="s">
        <v>418</v>
      </c>
      <c r="C6" s="66">
        <v>0</v>
      </c>
      <c r="D6" s="66">
        <v>194400000</v>
      </c>
      <c r="E6" s="66">
        <v>194400000</v>
      </c>
      <c r="F6" s="100">
        <f t="shared" ref="F6:F50" si="0">E6-D6</f>
        <v>0</v>
      </c>
    </row>
    <row r="7" spans="1:6" ht="27" customHeight="1">
      <c r="A7" s="169">
        <v>21103</v>
      </c>
      <c r="B7" s="66" t="s">
        <v>11</v>
      </c>
      <c r="C7" s="66">
        <v>0</v>
      </c>
      <c r="D7" s="66">
        <v>216000000</v>
      </c>
      <c r="E7" s="66">
        <v>234000000</v>
      </c>
      <c r="F7" s="100">
        <f t="shared" si="0"/>
        <v>18000000</v>
      </c>
    </row>
    <row r="8" spans="1:6" ht="27" customHeight="1">
      <c r="A8" s="169">
        <v>21105</v>
      </c>
      <c r="B8" s="66" t="s">
        <v>399</v>
      </c>
      <c r="C8" s="66">
        <v>0</v>
      </c>
      <c r="D8" s="66">
        <v>0</v>
      </c>
      <c r="E8" s="66">
        <v>0</v>
      </c>
      <c r="F8" s="100">
        <f t="shared" si="0"/>
        <v>0</v>
      </c>
    </row>
    <row r="9" spans="1:6" ht="27" customHeight="1">
      <c r="A9" s="169"/>
      <c r="B9" s="106" t="s">
        <v>59</v>
      </c>
      <c r="C9" s="106">
        <v>0</v>
      </c>
      <c r="D9" s="106">
        <f>SUM(D5:D8)</f>
        <v>1359616320</v>
      </c>
      <c r="E9" s="106">
        <f>SUM(E5:E8)</f>
        <v>1510902720</v>
      </c>
      <c r="F9" s="105">
        <f t="shared" si="0"/>
        <v>151286400</v>
      </c>
    </row>
    <row r="10" spans="1:6" ht="27" customHeight="1">
      <c r="A10" s="249">
        <v>220</v>
      </c>
      <c r="B10" s="106" t="s">
        <v>159</v>
      </c>
      <c r="C10" s="66"/>
      <c r="D10" s="66"/>
      <c r="E10" s="66"/>
      <c r="F10" s="100">
        <f t="shared" si="0"/>
        <v>0</v>
      </c>
    </row>
    <row r="11" spans="1:6" ht="27" customHeight="1">
      <c r="A11" s="249">
        <v>2210</v>
      </c>
      <c r="B11" s="106" t="s">
        <v>160</v>
      </c>
      <c r="C11" s="66"/>
      <c r="D11" s="66"/>
      <c r="E11" s="66"/>
      <c r="F11" s="100">
        <f t="shared" si="0"/>
        <v>0</v>
      </c>
    </row>
    <row r="12" spans="1:6" ht="27" customHeight="1">
      <c r="A12" s="169">
        <v>22101</v>
      </c>
      <c r="B12" s="66" t="s">
        <v>14</v>
      </c>
      <c r="C12" s="66">
        <v>0</v>
      </c>
      <c r="D12" s="66">
        <v>68247600</v>
      </c>
      <c r="E12" s="66">
        <v>68247600</v>
      </c>
      <c r="F12" s="100">
        <f t="shared" si="0"/>
        <v>0</v>
      </c>
    </row>
    <row r="13" spans="1:6" ht="27" customHeight="1">
      <c r="A13" s="169">
        <v>22102</v>
      </c>
      <c r="B13" s="66" t="s">
        <v>82</v>
      </c>
      <c r="C13" s="66">
        <v>0</v>
      </c>
      <c r="D13" s="66">
        <v>0</v>
      </c>
      <c r="E13" s="66">
        <v>0</v>
      </c>
      <c r="F13" s="100">
        <f t="shared" si="0"/>
        <v>0</v>
      </c>
    </row>
    <row r="14" spans="1:6" ht="27" customHeight="1">
      <c r="A14" s="169">
        <v>22103</v>
      </c>
      <c r="B14" s="66" t="s">
        <v>83</v>
      </c>
      <c r="C14" s="66">
        <v>0</v>
      </c>
      <c r="D14" s="66">
        <v>0</v>
      </c>
      <c r="E14" s="66">
        <v>0</v>
      </c>
      <c r="F14" s="100">
        <f t="shared" si="0"/>
        <v>0</v>
      </c>
    </row>
    <row r="15" spans="1:6" ht="27" customHeight="1">
      <c r="A15" s="169">
        <v>22104</v>
      </c>
      <c r="B15" s="66" t="s">
        <v>116</v>
      </c>
      <c r="C15" s="66">
        <v>0</v>
      </c>
      <c r="D15" s="66">
        <v>10855915</v>
      </c>
      <c r="E15" s="66">
        <v>10855915</v>
      </c>
      <c r="F15" s="100">
        <f t="shared" si="0"/>
        <v>0</v>
      </c>
    </row>
    <row r="16" spans="1:6" ht="27" customHeight="1">
      <c r="A16" s="169">
        <v>22105</v>
      </c>
      <c r="B16" s="66" t="s">
        <v>93</v>
      </c>
      <c r="C16" s="66">
        <v>0</v>
      </c>
      <c r="D16" s="66">
        <v>0</v>
      </c>
      <c r="E16" s="66">
        <v>158400000</v>
      </c>
      <c r="F16" s="100">
        <f t="shared" si="0"/>
        <v>158400000</v>
      </c>
    </row>
    <row r="17" spans="1:6" ht="27" customHeight="1">
      <c r="A17" s="169">
        <v>22106</v>
      </c>
      <c r="B17" s="66" t="s">
        <v>84</v>
      </c>
      <c r="C17" s="66">
        <v>0</v>
      </c>
      <c r="D17" s="66">
        <v>0</v>
      </c>
      <c r="E17" s="66">
        <v>0</v>
      </c>
      <c r="F17" s="100">
        <f t="shared" si="0"/>
        <v>0</v>
      </c>
    </row>
    <row r="18" spans="1:6" ht="27" customHeight="1">
      <c r="A18" s="169">
        <v>22107</v>
      </c>
      <c r="B18" s="66" t="s">
        <v>30</v>
      </c>
      <c r="C18" s="66">
        <v>0</v>
      </c>
      <c r="D18" s="66">
        <v>21824760</v>
      </c>
      <c r="E18" s="66">
        <v>21824760</v>
      </c>
      <c r="F18" s="100">
        <f t="shared" si="0"/>
        <v>0</v>
      </c>
    </row>
    <row r="19" spans="1:6" ht="27" customHeight="1">
      <c r="A19" s="169">
        <v>22108</v>
      </c>
      <c r="B19" s="66" t="s">
        <v>60</v>
      </c>
      <c r="C19" s="66">
        <v>0</v>
      </c>
      <c r="D19" s="66">
        <v>0</v>
      </c>
      <c r="E19" s="66">
        <v>0</v>
      </c>
      <c r="F19" s="100">
        <f t="shared" si="0"/>
        <v>0</v>
      </c>
    </row>
    <row r="20" spans="1:6" ht="27" customHeight="1">
      <c r="A20" s="169">
        <v>22109</v>
      </c>
      <c r="B20" s="66" t="s">
        <v>94</v>
      </c>
      <c r="C20" s="66">
        <v>0</v>
      </c>
      <c r="D20" s="66">
        <f>13937600*70%</f>
        <v>9756320</v>
      </c>
      <c r="E20" s="66">
        <f>13937600*70%</f>
        <v>9756320</v>
      </c>
      <c r="F20" s="100">
        <f t="shared" si="0"/>
        <v>0</v>
      </c>
    </row>
    <row r="21" spans="1:6" ht="27" customHeight="1">
      <c r="A21" s="169">
        <v>22112</v>
      </c>
      <c r="B21" s="66" t="s">
        <v>16</v>
      </c>
      <c r="C21" s="66">
        <v>0</v>
      </c>
      <c r="D21" s="66">
        <v>19934960</v>
      </c>
      <c r="E21" s="66">
        <v>19934960</v>
      </c>
      <c r="F21" s="100">
        <f t="shared" si="0"/>
        <v>0</v>
      </c>
    </row>
    <row r="22" spans="1:6" ht="27" customHeight="1">
      <c r="A22" s="169">
        <v>22114</v>
      </c>
      <c r="B22" s="66" t="s">
        <v>195</v>
      </c>
      <c r="C22" s="66">
        <v>0</v>
      </c>
      <c r="D22" s="66">
        <v>0</v>
      </c>
      <c r="E22" s="66">
        <v>0</v>
      </c>
      <c r="F22" s="100">
        <f t="shared" si="0"/>
        <v>0</v>
      </c>
    </row>
    <row r="23" spans="1:6" ht="27" customHeight="1">
      <c r="A23" s="169">
        <v>22132</v>
      </c>
      <c r="B23" s="66" t="s">
        <v>144</v>
      </c>
      <c r="C23" s="66">
        <v>0</v>
      </c>
      <c r="D23" s="66">
        <v>0</v>
      </c>
      <c r="E23" s="66">
        <v>0</v>
      </c>
      <c r="F23" s="100">
        <f t="shared" si="0"/>
        <v>0</v>
      </c>
    </row>
    <row r="24" spans="1:6" ht="27" customHeight="1">
      <c r="A24" s="169">
        <v>22141</v>
      </c>
      <c r="B24" s="66" t="s">
        <v>893</v>
      </c>
      <c r="C24" s="66"/>
      <c r="D24" s="66">
        <v>0</v>
      </c>
      <c r="E24" s="66">
        <v>158400000</v>
      </c>
      <c r="F24" s="100">
        <f t="shared" si="0"/>
        <v>158400000</v>
      </c>
    </row>
    <row r="25" spans="1:6" ht="27" customHeight="1">
      <c r="A25" s="169">
        <v>22163</v>
      </c>
      <c r="B25" s="66" t="s">
        <v>644</v>
      </c>
      <c r="C25" s="66">
        <v>0</v>
      </c>
      <c r="D25" s="66">
        <v>100000000</v>
      </c>
      <c r="E25" s="66">
        <v>100000000</v>
      </c>
      <c r="F25" s="100">
        <f t="shared" si="0"/>
        <v>0</v>
      </c>
    </row>
    <row r="26" spans="1:6" ht="27" customHeight="1">
      <c r="A26" s="249">
        <v>0</v>
      </c>
      <c r="B26" s="106" t="s">
        <v>59</v>
      </c>
      <c r="C26" s="106">
        <v>0</v>
      </c>
      <c r="D26" s="106">
        <f>SUM(D12:D25)</f>
        <v>230619555</v>
      </c>
      <c r="E26" s="106">
        <f>SUM(E12:E25)</f>
        <v>547419555</v>
      </c>
      <c r="F26" s="105">
        <f t="shared" si="0"/>
        <v>316800000</v>
      </c>
    </row>
    <row r="27" spans="1:6" ht="27" customHeight="1">
      <c r="A27" s="249">
        <v>2220</v>
      </c>
      <c r="B27" s="106" t="s">
        <v>161</v>
      </c>
      <c r="C27" s="66"/>
      <c r="D27" s="66"/>
      <c r="E27" s="66"/>
      <c r="F27" s="100">
        <f t="shared" si="0"/>
        <v>0</v>
      </c>
    </row>
    <row r="28" spans="1:6" ht="27" customHeight="1">
      <c r="A28" s="169">
        <v>22201</v>
      </c>
      <c r="B28" s="66" t="s">
        <v>90</v>
      </c>
      <c r="C28" s="66">
        <v>0</v>
      </c>
      <c r="D28" s="66">
        <v>0</v>
      </c>
      <c r="E28" s="66">
        <v>0</v>
      </c>
      <c r="F28" s="100">
        <f t="shared" si="0"/>
        <v>0</v>
      </c>
    </row>
    <row r="29" spans="1:6" ht="27" customHeight="1">
      <c r="A29" s="169">
        <v>22202</v>
      </c>
      <c r="B29" s="66" t="s">
        <v>91</v>
      </c>
      <c r="C29" s="66">
        <v>0</v>
      </c>
      <c r="D29" s="66">
        <v>200968000</v>
      </c>
      <c r="E29" s="66">
        <v>200968000</v>
      </c>
      <c r="F29" s="100">
        <f t="shared" si="0"/>
        <v>0</v>
      </c>
    </row>
    <row r="30" spans="1:6" ht="27" customHeight="1">
      <c r="A30" s="169">
        <v>22203</v>
      </c>
      <c r="B30" s="66" t="s">
        <v>85</v>
      </c>
      <c r="C30" s="66">
        <v>0</v>
      </c>
      <c r="D30" s="66">
        <v>14820400</v>
      </c>
      <c r="E30" s="66">
        <v>14820400</v>
      </c>
      <c r="F30" s="100">
        <f t="shared" si="0"/>
        <v>0</v>
      </c>
    </row>
    <row r="31" spans="1:6" ht="27" customHeight="1">
      <c r="A31" s="169">
        <v>22204</v>
      </c>
      <c r="B31" s="66" t="s">
        <v>86</v>
      </c>
      <c r="C31" s="66">
        <v>0</v>
      </c>
      <c r="D31" s="66">
        <f>7667915*70%</f>
        <v>5367540.5</v>
      </c>
      <c r="E31" s="66">
        <f>7667915*70%</f>
        <v>5367540.5</v>
      </c>
      <c r="F31" s="100">
        <f t="shared" si="0"/>
        <v>0</v>
      </c>
    </row>
    <row r="32" spans="1:6" ht="27" customHeight="1">
      <c r="A32" s="169">
        <v>22208</v>
      </c>
      <c r="B32" s="66" t="s">
        <v>196</v>
      </c>
      <c r="C32" s="66">
        <v>0</v>
      </c>
      <c r="D32" s="66">
        <v>0</v>
      </c>
      <c r="E32" s="66">
        <v>0</v>
      </c>
      <c r="F32" s="100">
        <f t="shared" si="0"/>
        <v>0</v>
      </c>
    </row>
    <row r="33" spans="1:6" ht="27" customHeight="1">
      <c r="A33" s="169"/>
      <c r="B33" s="106" t="s">
        <v>59</v>
      </c>
      <c r="C33" s="106">
        <v>0</v>
      </c>
      <c r="D33" s="106">
        <f>SUM(D28:D32)</f>
        <v>221155940.5</v>
      </c>
      <c r="E33" s="106">
        <f>SUM(E28:E32)</f>
        <v>221155940.5</v>
      </c>
      <c r="F33" s="105">
        <f t="shared" si="0"/>
        <v>0</v>
      </c>
    </row>
    <row r="34" spans="1:6" ht="27" customHeight="1">
      <c r="A34" s="249">
        <v>2230</v>
      </c>
      <c r="B34" s="106" t="s">
        <v>88</v>
      </c>
      <c r="C34" s="66"/>
      <c r="D34" s="66"/>
      <c r="E34" s="66"/>
      <c r="F34" s="100">
        <f t="shared" si="0"/>
        <v>0</v>
      </c>
    </row>
    <row r="35" spans="1:6" ht="27" customHeight="1">
      <c r="A35" s="169">
        <v>22301</v>
      </c>
      <c r="B35" s="66" t="s">
        <v>31</v>
      </c>
      <c r="C35" s="66">
        <v>0</v>
      </c>
      <c r="D35" s="66">
        <v>27854400</v>
      </c>
      <c r="E35" s="66">
        <v>27854400</v>
      </c>
      <c r="F35" s="100">
        <f t="shared" si="0"/>
        <v>0</v>
      </c>
    </row>
    <row r="36" spans="1:6" ht="27" customHeight="1">
      <c r="A36" s="169">
        <v>22302</v>
      </c>
      <c r="B36" s="66" t="s">
        <v>162</v>
      </c>
      <c r="C36" s="66">
        <v>0</v>
      </c>
      <c r="D36" s="66">
        <v>0</v>
      </c>
      <c r="E36" s="66">
        <v>0</v>
      </c>
      <c r="F36" s="100">
        <f t="shared" si="0"/>
        <v>0</v>
      </c>
    </row>
    <row r="37" spans="1:6" ht="27" customHeight="1">
      <c r="A37" s="169">
        <v>22303</v>
      </c>
      <c r="B37" s="66" t="s">
        <v>217</v>
      </c>
      <c r="C37" s="66">
        <v>0</v>
      </c>
      <c r="D37" s="66">
        <v>1032000000</v>
      </c>
      <c r="E37" s="66">
        <v>1032000000</v>
      </c>
      <c r="F37" s="100">
        <f t="shared" si="0"/>
        <v>0</v>
      </c>
    </row>
    <row r="38" spans="1:6" ht="27" customHeight="1">
      <c r="A38" s="169">
        <v>22304</v>
      </c>
      <c r="B38" s="66" t="s">
        <v>106</v>
      </c>
      <c r="C38" s="66">
        <v>0</v>
      </c>
      <c r="D38" s="66">
        <v>0</v>
      </c>
      <c r="E38" s="66">
        <v>0</v>
      </c>
      <c r="F38" s="100">
        <f t="shared" si="0"/>
        <v>0</v>
      </c>
    </row>
    <row r="39" spans="1:6" ht="27" customHeight="1">
      <c r="A39" s="169">
        <v>22305</v>
      </c>
      <c r="B39" s="66" t="s">
        <v>107</v>
      </c>
      <c r="C39" s="66">
        <v>0</v>
      </c>
      <c r="D39" s="66">
        <v>0</v>
      </c>
      <c r="E39" s="66">
        <v>0</v>
      </c>
      <c r="F39" s="100">
        <f t="shared" si="0"/>
        <v>0</v>
      </c>
    </row>
    <row r="40" spans="1:6" ht="27" customHeight="1">
      <c r="A40" s="169">
        <v>22314</v>
      </c>
      <c r="B40" s="66" t="s">
        <v>163</v>
      </c>
      <c r="C40" s="66">
        <v>0</v>
      </c>
      <c r="D40" s="66">
        <f>1489600*70%</f>
        <v>1042719.9999999999</v>
      </c>
      <c r="E40" s="66">
        <f>1489600*70%</f>
        <v>1042719.9999999999</v>
      </c>
      <c r="F40" s="100">
        <f t="shared" si="0"/>
        <v>0</v>
      </c>
    </row>
    <row r="41" spans="1:6" ht="27" customHeight="1">
      <c r="A41" s="249"/>
      <c r="B41" s="106" t="s">
        <v>59</v>
      </c>
      <c r="C41" s="105">
        <v>0</v>
      </c>
      <c r="D41" s="105">
        <f>SUM(D35:D40)</f>
        <v>1060897120</v>
      </c>
      <c r="E41" s="105">
        <f>SUM(E35:E40)</f>
        <v>1060897120</v>
      </c>
      <c r="F41" s="105">
        <f t="shared" si="0"/>
        <v>0</v>
      </c>
    </row>
    <row r="42" spans="1:6" ht="27" customHeight="1">
      <c r="A42" s="249">
        <v>230</v>
      </c>
      <c r="B42" s="106" t="s">
        <v>165</v>
      </c>
      <c r="C42" s="118"/>
      <c r="D42" s="118"/>
      <c r="E42" s="118"/>
      <c r="F42" s="100">
        <f t="shared" si="0"/>
        <v>0</v>
      </c>
    </row>
    <row r="43" spans="1:6" ht="27" customHeight="1">
      <c r="A43" s="249">
        <v>2310</v>
      </c>
      <c r="B43" s="106" t="s">
        <v>164</v>
      </c>
      <c r="C43" s="118"/>
      <c r="D43" s="118"/>
      <c r="E43" s="118"/>
      <c r="F43" s="100">
        <f t="shared" si="0"/>
        <v>0</v>
      </c>
    </row>
    <row r="44" spans="1:6" ht="27" customHeight="1">
      <c r="A44" s="169">
        <v>23102</v>
      </c>
      <c r="B44" s="66" t="s">
        <v>194</v>
      </c>
      <c r="C44" s="66">
        <v>0</v>
      </c>
      <c r="D44" s="66">
        <v>240000000</v>
      </c>
      <c r="E44" s="66">
        <v>0</v>
      </c>
      <c r="F44" s="100">
        <f t="shared" si="0"/>
        <v>-240000000</v>
      </c>
    </row>
    <row r="45" spans="1:6" ht="27" customHeight="1">
      <c r="A45" s="169">
        <v>23103</v>
      </c>
      <c r="B45" s="66" t="s">
        <v>106</v>
      </c>
      <c r="C45" s="66">
        <v>0</v>
      </c>
      <c r="D45" s="66">
        <v>0</v>
      </c>
      <c r="E45" s="66">
        <v>0</v>
      </c>
      <c r="F45" s="100">
        <f t="shared" si="0"/>
        <v>0</v>
      </c>
    </row>
    <row r="46" spans="1:6" ht="27" customHeight="1">
      <c r="A46" s="169"/>
      <c r="B46" s="106" t="s">
        <v>59</v>
      </c>
      <c r="C46" s="105">
        <v>0</v>
      </c>
      <c r="D46" s="105">
        <f>SUM(D44:D45)</f>
        <v>240000000</v>
      </c>
      <c r="E46" s="105">
        <f>SUM(E44:E45)</f>
        <v>0</v>
      </c>
      <c r="F46" s="105">
        <f t="shared" si="0"/>
        <v>-240000000</v>
      </c>
    </row>
    <row r="47" spans="1:6" ht="27" customHeight="1">
      <c r="A47" s="169">
        <v>2320</v>
      </c>
      <c r="B47" s="106" t="s">
        <v>342</v>
      </c>
      <c r="C47" s="105"/>
      <c r="D47" s="105"/>
      <c r="E47" s="105"/>
      <c r="F47" s="105">
        <f t="shared" si="0"/>
        <v>0</v>
      </c>
    </row>
    <row r="48" spans="1:6" ht="27" customHeight="1">
      <c r="A48" s="169">
        <v>23201</v>
      </c>
      <c r="B48" s="66" t="s">
        <v>862</v>
      </c>
      <c r="C48" s="105"/>
      <c r="D48" s="105"/>
      <c r="E48" s="100">
        <v>1400000000</v>
      </c>
      <c r="F48" s="105">
        <f t="shared" si="0"/>
        <v>1400000000</v>
      </c>
    </row>
    <row r="49" spans="1:6" ht="27" customHeight="1">
      <c r="A49" s="169"/>
      <c r="B49" s="106" t="s">
        <v>59</v>
      </c>
      <c r="C49" s="105"/>
      <c r="D49" s="105"/>
      <c r="E49" s="105">
        <f>SUM(E48)</f>
        <v>1400000000</v>
      </c>
      <c r="F49" s="105">
        <f t="shared" si="0"/>
        <v>1400000000</v>
      </c>
    </row>
    <row r="50" spans="1:6" ht="27" customHeight="1">
      <c r="A50" s="169"/>
      <c r="B50" s="106" t="s">
        <v>18</v>
      </c>
      <c r="C50" s="105">
        <v>0</v>
      </c>
      <c r="D50" s="105">
        <f>D46+D41+D33+D26+D9</f>
        <v>3112288935.5</v>
      </c>
      <c r="E50" s="105">
        <f>E49+E46+E41+E33+E26+E9</f>
        <v>4740375335.5</v>
      </c>
      <c r="F50" s="105">
        <f t="shared" si="0"/>
        <v>1628086400</v>
      </c>
    </row>
  </sheetData>
  <pageMargins left="0.7" right="0.7" top="0.75" bottom="0.75" header="0.3" footer="0.3"/>
  <pageSetup scale="50" orientation="portrait" verticalDpi="300" r:id="rId1"/>
  <headerFooter>
    <oddHeader>&amp;C&amp;"Algerian,Bold"&amp;36WASAARADDA BIYAHA</oddHeader>
    <oddFooter>&amp;R&amp;"Times New Roman,Bold"&amp;18 58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CG43"/>
  <sheetViews>
    <sheetView view="pageBreakPreview" topLeftCell="B1" zoomScale="60" workbookViewId="0">
      <selection activeCell="Q8" sqref="Q8"/>
    </sheetView>
  </sheetViews>
  <sheetFormatPr defaultRowHeight="30" customHeight="1"/>
  <cols>
    <col min="1" max="1" width="17.5" style="264" customWidth="1"/>
    <col min="2" max="2" width="82.33203125" style="258" customWidth="1"/>
    <col min="3" max="3" width="22.33203125" style="258" hidden="1" customWidth="1"/>
    <col min="4" max="4" width="0.1640625" style="258" hidden="1" customWidth="1"/>
    <col min="5" max="5" width="29" style="258" hidden="1" customWidth="1"/>
    <col min="6" max="6" width="0.6640625" style="258" hidden="1" customWidth="1"/>
    <col min="7" max="8" width="25.5" style="258" hidden="1" customWidth="1"/>
    <col min="9" max="10" width="24.5" style="258" hidden="1" customWidth="1"/>
    <col min="11" max="11" width="0.1640625" style="258" customWidth="1"/>
    <col min="12" max="12" width="29.83203125" style="258" bestFit="1" customWidth="1"/>
    <col min="13" max="13" width="29.83203125" style="258" customWidth="1"/>
    <col min="14" max="14" width="25.1640625" style="258" bestFit="1" customWidth="1"/>
    <col min="15" max="15" width="25.1640625" style="258" customWidth="1"/>
    <col min="16" max="16384" width="9.33203125" style="258"/>
  </cols>
  <sheetData>
    <row r="1" spans="1:85" s="255" customFormat="1" ht="29.1" customHeight="1">
      <c r="A1" s="249" t="s">
        <v>20</v>
      </c>
      <c r="B1" s="250" t="s">
        <v>965</v>
      </c>
      <c r="C1" s="106"/>
      <c r="D1" s="106"/>
      <c r="E1" s="106"/>
      <c r="F1" s="106"/>
      <c r="G1" s="106"/>
      <c r="H1" s="106"/>
      <c r="I1" s="251"/>
      <c r="J1" s="118"/>
      <c r="K1" s="118"/>
      <c r="L1" s="118"/>
      <c r="M1" s="118"/>
      <c r="N1" s="252"/>
      <c r="O1" s="253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</row>
    <row r="2" spans="1:85" ht="29.1" customHeight="1">
      <c r="A2" s="249" t="s">
        <v>6</v>
      </c>
      <c r="B2" s="130" t="s">
        <v>7</v>
      </c>
      <c r="C2" s="112" t="s">
        <v>33</v>
      </c>
      <c r="D2" s="112" t="s">
        <v>41</v>
      </c>
      <c r="E2" s="112" t="s">
        <v>66</v>
      </c>
      <c r="F2" s="112" t="s">
        <v>71</v>
      </c>
      <c r="G2" s="112" t="s">
        <v>96</v>
      </c>
      <c r="H2" s="112" t="s">
        <v>166</v>
      </c>
      <c r="I2" s="256" t="s">
        <v>318</v>
      </c>
      <c r="J2" s="256" t="s">
        <v>530</v>
      </c>
      <c r="K2" s="118"/>
      <c r="L2" s="256" t="s">
        <v>605</v>
      </c>
      <c r="M2" s="256" t="s">
        <v>721</v>
      </c>
      <c r="N2" s="106" t="s">
        <v>29</v>
      </c>
      <c r="O2" s="257"/>
    </row>
    <row r="3" spans="1:85" ht="29.1" customHeight="1">
      <c r="A3" s="249">
        <v>210</v>
      </c>
      <c r="B3" s="106" t="s">
        <v>95</v>
      </c>
      <c r="C3" s="66"/>
      <c r="D3" s="66"/>
      <c r="E3" s="66"/>
      <c r="F3" s="66"/>
      <c r="G3" s="66"/>
      <c r="H3" s="66"/>
      <c r="I3" s="118"/>
      <c r="J3" s="118"/>
      <c r="K3" s="118"/>
      <c r="L3" s="118"/>
      <c r="M3" s="118"/>
      <c r="N3" s="252"/>
      <c r="O3" s="253"/>
    </row>
    <row r="4" spans="1:85" ht="29.1" customHeight="1">
      <c r="A4" s="249">
        <v>2110</v>
      </c>
      <c r="B4" s="106" t="s">
        <v>155</v>
      </c>
      <c r="C4" s="66">
        <v>0</v>
      </c>
      <c r="D4" s="100">
        <v>15624000</v>
      </c>
      <c r="E4" s="100">
        <f>20311200+3198000</f>
        <v>23509200</v>
      </c>
      <c r="F4" s="100">
        <v>23509200</v>
      </c>
      <c r="G4" s="100"/>
      <c r="H4" s="100"/>
      <c r="I4" s="100"/>
      <c r="J4" s="100"/>
      <c r="K4" s="118"/>
      <c r="L4" s="100"/>
      <c r="M4" s="100"/>
      <c r="N4" s="252"/>
      <c r="O4" s="253"/>
    </row>
    <row r="5" spans="1:85" ht="29.1" customHeight="1">
      <c r="A5" s="169">
        <v>21101</v>
      </c>
      <c r="B5" s="66" t="s">
        <v>9</v>
      </c>
      <c r="C5" s="66">
        <v>0</v>
      </c>
      <c r="D5" s="259">
        <v>124320000</v>
      </c>
      <c r="E5" s="259">
        <v>124320000</v>
      </c>
      <c r="F5" s="259">
        <v>124320000</v>
      </c>
      <c r="G5" s="259">
        <v>23509200</v>
      </c>
      <c r="H5" s="259" t="e">
        <f>#REF!</f>
        <v>#REF!</v>
      </c>
      <c r="I5" s="259">
        <v>185140800</v>
      </c>
      <c r="J5" s="259">
        <v>185140800</v>
      </c>
      <c r="K5" s="118"/>
      <c r="L5" s="259">
        <v>278703360</v>
      </c>
      <c r="M5" s="259">
        <v>319812480</v>
      </c>
      <c r="N5" s="252">
        <f>M5-L5</f>
        <v>41109120</v>
      </c>
      <c r="O5" s="253"/>
    </row>
    <row r="6" spans="1:85" ht="29.1" customHeight="1">
      <c r="A6" s="169">
        <v>21102</v>
      </c>
      <c r="B6" s="66" t="s">
        <v>565</v>
      </c>
      <c r="C6" s="66">
        <v>0</v>
      </c>
      <c r="D6" s="100">
        <v>6000000</v>
      </c>
      <c r="E6" s="100">
        <v>6000000</v>
      </c>
      <c r="F6" s="100">
        <v>6000000</v>
      </c>
      <c r="G6" s="100">
        <v>124320000</v>
      </c>
      <c r="H6" s="100">
        <v>124320000</v>
      </c>
      <c r="I6" s="100">
        <v>130320000</v>
      </c>
      <c r="J6" s="100">
        <v>126000000</v>
      </c>
      <c r="K6" s="118"/>
      <c r="L6" s="100">
        <v>276000000</v>
      </c>
      <c r="M6" s="100">
        <v>276000000</v>
      </c>
      <c r="N6" s="252">
        <f t="shared" ref="N6:N42" si="0">M6-L6</f>
        <v>0</v>
      </c>
      <c r="O6" s="253"/>
    </row>
    <row r="7" spans="1:85" ht="29.1" customHeight="1">
      <c r="A7" s="169">
        <v>21103</v>
      </c>
      <c r="B7" s="66" t="s">
        <v>531</v>
      </c>
      <c r="C7" s="66">
        <v>0</v>
      </c>
      <c r="D7" s="70">
        <v>20800000</v>
      </c>
      <c r="E7" s="70">
        <v>15491840</v>
      </c>
      <c r="F7" s="70">
        <v>17500000</v>
      </c>
      <c r="G7" s="70">
        <v>6000000</v>
      </c>
      <c r="H7" s="70">
        <v>6000000</v>
      </c>
      <c r="I7" s="70">
        <v>66000000</v>
      </c>
      <c r="J7" s="70">
        <v>66000000</v>
      </c>
      <c r="K7" s="118"/>
      <c r="L7" s="70">
        <v>156000000</v>
      </c>
      <c r="M7" s="70">
        <v>156000000</v>
      </c>
      <c r="N7" s="252">
        <f t="shared" si="0"/>
        <v>0</v>
      </c>
      <c r="O7" s="253"/>
    </row>
    <row r="8" spans="1:85" ht="29.1" customHeight="1">
      <c r="A8" s="249">
        <v>2120</v>
      </c>
      <c r="B8" s="106" t="s">
        <v>156</v>
      </c>
      <c r="C8" s="66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118"/>
      <c r="L8" s="70">
        <v>0</v>
      </c>
      <c r="M8" s="70">
        <v>0</v>
      </c>
      <c r="N8" s="252">
        <f t="shared" si="0"/>
        <v>0</v>
      </c>
      <c r="O8" s="253"/>
    </row>
    <row r="9" spans="1:85" ht="29.1" customHeight="1">
      <c r="A9" s="169">
        <v>21203</v>
      </c>
      <c r="B9" s="66" t="s">
        <v>158</v>
      </c>
      <c r="C9" s="66">
        <v>0</v>
      </c>
      <c r="D9" s="70"/>
      <c r="E9" s="70"/>
      <c r="F9" s="70"/>
      <c r="G9" s="70">
        <v>0</v>
      </c>
      <c r="H9" s="70">
        <v>0</v>
      </c>
      <c r="I9" s="70">
        <v>0</v>
      </c>
      <c r="J9" s="70">
        <v>0</v>
      </c>
      <c r="K9" s="118"/>
      <c r="L9" s="70">
        <v>0</v>
      </c>
      <c r="M9" s="70">
        <v>0</v>
      </c>
      <c r="N9" s="252">
        <f t="shared" si="0"/>
        <v>0</v>
      </c>
      <c r="O9" s="253"/>
    </row>
    <row r="10" spans="1:85" ht="29.1" customHeight="1">
      <c r="A10" s="169"/>
      <c r="B10" s="106" t="s">
        <v>59</v>
      </c>
      <c r="C10" s="66">
        <v>0</v>
      </c>
      <c r="D10" s="70">
        <v>0</v>
      </c>
      <c r="E10" s="70">
        <v>0</v>
      </c>
      <c r="F10" s="70">
        <v>0</v>
      </c>
      <c r="G10" s="111">
        <f>SUM(G5:G9)</f>
        <v>153829200</v>
      </c>
      <c r="H10" s="111" t="e">
        <f>SUM(H5:H9)</f>
        <v>#REF!</v>
      </c>
      <c r="I10" s="111">
        <f>SUM(I5:I9)</f>
        <v>381460800</v>
      </c>
      <c r="J10" s="111">
        <f>SUM(J5:J9)</f>
        <v>377140800</v>
      </c>
      <c r="K10" s="118"/>
      <c r="L10" s="111">
        <f>SUM(L5:L9)</f>
        <v>710703360</v>
      </c>
      <c r="M10" s="111">
        <f>SUM(M5:M9)</f>
        <v>751812480</v>
      </c>
      <c r="N10" s="260">
        <f t="shared" si="0"/>
        <v>41109120</v>
      </c>
      <c r="O10" s="253"/>
    </row>
    <row r="11" spans="1:85" ht="29.1" customHeight="1">
      <c r="A11" s="249">
        <v>220</v>
      </c>
      <c r="B11" s="106" t="s">
        <v>159</v>
      </c>
      <c r="C11" s="66">
        <v>0</v>
      </c>
      <c r="D11" s="70">
        <v>0</v>
      </c>
      <c r="E11" s="70">
        <v>0</v>
      </c>
      <c r="F11" s="70">
        <v>0</v>
      </c>
      <c r="G11" s="70"/>
      <c r="H11" s="70"/>
      <c r="I11" s="70"/>
      <c r="J11" s="70"/>
      <c r="K11" s="118"/>
      <c r="L11" s="70"/>
      <c r="M11" s="70"/>
      <c r="N11" s="252">
        <f t="shared" si="0"/>
        <v>0</v>
      </c>
      <c r="O11" s="253"/>
    </row>
    <row r="12" spans="1:85" ht="29.1" customHeight="1">
      <c r="A12" s="249">
        <v>2210</v>
      </c>
      <c r="B12" s="106" t="s">
        <v>160</v>
      </c>
      <c r="C12" s="66">
        <v>0</v>
      </c>
      <c r="D12" s="70">
        <v>0</v>
      </c>
      <c r="E12" s="70">
        <v>0</v>
      </c>
      <c r="F12" s="70">
        <v>3000000</v>
      </c>
      <c r="G12" s="70"/>
      <c r="H12" s="70"/>
      <c r="I12" s="70"/>
      <c r="J12" s="70"/>
      <c r="K12" s="118"/>
      <c r="L12" s="70"/>
      <c r="M12" s="70"/>
      <c r="N12" s="252">
        <f t="shared" si="0"/>
        <v>0</v>
      </c>
      <c r="O12" s="253"/>
    </row>
    <row r="13" spans="1:85" ht="29.1" customHeight="1">
      <c r="A13" s="169">
        <v>22101</v>
      </c>
      <c r="B13" s="66" t="s">
        <v>14</v>
      </c>
      <c r="C13" s="66"/>
      <c r="D13" s="70"/>
      <c r="E13" s="70"/>
      <c r="F13" s="70"/>
      <c r="G13" s="70">
        <v>0</v>
      </c>
      <c r="H13" s="70">
        <v>0</v>
      </c>
      <c r="I13" s="70">
        <v>0</v>
      </c>
      <c r="J13" s="70">
        <v>0</v>
      </c>
      <c r="K13" s="118"/>
      <c r="L13" s="70">
        <v>26000000</v>
      </c>
      <c r="M13" s="70">
        <v>26000000</v>
      </c>
      <c r="N13" s="252">
        <f t="shared" si="0"/>
        <v>0</v>
      </c>
      <c r="O13" s="253"/>
    </row>
    <row r="14" spans="1:85" ht="29.1" customHeight="1">
      <c r="A14" s="169">
        <v>22104</v>
      </c>
      <c r="B14" s="66" t="s">
        <v>116</v>
      </c>
      <c r="C14" s="66">
        <v>0</v>
      </c>
      <c r="D14" s="70">
        <v>0</v>
      </c>
      <c r="E14" s="70">
        <v>0</v>
      </c>
      <c r="F14" s="70">
        <v>0</v>
      </c>
      <c r="G14" s="70">
        <v>30000000</v>
      </c>
      <c r="H14" s="70">
        <f>G14*70%</f>
        <v>21000000</v>
      </c>
      <c r="I14" s="70">
        <f>H14</f>
        <v>21000000</v>
      </c>
      <c r="J14" s="70">
        <f>I14</f>
        <v>21000000</v>
      </c>
      <c r="K14" s="118"/>
      <c r="L14" s="70">
        <v>50000000</v>
      </c>
      <c r="M14" s="70">
        <v>50000000</v>
      </c>
      <c r="N14" s="252">
        <f t="shared" si="0"/>
        <v>0</v>
      </c>
      <c r="O14" s="253"/>
    </row>
    <row r="15" spans="1:85" ht="29.1" customHeight="1">
      <c r="A15" s="169">
        <v>22105</v>
      </c>
      <c r="B15" s="66" t="s">
        <v>93</v>
      </c>
      <c r="C15" s="66">
        <v>0</v>
      </c>
      <c r="D15" s="70">
        <v>18000000</v>
      </c>
      <c r="E15" s="70">
        <v>9682400</v>
      </c>
      <c r="F15" s="70">
        <v>9682400</v>
      </c>
      <c r="G15" s="70">
        <v>0</v>
      </c>
      <c r="H15" s="70">
        <v>0</v>
      </c>
      <c r="I15" s="70">
        <v>0</v>
      </c>
      <c r="J15" s="70">
        <v>0</v>
      </c>
      <c r="K15" s="118"/>
      <c r="L15" s="70">
        <v>0</v>
      </c>
      <c r="M15" s="70">
        <v>0</v>
      </c>
      <c r="N15" s="252">
        <f t="shared" si="0"/>
        <v>0</v>
      </c>
      <c r="O15" s="253"/>
    </row>
    <row r="16" spans="1:85" ht="29.1" customHeight="1">
      <c r="A16" s="169">
        <v>22106</v>
      </c>
      <c r="B16" s="66" t="s">
        <v>84</v>
      </c>
      <c r="C16" s="66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118"/>
      <c r="L16" s="70">
        <v>0</v>
      </c>
      <c r="M16" s="70">
        <v>0</v>
      </c>
      <c r="N16" s="252">
        <f t="shared" si="0"/>
        <v>0</v>
      </c>
      <c r="O16" s="253"/>
    </row>
    <row r="17" spans="1:15" ht="29.1" customHeight="1">
      <c r="A17" s="169">
        <v>22107</v>
      </c>
      <c r="B17" s="66" t="s">
        <v>30</v>
      </c>
      <c r="C17" s="66">
        <v>0</v>
      </c>
      <c r="D17" s="70">
        <v>0</v>
      </c>
      <c r="E17" s="70">
        <v>0</v>
      </c>
      <c r="F17" s="70">
        <v>0</v>
      </c>
      <c r="G17" s="70">
        <v>9682400</v>
      </c>
      <c r="H17" s="70">
        <v>6771680</v>
      </c>
      <c r="I17" s="70">
        <f>H17*70%</f>
        <v>4740176</v>
      </c>
      <c r="J17" s="70">
        <v>4740176</v>
      </c>
      <c r="K17" s="118"/>
      <c r="L17" s="70">
        <v>32500000</v>
      </c>
      <c r="M17" s="70">
        <v>32500000</v>
      </c>
      <c r="N17" s="252">
        <f t="shared" si="0"/>
        <v>0</v>
      </c>
      <c r="O17" s="253"/>
    </row>
    <row r="18" spans="1:15" ht="29.1" customHeight="1">
      <c r="A18" s="169">
        <v>22108</v>
      </c>
      <c r="B18" s="66" t="s">
        <v>564</v>
      </c>
      <c r="C18" s="66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4320000</v>
      </c>
      <c r="K18" s="118"/>
      <c r="L18" s="70">
        <v>7200000</v>
      </c>
      <c r="M18" s="70">
        <v>7200000</v>
      </c>
      <c r="N18" s="252">
        <f t="shared" si="0"/>
        <v>0</v>
      </c>
      <c r="O18" s="253"/>
    </row>
    <row r="19" spans="1:15" ht="29.1" customHeight="1">
      <c r="A19" s="169">
        <v>22109</v>
      </c>
      <c r="B19" s="66" t="s">
        <v>94</v>
      </c>
      <c r="C19" s="66">
        <v>0</v>
      </c>
      <c r="D19" s="70">
        <v>6000000</v>
      </c>
      <c r="E19" s="70">
        <v>4468800</v>
      </c>
      <c r="F19" s="70">
        <v>4468800</v>
      </c>
      <c r="G19" s="70">
        <v>4468800</v>
      </c>
      <c r="H19" s="70">
        <v>4468800</v>
      </c>
      <c r="I19" s="70">
        <v>4468800</v>
      </c>
      <c r="J19" s="70">
        <v>4468800</v>
      </c>
      <c r="K19" s="118"/>
      <c r="L19" s="70">
        <v>10000000</v>
      </c>
      <c r="M19" s="70">
        <v>34000000</v>
      </c>
      <c r="N19" s="252">
        <f t="shared" si="0"/>
        <v>24000000</v>
      </c>
      <c r="O19" s="253"/>
    </row>
    <row r="20" spans="1:15" ht="29.1" customHeight="1">
      <c r="A20" s="169">
        <v>22112</v>
      </c>
      <c r="B20" s="66" t="s">
        <v>16</v>
      </c>
      <c r="C20" s="66">
        <v>0</v>
      </c>
      <c r="D20" s="70">
        <v>37516000</v>
      </c>
      <c r="E20" s="70">
        <v>22941917</v>
      </c>
      <c r="F20" s="70">
        <v>15000000</v>
      </c>
      <c r="G20" s="70">
        <v>14000000</v>
      </c>
      <c r="H20" s="70">
        <v>9800000</v>
      </c>
      <c r="I20" s="70">
        <v>9800000</v>
      </c>
      <c r="J20" s="70">
        <v>9800000</v>
      </c>
      <c r="K20" s="118"/>
      <c r="L20" s="70">
        <v>15000000</v>
      </c>
      <c r="M20" s="70">
        <v>15000000</v>
      </c>
      <c r="N20" s="252">
        <f t="shared" si="0"/>
        <v>0</v>
      </c>
      <c r="O20" s="253"/>
    </row>
    <row r="21" spans="1:15" ht="29.1" customHeight="1">
      <c r="A21" s="169">
        <v>22125</v>
      </c>
      <c r="B21" s="66" t="s">
        <v>541</v>
      </c>
      <c r="C21" s="66">
        <v>0</v>
      </c>
      <c r="D21" s="70">
        <v>0</v>
      </c>
      <c r="E21" s="70">
        <v>0</v>
      </c>
      <c r="F21" s="70">
        <v>0</v>
      </c>
      <c r="G21" s="70">
        <v>22941916</v>
      </c>
      <c r="H21" s="70">
        <f>22941916+180000000*70%</f>
        <v>148941916</v>
      </c>
      <c r="I21" s="70">
        <v>0</v>
      </c>
      <c r="J21" s="70">
        <v>148941916</v>
      </c>
      <c r="K21" s="118"/>
      <c r="L21" s="70">
        <v>297883832</v>
      </c>
      <c r="M21" s="70">
        <v>297883832</v>
      </c>
      <c r="N21" s="252">
        <f t="shared" si="0"/>
        <v>0</v>
      </c>
      <c r="O21" s="253"/>
    </row>
    <row r="22" spans="1:15" ht="29.1" customHeight="1">
      <c r="A22" s="169">
        <v>22141</v>
      </c>
      <c r="B22" s="66" t="s">
        <v>311</v>
      </c>
      <c r="C22" s="66"/>
      <c r="D22" s="70"/>
      <c r="E22" s="70"/>
      <c r="F22" s="70"/>
      <c r="G22" s="70"/>
      <c r="H22" s="70"/>
      <c r="I22" s="70"/>
      <c r="J22" s="70"/>
      <c r="K22" s="118"/>
      <c r="L22" s="70">
        <v>103737230</v>
      </c>
      <c r="M22" s="70">
        <v>0</v>
      </c>
      <c r="N22" s="252">
        <f t="shared" si="0"/>
        <v>-103737230</v>
      </c>
      <c r="O22" s="253"/>
    </row>
    <row r="23" spans="1:15" ht="29.1" customHeight="1">
      <c r="A23" s="169"/>
      <c r="B23" s="106" t="s">
        <v>59</v>
      </c>
      <c r="C23" s="66">
        <v>0</v>
      </c>
      <c r="D23" s="70">
        <v>0</v>
      </c>
      <c r="E23" s="70">
        <v>0</v>
      </c>
      <c r="F23" s="70">
        <v>0</v>
      </c>
      <c r="G23" s="111">
        <f>SUM(G13:G21)</f>
        <v>81093116</v>
      </c>
      <c r="H23" s="111">
        <f>SUM(H13:H21)</f>
        <v>190982396</v>
      </c>
      <c r="I23" s="111">
        <f>SUM(I13:I21)</f>
        <v>40008976</v>
      </c>
      <c r="J23" s="111">
        <f>SUM(J13:J21)</f>
        <v>193270892</v>
      </c>
      <c r="K23" s="118"/>
      <c r="L23" s="111">
        <f>SUM(L13:L22)</f>
        <v>542321062</v>
      </c>
      <c r="M23" s="111">
        <f>SUM(M13:M22)</f>
        <v>462583832</v>
      </c>
      <c r="N23" s="260">
        <f t="shared" si="0"/>
        <v>-79737230</v>
      </c>
      <c r="O23" s="253"/>
    </row>
    <row r="24" spans="1:15" ht="29.1" customHeight="1">
      <c r="A24" s="249">
        <v>2220</v>
      </c>
      <c r="B24" s="106" t="s">
        <v>161</v>
      </c>
      <c r="C24" s="66">
        <v>0</v>
      </c>
      <c r="D24" s="70">
        <v>0</v>
      </c>
      <c r="E24" s="70">
        <v>0</v>
      </c>
      <c r="F24" s="70">
        <v>0</v>
      </c>
      <c r="G24" s="70"/>
      <c r="H24" s="70"/>
      <c r="I24" s="70"/>
      <c r="J24" s="70"/>
      <c r="K24" s="118"/>
      <c r="L24" s="70"/>
      <c r="M24" s="70"/>
      <c r="N24" s="252">
        <f t="shared" si="0"/>
        <v>0</v>
      </c>
      <c r="O24" s="253"/>
    </row>
    <row r="25" spans="1:15" ht="29.1" customHeight="1">
      <c r="A25" s="169">
        <v>22201</v>
      </c>
      <c r="B25" s="66" t="s">
        <v>90</v>
      </c>
      <c r="C25" s="106">
        <v>0</v>
      </c>
      <c r="D25" s="111">
        <f>SUM(D14:D24)</f>
        <v>61516000</v>
      </c>
      <c r="E25" s="111">
        <f>SUM(E14:E24)</f>
        <v>37093117</v>
      </c>
      <c r="F25" s="111">
        <f>SUM(F14:F24)</f>
        <v>29151200</v>
      </c>
      <c r="G25" s="70">
        <v>0</v>
      </c>
      <c r="H25" s="70">
        <v>0</v>
      </c>
      <c r="I25" s="70">
        <v>0</v>
      </c>
      <c r="J25" s="70">
        <v>0</v>
      </c>
      <c r="K25" s="118"/>
      <c r="L25" s="70">
        <v>0</v>
      </c>
      <c r="M25" s="70">
        <v>0</v>
      </c>
      <c r="N25" s="252">
        <f t="shared" si="0"/>
        <v>0</v>
      </c>
      <c r="O25" s="253"/>
    </row>
    <row r="26" spans="1:15" ht="29.1" customHeight="1">
      <c r="A26" s="169">
        <v>22202</v>
      </c>
      <c r="B26" s="66" t="s">
        <v>91</v>
      </c>
      <c r="C26" s="106">
        <v>0</v>
      </c>
      <c r="D26" s="111" t="e">
        <f>D25+#REF!+#REF!+#REF!</f>
        <v>#REF!</v>
      </c>
      <c r="E26" s="111" t="e">
        <f>E25+#REF!+#REF!+#REF!+#REF!</f>
        <v>#REF!</v>
      </c>
      <c r="F26" s="111" t="e">
        <f>F25+#REF!+#REF!+#REF!+#REF!</f>
        <v>#REF!</v>
      </c>
      <c r="G26" s="70">
        <v>95000000</v>
      </c>
      <c r="H26" s="70">
        <f>95000000*70%</f>
        <v>66499999.999999993</v>
      </c>
      <c r="I26" s="70">
        <f>H26</f>
        <v>66499999.999999993</v>
      </c>
      <c r="J26" s="70">
        <f>I26</f>
        <v>66499999.999999993</v>
      </c>
      <c r="K26" s="118"/>
      <c r="L26" s="70">
        <v>133000000</v>
      </c>
      <c r="M26" s="261">
        <v>200000000</v>
      </c>
      <c r="N26" s="252">
        <f t="shared" si="0"/>
        <v>67000000</v>
      </c>
      <c r="O26" s="253"/>
    </row>
    <row r="27" spans="1:15" ht="29.1" customHeight="1">
      <c r="A27" s="169">
        <v>22203</v>
      </c>
      <c r="B27" s="66" t="s">
        <v>85</v>
      </c>
      <c r="C27" s="118"/>
      <c r="D27" s="118"/>
      <c r="E27" s="118"/>
      <c r="F27" s="118"/>
      <c r="G27" s="100">
        <v>15491840</v>
      </c>
      <c r="H27" s="100">
        <f>15491840*70%</f>
        <v>10844288</v>
      </c>
      <c r="I27" s="100">
        <f>15491840*70%</f>
        <v>10844288</v>
      </c>
      <c r="J27" s="100">
        <f>15491840*70%</f>
        <v>10844288</v>
      </c>
      <c r="K27" s="118"/>
      <c r="L27" s="100">
        <v>16000000</v>
      </c>
      <c r="M27" s="100">
        <v>40000000</v>
      </c>
      <c r="N27" s="252">
        <f t="shared" si="0"/>
        <v>24000000</v>
      </c>
      <c r="O27" s="253"/>
    </row>
    <row r="28" spans="1:15" ht="29.1" customHeight="1">
      <c r="A28" s="169">
        <v>22204</v>
      </c>
      <c r="B28" s="66" t="s">
        <v>86</v>
      </c>
      <c r="C28" s="118"/>
      <c r="D28" s="118"/>
      <c r="E28" s="118"/>
      <c r="F28" s="118"/>
      <c r="G28" s="66">
        <v>11074486</v>
      </c>
      <c r="H28" s="66">
        <f>11074486*70%</f>
        <v>7752140.1999999993</v>
      </c>
      <c r="I28" s="66">
        <f>11074486*70%</f>
        <v>7752140.1999999993</v>
      </c>
      <c r="J28" s="66">
        <f>11074486*70%</f>
        <v>7752140.1999999993</v>
      </c>
      <c r="K28" s="118"/>
      <c r="L28" s="66">
        <f>11074486*70%</f>
        <v>7752140.1999999993</v>
      </c>
      <c r="M28" s="66">
        <f>11074486*70%</f>
        <v>7752140.1999999993</v>
      </c>
      <c r="N28" s="252">
        <f t="shared" si="0"/>
        <v>0</v>
      </c>
      <c r="O28" s="253"/>
    </row>
    <row r="29" spans="1:15" ht="29.1" customHeight="1">
      <c r="A29" s="169"/>
      <c r="B29" s="106" t="s">
        <v>59</v>
      </c>
      <c r="C29" s="118"/>
      <c r="D29" s="118"/>
      <c r="E29" s="118"/>
      <c r="F29" s="118"/>
      <c r="G29" s="111">
        <v>121566326</v>
      </c>
      <c r="H29" s="111">
        <f>SUM(H25:H28)</f>
        <v>85096428.200000003</v>
      </c>
      <c r="I29" s="111">
        <f>SUM(I25:I28)</f>
        <v>85096428.200000003</v>
      </c>
      <c r="J29" s="111">
        <f>SUM(J25:J28)</f>
        <v>85096428.200000003</v>
      </c>
      <c r="K29" s="118"/>
      <c r="L29" s="111">
        <f>SUM(L25:L28)</f>
        <v>156752140.19999999</v>
      </c>
      <c r="M29" s="111">
        <f>SUM(M25:M28)</f>
        <v>247752140.19999999</v>
      </c>
      <c r="N29" s="252">
        <f t="shared" si="0"/>
        <v>91000000</v>
      </c>
      <c r="O29" s="253"/>
    </row>
    <row r="30" spans="1:15" ht="29.1" customHeight="1">
      <c r="A30" s="249">
        <v>2230</v>
      </c>
      <c r="B30" s="106" t="s">
        <v>88</v>
      </c>
      <c r="C30" s="118"/>
      <c r="D30" s="118"/>
      <c r="E30" s="118"/>
      <c r="F30" s="118"/>
      <c r="G30" s="117"/>
      <c r="H30" s="117"/>
      <c r="I30" s="117"/>
      <c r="J30" s="117"/>
      <c r="K30" s="118"/>
      <c r="L30" s="117"/>
      <c r="M30" s="117"/>
      <c r="N30" s="252">
        <f t="shared" si="0"/>
        <v>0</v>
      </c>
      <c r="O30" s="253"/>
    </row>
    <row r="31" spans="1:15" ht="29.1" customHeight="1">
      <c r="A31" s="169">
        <v>22301</v>
      </c>
      <c r="B31" s="66" t="s">
        <v>31</v>
      </c>
      <c r="C31" s="118"/>
      <c r="D31" s="118"/>
      <c r="E31" s="118"/>
      <c r="F31" s="118"/>
      <c r="G31" s="116">
        <v>20000000</v>
      </c>
      <c r="H31" s="116">
        <f>20000000*70%</f>
        <v>14000000</v>
      </c>
      <c r="I31" s="116">
        <f>20000000*70%</f>
        <v>14000000</v>
      </c>
      <c r="J31" s="116">
        <f>20000000*70%</f>
        <v>14000000</v>
      </c>
      <c r="K31" s="118"/>
      <c r="L31" s="116">
        <v>21000000</v>
      </c>
      <c r="M31" s="116">
        <v>45000000</v>
      </c>
      <c r="N31" s="252">
        <f t="shared" si="0"/>
        <v>24000000</v>
      </c>
      <c r="O31" s="253"/>
    </row>
    <row r="32" spans="1:15" ht="29.1" customHeight="1">
      <c r="A32" s="169">
        <v>22302</v>
      </c>
      <c r="B32" s="66" t="s">
        <v>162</v>
      </c>
      <c r="C32" s="118"/>
      <c r="D32" s="118"/>
      <c r="E32" s="118"/>
      <c r="F32" s="118"/>
      <c r="G32" s="118">
        <v>0</v>
      </c>
      <c r="H32" s="118">
        <v>0</v>
      </c>
      <c r="I32" s="119">
        <v>0</v>
      </c>
      <c r="J32" s="119">
        <v>0</v>
      </c>
      <c r="K32" s="118"/>
      <c r="L32" s="119">
        <v>0</v>
      </c>
      <c r="M32" s="119">
        <v>0</v>
      </c>
      <c r="N32" s="252">
        <f t="shared" si="0"/>
        <v>0</v>
      </c>
      <c r="O32" s="253"/>
    </row>
    <row r="33" spans="1:15" ht="29.1" customHeight="1">
      <c r="A33" s="169">
        <v>22303</v>
      </c>
      <c r="B33" s="66" t="s">
        <v>163</v>
      </c>
      <c r="C33" s="118"/>
      <c r="D33" s="118"/>
      <c r="E33" s="118"/>
      <c r="F33" s="118"/>
      <c r="G33" s="118">
        <v>0</v>
      </c>
      <c r="H33" s="118">
        <v>0</v>
      </c>
      <c r="I33" s="119">
        <v>0</v>
      </c>
      <c r="J33" s="119">
        <v>0</v>
      </c>
      <c r="K33" s="118"/>
      <c r="L33" s="119">
        <v>0</v>
      </c>
      <c r="M33" s="119">
        <v>0</v>
      </c>
      <c r="N33" s="252">
        <f t="shared" si="0"/>
        <v>0</v>
      </c>
      <c r="O33" s="253"/>
    </row>
    <row r="34" spans="1:15" ht="29.1" customHeight="1">
      <c r="A34" s="169"/>
      <c r="B34" s="106" t="s">
        <v>59</v>
      </c>
      <c r="C34" s="118"/>
      <c r="D34" s="118"/>
      <c r="E34" s="118"/>
      <c r="F34" s="118"/>
      <c r="G34" s="117">
        <v>20000000</v>
      </c>
      <c r="H34" s="117">
        <f>SUM(H31:H33)</f>
        <v>14000000</v>
      </c>
      <c r="I34" s="117">
        <f>SUM(I31:I33)</f>
        <v>14000000</v>
      </c>
      <c r="J34" s="117">
        <f>SUM(J31:J33)</f>
        <v>14000000</v>
      </c>
      <c r="K34" s="118"/>
      <c r="L34" s="117">
        <f>SUM(L31:L33)</f>
        <v>21000000</v>
      </c>
      <c r="M34" s="117">
        <f>SUM(M31:M33)</f>
        <v>45000000</v>
      </c>
      <c r="N34" s="260">
        <f t="shared" si="0"/>
        <v>24000000</v>
      </c>
      <c r="O34" s="253"/>
    </row>
    <row r="35" spans="1:15" ht="29.1" customHeight="1">
      <c r="A35" s="249">
        <v>230</v>
      </c>
      <c r="B35" s="106" t="s">
        <v>165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252">
        <f t="shared" si="0"/>
        <v>0</v>
      </c>
      <c r="O35" s="253"/>
    </row>
    <row r="36" spans="1:15" ht="29.1" customHeight="1">
      <c r="A36" s="249">
        <v>2310</v>
      </c>
      <c r="B36" s="106" t="s">
        <v>164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52">
        <f t="shared" si="0"/>
        <v>0</v>
      </c>
      <c r="O36" s="253"/>
    </row>
    <row r="37" spans="1:15" ht="29.1" customHeight="1">
      <c r="A37" s="169">
        <v>23102</v>
      </c>
      <c r="B37" s="66" t="s">
        <v>237</v>
      </c>
      <c r="C37" s="118"/>
      <c r="D37" s="118"/>
      <c r="E37" s="118"/>
      <c r="F37" s="118"/>
      <c r="G37" s="118">
        <v>0</v>
      </c>
      <c r="H37" s="118">
        <v>0</v>
      </c>
      <c r="I37" s="119">
        <v>0</v>
      </c>
      <c r="J37" s="119">
        <v>0</v>
      </c>
      <c r="K37" s="118"/>
      <c r="L37" s="66">
        <v>273000000</v>
      </c>
      <c r="M37" s="66">
        <v>0</v>
      </c>
      <c r="N37" s="252">
        <f t="shared" si="0"/>
        <v>-273000000</v>
      </c>
      <c r="O37" s="253"/>
    </row>
    <row r="38" spans="1:15" ht="29.1" customHeight="1">
      <c r="A38" s="169">
        <v>23105</v>
      </c>
      <c r="B38" s="66" t="s">
        <v>734</v>
      </c>
      <c r="C38" s="118"/>
      <c r="D38" s="118"/>
      <c r="E38" s="118"/>
      <c r="F38" s="118"/>
      <c r="G38" s="116">
        <v>3000000</v>
      </c>
      <c r="H38" s="116">
        <f>3000000*70%</f>
        <v>2100000</v>
      </c>
      <c r="I38" s="119">
        <v>0</v>
      </c>
      <c r="J38" s="119">
        <v>0</v>
      </c>
      <c r="K38" s="118"/>
      <c r="L38" s="66">
        <v>2000000</v>
      </c>
      <c r="M38" s="66">
        <v>0</v>
      </c>
      <c r="N38" s="252">
        <f t="shared" si="0"/>
        <v>-2000000</v>
      </c>
      <c r="O38" s="253"/>
    </row>
    <row r="39" spans="1:15" ht="29.1" customHeight="1">
      <c r="A39" s="249">
        <v>2320</v>
      </c>
      <c r="B39" s="106" t="s">
        <v>733</v>
      </c>
      <c r="C39" s="118"/>
      <c r="D39" s="118"/>
      <c r="E39" s="118"/>
      <c r="F39" s="118"/>
      <c r="G39" s="116"/>
      <c r="H39" s="116"/>
      <c r="I39" s="119"/>
      <c r="J39" s="119"/>
      <c r="K39" s="118"/>
      <c r="L39" s="66"/>
      <c r="M39" s="66"/>
      <c r="N39" s="252"/>
      <c r="O39" s="253"/>
    </row>
    <row r="40" spans="1:15" ht="29.1" customHeight="1">
      <c r="A40" s="169">
        <v>23201</v>
      </c>
      <c r="B40" s="66" t="s">
        <v>611</v>
      </c>
      <c r="C40" s="118"/>
      <c r="D40" s="118"/>
      <c r="E40" s="118"/>
      <c r="F40" s="118"/>
      <c r="G40" s="118">
        <v>0</v>
      </c>
      <c r="H40" s="118">
        <v>0</v>
      </c>
      <c r="I40" s="119">
        <v>0</v>
      </c>
      <c r="J40" s="119">
        <v>0</v>
      </c>
      <c r="K40" s="118"/>
      <c r="L40" s="119">
        <v>195000000</v>
      </c>
      <c r="M40" s="119">
        <v>0</v>
      </c>
      <c r="N40" s="252">
        <f t="shared" si="0"/>
        <v>-195000000</v>
      </c>
      <c r="O40" s="253"/>
    </row>
    <row r="41" spans="1:15" ht="29.1" customHeight="1">
      <c r="A41" s="262"/>
      <c r="B41" s="106" t="s">
        <v>59</v>
      </c>
      <c r="C41" s="118"/>
      <c r="D41" s="118"/>
      <c r="E41" s="118"/>
      <c r="F41" s="118"/>
      <c r="G41" s="106">
        <v>3000000</v>
      </c>
      <c r="H41" s="106">
        <f>SUM(H37:H40)</f>
        <v>2100000</v>
      </c>
      <c r="I41" s="106">
        <f>SUM(I37:I40)</f>
        <v>0</v>
      </c>
      <c r="J41" s="106">
        <f>SUM(J37:J40)</f>
        <v>0</v>
      </c>
      <c r="K41" s="118"/>
      <c r="L41" s="106">
        <f>SUM(L37:L40)</f>
        <v>470000000</v>
      </c>
      <c r="M41" s="106">
        <f>SUM(M37:M40)</f>
        <v>0</v>
      </c>
      <c r="N41" s="252">
        <f t="shared" si="0"/>
        <v>-470000000</v>
      </c>
      <c r="O41" s="253"/>
    </row>
    <row r="42" spans="1:15" ht="29.1" customHeight="1">
      <c r="A42" s="262"/>
      <c r="B42" s="106" t="s">
        <v>18</v>
      </c>
      <c r="C42" s="118"/>
      <c r="D42" s="118"/>
      <c r="E42" s="118"/>
      <c r="F42" s="118"/>
      <c r="G42" s="117">
        <v>379488642</v>
      </c>
      <c r="H42" s="117" t="e">
        <f>H41+H34+H29+H23+H10</f>
        <v>#REF!</v>
      </c>
      <c r="I42" s="117">
        <f>I41+I34+I29+I23+I10</f>
        <v>520566204.19999999</v>
      </c>
      <c r="J42" s="117">
        <f>J41+J34+J29+J23+J10</f>
        <v>669508120.20000005</v>
      </c>
      <c r="K42" s="118"/>
      <c r="L42" s="117">
        <f>L41+L34+L29+L23+L10</f>
        <v>1900776562.2</v>
      </c>
      <c r="M42" s="117">
        <f>M41+M34+M29+M23+M10</f>
        <v>1507148452.2</v>
      </c>
      <c r="N42" s="260">
        <f t="shared" si="0"/>
        <v>-393628110</v>
      </c>
      <c r="O42" s="263"/>
    </row>
    <row r="43" spans="1:15" ht="29.1" customHeight="1"/>
  </sheetData>
  <phoneticPr fontId="0" type="noConversion"/>
  <pageMargins left="0.67" right="0.3" top="0.62" bottom="0.22" header="0.22" footer="0.54"/>
  <pageSetup scale="55" orientation="portrait" r:id="rId1"/>
  <headerFooter alignWithMargins="0">
    <oddHeader>&amp;C&amp;"Arial Narrow,Bold"&amp;28Commission-ka Qaranka ee la Dagaalanka HIV-Aides.</oddHeader>
    <oddFooter>&amp;R..&amp;"Times New Roman,Bold"&amp;20 2</oddFooter>
  </headerFooter>
  <ignoredErrors>
    <ignoredError sqref="E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R54"/>
  <sheetViews>
    <sheetView view="pageBreakPreview" zoomScale="60" workbookViewId="0">
      <selection activeCell="Q52" sqref="Q52"/>
    </sheetView>
  </sheetViews>
  <sheetFormatPr defaultRowHeight="24.95" customHeight="1"/>
  <cols>
    <col min="1" max="1" width="15.5" style="269" customWidth="1"/>
    <col min="2" max="2" width="79" style="269" customWidth="1"/>
    <col min="3" max="3" width="16.1640625" style="269" hidden="1" customWidth="1"/>
    <col min="4" max="4" width="17" style="269" hidden="1" customWidth="1"/>
    <col min="5" max="5" width="18" style="269" hidden="1" customWidth="1"/>
    <col min="6" max="6" width="16.83203125" style="269" hidden="1" customWidth="1"/>
    <col min="7" max="7" width="26" style="269" hidden="1" customWidth="1"/>
    <col min="8" max="8" width="25.5" style="269" hidden="1" customWidth="1"/>
    <col min="9" max="9" width="24.1640625" style="269" hidden="1" customWidth="1"/>
    <col min="10" max="10" width="28.6640625" style="269" hidden="1" customWidth="1"/>
    <col min="11" max="11" width="0.5" style="269" hidden="1" customWidth="1"/>
    <col min="12" max="13" width="28" style="269" hidden="1" customWidth="1"/>
    <col min="14" max="14" width="0.1640625" style="269" hidden="1" customWidth="1"/>
    <col min="15" max="15" width="29.83203125" style="269" hidden="1" customWidth="1"/>
    <col min="16" max="16" width="29.83203125" style="271" bestFit="1" customWidth="1"/>
    <col min="17" max="17" width="29.83203125" style="271" customWidth="1"/>
    <col min="18" max="18" width="27.6640625" style="181" bestFit="1" customWidth="1"/>
    <col min="19" max="16384" width="9.33203125" style="181"/>
  </cols>
  <sheetData>
    <row r="1" spans="1:18" ht="24.95" customHeight="1">
      <c r="A1" s="130" t="s">
        <v>20</v>
      </c>
      <c r="B1" s="265" t="s">
        <v>760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18"/>
      <c r="Q1" s="118"/>
      <c r="R1" s="266"/>
    </row>
    <row r="2" spans="1:18" ht="24.95" customHeight="1">
      <c r="A2" s="249" t="s">
        <v>6</v>
      </c>
      <c r="B2" s="130" t="s">
        <v>7</v>
      </c>
      <c r="C2" s="112" t="s">
        <v>19</v>
      </c>
      <c r="D2" s="112" t="s">
        <v>2</v>
      </c>
      <c r="E2" s="112" t="s">
        <v>24</v>
      </c>
      <c r="F2" s="112" t="s">
        <v>28</v>
      </c>
      <c r="G2" s="112" t="s">
        <v>33</v>
      </c>
      <c r="H2" s="112" t="s">
        <v>41</v>
      </c>
      <c r="I2" s="112" t="s">
        <v>66</v>
      </c>
      <c r="J2" s="112" t="s">
        <v>69</v>
      </c>
      <c r="K2" s="112" t="s">
        <v>75</v>
      </c>
      <c r="L2" s="112" t="s">
        <v>110</v>
      </c>
      <c r="M2" s="112" t="s">
        <v>166</v>
      </c>
      <c r="N2" s="112" t="s">
        <v>318</v>
      </c>
      <c r="O2" s="112" t="s">
        <v>530</v>
      </c>
      <c r="P2" s="112" t="s">
        <v>605</v>
      </c>
      <c r="Q2" s="112" t="s">
        <v>721</v>
      </c>
      <c r="R2" s="106" t="s">
        <v>29</v>
      </c>
    </row>
    <row r="3" spans="1:18" ht="24.95" customHeight="1">
      <c r="A3" s="249">
        <v>210</v>
      </c>
      <c r="B3" s="106" t="s">
        <v>95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24.95" customHeight="1">
      <c r="A4" s="249">
        <v>2110</v>
      </c>
      <c r="B4" s="106" t="s">
        <v>155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4.95" customHeight="1">
      <c r="A5" s="169">
        <v>21101</v>
      </c>
      <c r="B5" s="66" t="s">
        <v>9</v>
      </c>
      <c r="C5" s="66">
        <v>63105000</v>
      </c>
      <c r="D5" s="66">
        <v>74712000</v>
      </c>
      <c r="E5" s="66">
        <v>74712000</v>
      </c>
      <c r="F5" s="66">
        <v>74712000</v>
      </c>
      <c r="G5" s="100">
        <v>79812000</v>
      </c>
      <c r="H5" s="100">
        <v>79812000</v>
      </c>
      <c r="I5" s="100">
        <v>127296000</v>
      </c>
      <c r="J5" s="100">
        <v>150836400</v>
      </c>
      <c r="K5" s="100">
        <v>150836400</v>
      </c>
      <c r="L5" s="100">
        <v>150836400</v>
      </c>
      <c r="M5" s="100" t="e">
        <f>#REF!</f>
        <v>#REF!</v>
      </c>
      <c r="N5" s="100">
        <v>260988000</v>
      </c>
      <c r="O5" s="100">
        <v>256464000</v>
      </c>
      <c r="P5" s="100">
        <v>375448320</v>
      </c>
      <c r="Q5" s="100">
        <v>375448320</v>
      </c>
      <c r="R5" s="66">
        <f>Q5-P5</f>
        <v>0</v>
      </c>
    </row>
    <row r="6" spans="1:18" ht="24.95" customHeight="1">
      <c r="A6" s="169">
        <v>21102</v>
      </c>
      <c r="B6" s="66" t="s">
        <v>294</v>
      </c>
      <c r="C6" s="66">
        <v>1180900</v>
      </c>
      <c r="D6" s="66">
        <v>0</v>
      </c>
      <c r="E6" s="66">
        <v>0</v>
      </c>
      <c r="F6" s="66">
        <v>0</v>
      </c>
      <c r="G6" s="100">
        <v>0</v>
      </c>
      <c r="H6" s="259">
        <v>0</v>
      </c>
      <c r="I6" s="259">
        <v>0</v>
      </c>
      <c r="J6" s="259">
        <v>0</v>
      </c>
      <c r="K6" s="259">
        <v>0</v>
      </c>
      <c r="L6" s="259">
        <v>0</v>
      </c>
      <c r="M6" s="259">
        <v>7332000000</v>
      </c>
      <c r="N6" s="259">
        <v>7332000000</v>
      </c>
      <c r="O6" s="259">
        <v>7176000000</v>
      </c>
      <c r="P6" s="259">
        <v>7176000000</v>
      </c>
      <c r="Q6" s="259">
        <v>7176000000</v>
      </c>
      <c r="R6" s="66">
        <f t="shared" ref="R6:R51" si="0">Q6-P6</f>
        <v>0</v>
      </c>
    </row>
    <row r="7" spans="1:18" ht="24.95" customHeight="1">
      <c r="A7" s="169">
        <v>21103</v>
      </c>
      <c r="B7" s="66" t="s">
        <v>532</v>
      </c>
      <c r="C7" s="66">
        <v>1150222000</v>
      </c>
      <c r="D7" s="66">
        <v>1283252000</v>
      </c>
      <c r="E7" s="66">
        <v>1283252000</v>
      </c>
      <c r="F7" s="66">
        <f>2043452000+1200000</f>
        <v>2044652000</v>
      </c>
      <c r="G7" s="100">
        <f>2044652000+400000000</f>
        <v>2444652000</v>
      </c>
      <c r="H7" s="100">
        <v>2650428000</v>
      </c>
      <c r="I7" s="100">
        <v>2939364000</v>
      </c>
      <c r="J7" s="100">
        <v>2940564000</v>
      </c>
      <c r="K7" s="100">
        <f>2940564000+30288000+30288000</f>
        <v>3001140000</v>
      </c>
      <c r="L7" s="100">
        <v>3031428000</v>
      </c>
      <c r="M7" s="100">
        <v>1946100000</v>
      </c>
      <c r="N7" s="100">
        <v>2015700000</v>
      </c>
      <c r="O7" s="100">
        <v>1999500000</v>
      </c>
      <c r="P7" s="100">
        <v>2099100000</v>
      </c>
      <c r="Q7" s="100">
        <v>2099100000</v>
      </c>
      <c r="R7" s="66">
        <f t="shared" si="0"/>
        <v>0</v>
      </c>
    </row>
    <row r="8" spans="1:18" ht="24.95" customHeight="1">
      <c r="A8" s="169">
        <v>21105</v>
      </c>
      <c r="B8" s="66" t="s">
        <v>913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66">
        <v>90864000</v>
      </c>
      <c r="N8" s="66">
        <v>121152000</v>
      </c>
      <c r="O8" s="66">
        <v>121152000</v>
      </c>
      <c r="P8" s="66">
        <v>181728000</v>
      </c>
      <c r="Q8" s="66">
        <v>6940000000</v>
      </c>
      <c r="R8" s="66">
        <f t="shared" si="0"/>
        <v>6758272000</v>
      </c>
    </row>
    <row r="9" spans="1:18" ht="24.95" customHeight="1">
      <c r="A9" s="169" t="s">
        <v>884</v>
      </c>
      <c r="B9" s="66" t="s">
        <v>883</v>
      </c>
      <c r="C9" s="66"/>
      <c r="D9" s="66"/>
      <c r="E9" s="66"/>
      <c r="F9" s="66"/>
      <c r="G9" s="66"/>
      <c r="H9" s="70"/>
      <c r="I9" s="70"/>
      <c r="J9" s="70"/>
      <c r="K9" s="70"/>
      <c r="L9" s="70"/>
      <c r="M9" s="66"/>
      <c r="N9" s="66"/>
      <c r="O9" s="66"/>
      <c r="P9" s="66">
        <v>0</v>
      </c>
      <c r="Q9" s="66">
        <v>641630400</v>
      </c>
      <c r="R9" s="66">
        <f t="shared" si="0"/>
        <v>641630400</v>
      </c>
    </row>
    <row r="10" spans="1:18" ht="24.95" customHeight="1">
      <c r="A10" s="249">
        <v>2120</v>
      </c>
      <c r="B10" s="106" t="s">
        <v>156</v>
      </c>
      <c r="C10" s="66"/>
      <c r="D10" s="66"/>
      <c r="E10" s="66"/>
      <c r="F10" s="66"/>
      <c r="G10" s="66"/>
      <c r="H10" s="70"/>
      <c r="I10" s="70"/>
      <c r="J10" s="70"/>
      <c r="K10" s="70">
        <v>0</v>
      </c>
      <c r="L10" s="70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f t="shared" si="0"/>
        <v>0</v>
      </c>
    </row>
    <row r="11" spans="1:18" ht="24.95" customHeight="1">
      <c r="A11" s="169">
        <v>21203</v>
      </c>
      <c r="B11" s="66" t="s">
        <v>158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66">
        <f t="shared" si="0"/>
        <v>0</v>
      </c>
    </row>
    <row r="12" spans="1:18" ht="24.95" customHeight="1">
      <c r="A12" s="169"/>
      <c r="B12" s="106" t="s">
        <v>59</v>
      </c>
      <c r="C12" s="106"/>
      <c r="D12" s="106"/>
      <c r="E12" s="106"/>
      <c r="F12" s="106"/>
      <c r="G12" s="106">
        <f t="shared" ref="G12:P12" si="1">SUM(G5:G11)</f>
        <v>2524464000</v>
      </c>
      <c r="H12" s="111">
        <f t="shared" si="1"/>
        <v>2730240000</v>
      </c>
      <c r="I12" s="111">
        <f t="shared" si="1"/>
        <v>3066660000</v>
      </c>
      <c r="J12" s="111">
        <f t="shared" si="1"/>
        <v>3091400400</v>
      </c>
      <c r="K12" s="111">
        <f t="shared" si="1"/>
        <v>3151976400</v>
      </c>
      <c r="L12" s="111">
        <f t="shared" si="1"/>
        <v>3182264400</v>
      </c>
      <c r="M12" s="111" t="e">
        <f t="shared" si="1"/>
        <v>#REF!</v>
      </c>
      <c r="N12" s="111">
        <f t="shared" si="1"/>
        <v>9729840000</v>
      </c>
      <c r="O12" s="111">
        <f t="shared" si="1"/>
        <v>9553116000</v>
      </c>
      <c r="P12" s="111">
        <f t="shared" si="1"/>
        <v>9832276320</v>
      </c>
      <c r="Q12" s="111">
        <f>SUM(Q5:Q11)</f>
        <v>17232178720</v>
      </c>
      <c r="R12" s="106">
        <f t="shared" si="0"/>
        <v>7399902400</v>
      </c>
    </row>
    <row r="13" spans="1:18" ht="24.95" customHeight="1">
      <c r="A13" s="249">
        <v>220</v>
      </c>
      <c r="B13" s="106" t="s">
        <v>159</v>
      </c>
      <c r="C13" s="106"/>
      <c r="D13" s="106"/>
      <c r="E13" s="106"/>
      <c r="F13" s="106"/>
      <c r="G13" s="106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66">
        <f t="shared" si="0"/>
        <v>0</v>
      </c>
    </row>
    <row r="14" spans="1:18" s="267" customFormat="1" ht="24.95" customHeight="1">
      <c r="A14" s="249">
        <v>2210</v>
      </c>
      <c r="B14" s="106" t="s">
        <v>160</v>
      </c>
      <c r="C14" s="66"/>
      <c r="D14" s="66"/>
      <c r="E14" s="66"/>
      <c r="F14" s="66"/>
      <c r="G14" s="66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6">
        <f t="shared" si="0"/>
        <v>0</v>
      </c>
    </row>
    <row r="15" spans="1:18" s="268" customFormat="1" ht="24.95" customHeight="1">
      <c r="A15" s="169">
        <v>22101</v>
      </c>
      <c r="B15" s="66" t="s">
        <v>14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70">
        <v>0</v>
      </c>
      <c r="I15" s="70">
        <v>0</v>
      </c>
      <c r="J15" s="70">
        <v>0</v>
      </c>
      <c r="K15" s="70">
        <v>55000000</v>
      </c>
      <c r="L15" s="70">
        <v>55000000</v>
      </c>
      <c r="M15" s="70">
        <f>100000000</f>
        <v>100000000</v>
      </c>
      <c r="N15" s="70">
        <f>100000000</f>
        <v>100000000</v>
      </c>
      <c r="O15" s="70">
        <f>100000000</f>
        <v>100000000</v>
      </c>
      <c r="P15" s="70">
        <v>210000000</v>
      </c>
      <c r="Q15" s="70">
        <v>0</v>
      </c>
      <c r="R15" s="66">
        <f t="shared" si="0"/>
        <v>-210000000</v>
      </c>
    </row>
    <row r="16" spans="1:18" ht="24.95" customHeight="1">
      <c r="A16" s="169">
        <v>22102</v>
      </c>
      <c r="B16" s="66" t="s">
        <v>82</v>
      </c>
      <c r="C16" s="66">
        <v>54000000</v>
      </c>
      <c r="D16" s="66">
        <v>64000000</v>
      </c>
      <c r="E16" s="66">
        <v>64000000</v>
      </c>
      <c r="F16" s="66">
        <v>81577000</v>
      </c>
      <c r="G16" s="66">
        <v>82800000</v>
      </c>
      <c r="H16" s="70">
        <v>141500000</v>
      </c>
      <c r="I16" s="70">
        <v>200000000</v>
      </c>
      <c r="J16" s="70">
        <v>275000000</v>
      </c>
      <c r="K16" s="70">
        <v>50000000</v>
      </c>
      <c r="L16" s="70">
        <v>50000000</v>
      </c>
      <c r="M16" s="70">
        <f>150000000</f>
        <v>150000000</v>
      </c>
      <c r="N16" s="70">
        <v>110000000</v>
      </c>
      <c r="O16" s="70">
        <v>110000000</v>
      </c>
      <c r="P16" s="70">
        <v>0</v>
      </c>
      <c r="Q16" s="70">
        <v>0</v>
      </c>
      <c r="R16" s="66">
        <f t="shared" si="0"/>
        <v>0</v>
      </c>
    </row>
    <row r="17" spans="1:18" ht="24.95" customHeight="1">
      <c r="A17" s="169">
        <v>22103</v>
      </c>
      <c r="B17" s="66" t="s">
        <v>83</v>
      </c>
      <c r="C17" s="66">
        <v>16743000</v>
      </c>
      <c r="D17" s="66">
        <v>16743600</v>
      </c>
      <c r="E17" s="66">
        <v>16743600</v>
      </c>
      <c r="F17" s="66">
        <v>16743600</v>
      </c>
      <c r="G17" s="66">
        <v>13394400</v>
      </c>
      <c r="H17" s="70">
        <v>36743000</v>
      </c>
      <c r="I17" s="70">
        <v>56000000</v>
      </c>
      <c r="J17" s="70">
        <v>70000000</v>
      </c>
      <c r="K17" s="70">
        <v>0</v>
      </c>
      <c r="L17" s="70">
        <v>0</v>
      </c>
      <c r="M17" s="70">
        <f>120000000</f>
        <v>120000000</v>
      </c>
      <c r="N17" s="70">
        <f>M17*70%</f>
        <v>84000000</v>
      </c>
      <c r="O17" s="70">
        <v>84000000</v>
      </c>
      <c r="P17" s="70">
        <v>84000000</v>
      </c>
      <c r="Q17" s="70">
        <v>0</v>
      </c>
      <c r="R17" s="66">
        <f t="shared" si="0"/>
        <v>-84000000</v>
      </c>
    </row>
    <row r="18" spans="1:18" ht="24.95" customHeight="1">
      <c r="A18" s="169">
        <v>22104</v>
      </c>
      <c r="B18" s="66" t="s">
        <v>116</v>
      </c>
      <c r="C18" s="66">
        <v>5500000</v>
      </c>
      <c r="D18" s="66">
        <v>5500000</v>
      </c>
      <c r="E18" s="66">
        <v>5500000</v>
      </c>
      <c r="F18" s="66">
        <v>5500000</v>
      </c>
      <c r="G18" s="66">
        <v>6400000</v>
      </c>
      <c r="H18" s="70">
        <v>16000000</v>
      </c>
      <c r="I18" s="70">
        <v>30000000</v>
      </c>
      <c r="J18" s="70">
        <v>35000000</v>
      </c>
      <c r="K18" s="70">
        <v>63000000</v>
      </c>
      <c r="L18" s="70">
        <v>113000000</v>
      </c>
      <c r="M18" s="70">
        <f>200000000</f>
        <v>200000000</v>
      </c>
      <c r="N18" s="70">
        <f>200000000</f>
        <v>200000000</v>
      </c>
      <c r="O18" s="70">
        <f>200000000</f>
        <v>200000000</v>
      </c>
      <c r="P18" s="70">
        <f>200000000</f>
        <v>200000000</v>
      </c>
      <c r="Q18" s="70">
        <v>200000000</v>
      </c>
      <c r="R18" s="66">
        <f t="shared" si="0"/>
        <v>0</v>
      </c>
    </row>
    <row r="19" spans="1:18" ht="24.95" customHeight="1">
      <c r="A19" s="169">
        <v>22105</v>
      </c>
      <c r="B19" s="66" t="s">
        <v>93</v>
      </c>
      <c r="C19" s="66"/>
      <c r="D19" s="66"/>
      <c r="E19" s="66"/>
      <c r="F19" s="66"/>
      <c r="G19" s="66"/>
      <c r="H19" s="70"/>
      <c r="I19" s="70"/>
      <c r="J19" s="70"/>
      <c r="K19" s="70">
        <v>46800000</v>
      </c>
      <c r="L19" s="70">
        <v>46800000</v>
      </c>
      <c r="M19" s="70">
        <f>62400000</f>
        <v>62400000</v>
      </c>
      <c r="N19" s="70">
        <f>62400000</f>
        <v>62400000</v>
      </c>
      <c r="O19" s="70">
        <f>62400000</f>
        <v>62400000</v>
      </c>
      <c r="P19" s="70">
        <f>62400000</f>
        <v>62400000</v>
      </c>
      <c r="Q19" s="70">
        <v>386000000</v>
      </c>
      <c r="R19" s="66">
        <f t="shared" si="0"/>
        <v>323600000</v>
      </c>
    </row>
    <row r="20" spans="1:18" ht="24.95" customHeight="1">
      <c r="A20" s="169">
        <v>22106</v>
      </c>
      <c r="B20" s="66" t="s">
        <v>84</v>
      </c>
      <c r="C20" s="66"/>
      <c r="D20" s="66"/>
      <c r="E20" s="66"/>
      <c r="F20" s="66"/>
      <c r="G20" s="66"/>
      <c r="H20" s="70"/>
      <c r="I20" s="70"/>
      <c r="J20" s="70"/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66">
        <f t="shared" si="0"/>
        <v>0</v>
      </c>
    </row>
    <row r="21" spans="1:18" ht="24.95" customHeight="1">
      <c r="A21" s="169">
        <v>22107</v>
      </c>
      <c r="B21" s="66" t="s">
        <v>30</v>
      </c>
      <c r="C21" s="66"/>
      <c r="D21" s="66"/>
      <c r="E21" s="66"/>
      <c r="F21" s="66"/>
      <c r="G21" s="66"/>
      <c r="H21" s="70"/>
      <c r="I21" s="70"/>
      <c r="J21" s="70"/>
      <c r="K21" s="70">
        <v>45000000</v>
      </c>
      <c r="L21" s="70">
        <v>45000000</v>
      </c>
      <c r="M21" s="70">
        <f>100000000</f>
        <v>100000000</v>
      </c>
      <c r="N21" s="70">
        <f>M21*70%</f>
        <v>70000000</v>
      </c>
      <c r="O21" s="70">
        <v>70000000</v>
      </c>
      <c r="P21" s="70">
        <v>70000000</v>
      </c>
      <c r="Q21" s="70">
        <v>30000000</v>
      </c>
      <c r="R21" s="66">
        <f t="shared" si="0"/>
        <v>-40000000</v>
      </c>
    </row>
    <row r="22" spans="1:18" ht="24.95" customHeight="1">
      <c r="A22" s="169">
        <v>22108</v>
      </c>
      <c r="B22" s="66" t="s">
        <v>60</v>
      </c>
      <c r="C22" s="66"/>
      <c r="D22" s="66"/>
      <c r="E22" s="66"/>
      <c r="F22" s="66"/>
      <c r="G22" s="66"/>
      <c r="H22" s="70"/>
      <c r="I22" s="70"/>
      <c r="J22" s="70"/>
      <c r="K22" s="70">
        <v>400000000</v>
      </c>
      <c r="L22" s="70">
        <v>700000000</v>
      </c>
      <c r="M22" s="70">
        <f>1200000000</f>
        <v>1200000000</v>
      </c>
      <c r="N22" s="70">
        <v>992452800</v>
      </c>
      <c r="O22" s="70">
        <v>1492452800</v>
      </c>
      <c r="P22" s="70">
        <v>1692452800</v>
      </c>
      <c r="Q22" s="70">
        <v>600000000</v>
      </c>
      <c r="R22" s="66">
        <f t="shared" si="0"/>
        <v>-1092452800</v>
      </c>
    </row>
    <row r="23" spans="1:18" ht="24.95" customHeight="1">
      <c r="A23" s="169">
        <v>22109</v>
      </c>
      <c r="B23" s="66" t="s">
        <v>94</v>
      </c>
      <c r="C23" s="66"/>
      <c r="D23" s="66"/>
      <c r="E23" s="66"/>
      <c r="F23" s="66"/>
      <c r="G23" s="66"/>
      <c r="H23" s="70"/>
      <c r="I23" s="70"/>
      <c r="J23" s="70"/>
      <c r="K23" s="70">
        <v>10000000</v>
      </c>
      <c r="L23" s="70">
        <v>10000000</v>
      </c>
      <c r="M23" s="70">
        <f>40000000</f>
        <v>40000000</v>
      </c>
      <c r="N23" s="70">
        <f>40000000</f>
        <v>40000000</v>
      </c>
      <c r="O23" s="70">
        <f>40000000</f>
        <v>40000000</v>
      </c>
      <c r="P23" s="70">
        <f>40000000</f>
        <v>40000000</v>
      </c>
      <c r="Q23" s="70">
        <v>20000000</v>
      </c>
      <c r="R23" s="66">
        <f t="shared" si="0"/>
        <v>-20000000</v>
      </c>
    </row>
    <row r="24" spans="1:18" ht="24.95" customHeight="1">
      <c r="A24" s="169">
        <v>22112</v>
      </c>
      <c r="B24" s="66" t="s">
        <v>16</v>
      </c>
      <c r="C24" s="66">
        <v>0</v>
      </c>
      <c r="D24" s="66">
        <v>0</v>
      </c>
      <c r="E24" s="66">
        <v>35000000</v>
      </c>
      <c r="F24" s="66">
        <v>10000000</v>
      </c>
      <c r="G24" s="66">
        <v>0</v>
      </c>
      <c r="H24" s="70">
        <v>0</v>
      </c>
      <c r="I24" s="70">
        <v>300000000</v>
      </c>
      <c r="J24" s="70">
        <v>305000000</v>
      </c>
      <c r="K24" s="70">
        <v>25000000</v>
      </c>
      <c r="L24" s="70">
        <v>75000000</v>
      </c>
      <c r="M24" s="70">
        <f>125000000</f>
        <v>125000000</v>
      </c>
      <c r="N24" s="70">
        <f>125000000</f>
        <v>125000000</v>
      </c>
      <c r="O24" s="70">
        <f>125000000</f>
        <v>125000000</v>
      </c>
      <c r="P24" s="70">
        <f>125000000</f>
        <v>125000000</v>
      </c>
      <c r="Q24" s="70">
        <f>125000000</f>
        <v>125000000</v>
      </c>
      <c r="R24" s="66">
        <f t="shared" si="0"/>
        <v>0</v>
      </c>
    </row>
    <row r="25" spans="1:18" ht="24.95" customHeight="1">
      <c r="A25" s="169">
        <v>22129</v>
      </c>
      <c r="B25" s="66" t="s">
        <v>101</v>
      </c>
      <c r="C25" s="66"/>
      <c r="D25" s="66"/>
      <c r="E25" s="66"/>
      <c r="F25" s="66"/>
      <c r="G25" s="66"/>
      <c r="H25" s="70"/>
      <c r="I25" s="70"/>
      <c r="J25" s="70"/>
      <c r="K25" s="70"/>
      <c r="L25" s="70">
        <v>0</v>
      </c>
      <c r="M25" s="70">
        <f>200000000</f>
        <v>200000000</v>
      </c>
      <c r="N25" s="70">
        <v>0</v>
      </c>
      <c r="O25" s="70">
        <v>0</v>
      </c>
      <c r="P25" s="70">
        <v>0</v>
      </c>
      <c r="Q25" s="70">
        <v>0</v>
      </c>
      <c r="R25" s="66">
        <f t="shared" si="0"/>
        <v>0</v>
      </c>
    </row>
    <row r="26" spans="1:18" ht="24.95" customHeight="1">
      <c r="A26" s="169">
        <v>22132</v>
      </c>
      <c r="B26" s="66" t="s">
        <v>144</v>
      </c>
      <c r="C26" s="66"/>
      <c r="D26" s="66"/>
      <c r="E26" s="66"/>
      <c r="F26" s="66"/>
      <c r="G26" s="66"/>
      <c r="H26" s="70"/>
      <c r="I26" s="70"/>
      <c r="J26" s="70"/>
      <c r="K26" s="70">
        <v>700000000</v>
      </c>
      <c r="L26" s="70">
        <v>1000000000</v>
      </c>
      <c r="M26" s="70">
        <f>1000000000</f>
        <v>1000000000</v>
      </c>
      <c r="N26" s="70">
        <v>0</v>
      </c>
      <c r="O26" s="70">
        <v>1000000000</v>
      </c>
      <c r="P26" s="70">
        <v>1000000000</v>
      </c>
      <c r="Q26" s="70">
        <v>460000000</v>
      </c>
      <c r="R26" s="66">
        <f t="shared" si="0"/>
        <v>-540000000</v>
      </c>
    </row>
    <row r="27" spans="1:18" ht="24.95" customHeight="1">
      <c r="A27" s="169">
        <v>22134</v>
      </c>
      <c r="B27" s="66" t="s">
        <v>100</v>
      </c>
      <c r="C27" s="66"/>
      <c r="D27" s="66"/>
      <c r="E27" s="66"/>
      <c r="F27" s="66"/>
      <c r="G27" s="66"/>
      <c r="H27" s="70"/>
      <c r="I27" s="70"/>
      <c r="J27" s="70"/>
      <c r="K27" s="70">
        <v>600000000</v>
      </c>
      <c r="L27" s="70">
        <v>0</v>
      </c>
      <c r="M27" s="70">
        <f>1000000000</f>
        <v>1000000000</v>
      </c>
      <c r="N27" s="70">
        <v>1368800000</v>
      </c>
      <c r="O27" s="70">
        <v>1176724000</v>
      </c>
      <c r="P27" s="70">
        <v>1976724000</v>
      </c>
      <c r="Q27" s="70">
        <v>0</v>
      </c>
      <c r="R27" s="66">
        <f t="shared" si="0"/>
        <v>-1976724000</v>
      </c>
    </row>
    <row r="28" spans="1:18" ht="24.95" customHeight="1">
      <c r="A28" s="169">
        <v>22137</v>
      </c>
      <c r="B28" s="66" t="s">
        <v>413</v>
      </c>
      <c r="C28" s="66"/>
      <c r="D28" s="66"/>
      <c r="E28" s="66"/>
      <c r="F28" s="66"/>
      <c r="G28" s="66"/>
      <c r="H28" s="70"/>
      <c r="I28" s="70"/>
      <c r="J28" s="70"/>
      <c r="K28" s="70"/>
      <c r="L28" s="70"/>
      <c r="M28" s="70"/>
      <c r="N28" s="70">
        <v>331200000</v>
      </c>
      <c r="O28" s="70">
        <v>331200000</v>
      </c>
      <c r="P28" s="70">
        <v>421200000</v>
      </c>
      <c r="Q28" s="70">
        <v>330000000</v>
      </c>
      <c r="R28" s="66">
        <f t="shared" si="0"/>
        <v>-91200000</v>
      </c>
    </row>
    <row r="29" spans="1:18" ht="24.95" customHeight="1">
      <c r="A29" s="169">
        <v>22141</v>
      </c>
      <c r="B29" s="66" t="s">
        <v>671</v>
      </c>
      <c r="C29" s="66"/>
      <c r="D29" s="66"/>
      <c r="E29" s="66"/>
      <c r="F29" s="66"/>
      <c r="G29" s="66"/>
      <c r="H29" s="70"/>
      <c r="I29" s="70"/>
      <c r="J29" s="70"/>
      <c r="K29" s="70"/>
      <c r="L29" s="70"/>
      <c r="M29" s="70"/>
      <c r="N29" s="70">
        <v>600000000</v>
      </c>
      <c r="O29" s="70">
        <v>140000000</v>
      </c>
      <c r="P29" s="70">
        <v>620000000</v>
      </c>
      <c r="Q29" s="70"/>
      <c r="R29" s="66">
        <f t="shared" si="0"/>
        <v>-620000000</v>
      </c>
    </row>
    <row r="30" spans="1:18" ht="24.95" customHeight="1">
      <c r="A30" s="169"/>
      <c r="B30" s="106" t="s">
        <v>59</v>
      </c>
      <c r="C30" s="106"/>
      <c r="D30" s="106"/>
      <c r="E30" s="106"/>
      <c r="F30" s="106"/>
      <c r="G30" s="106">
        <f>SUM(G15:G24)</f>
        <v>102594400</v>
      </c>
      <c r="H30" s="111">
        <f>SUM(H15:H24)</f>
        <v>194243000</v>
      </c>
      <c r="I30" s="111">
        <f>SUM(I15:I24)</f>
        <v>586000000</v>
      </c>
      <c r="J30" s="111">
        <f>SUM(J15:J24)</f>
        <v>685000000</v>
      </c>
      <c r="K30" s="111">
        <f>SUM(K15:K27)</f>
        <v>1994800000</v>
      </c>
      <c r="L30" s="111">
        <f>SUM(L15:L27)</f>
        <v>2094800000</v>
      </c>
      <c r="M30" s="111">
        <f>SUM(M15:M27)</f>
        <v>4297400000</v>
      </c>
      <c r="N30" s="111">
        <f>SUM(N15:N29)</f>
        <v>4083852800</v>
      </c>
      <c r="O30" s="111">
        <f>SUM(O15:O29)</f>
        <v>4931776800</v>
      </c>
      <c r="P30" s="111">
        <f>SUM(P15:P29)</f>
        <v>6501776800</v>
      </c>
      <c r="Q30" s="111">
        <f>SUM(Q15:Q29)</f>
        <v>2151000000</v>
      </c>
      <c r="R30" s="106">
        <f t="shared" si="0"/>
        <v>-4350776800</v>
      </c>
    </row>
    <row r="31" spans="1:18" ht="24.95" customHeight="1">
      <c r="A31" s="249">
        <v>2220</v>
      </c>
      <c r="B31" s="106" t="s">
        <v>161</v>
      </c>
      <c r="C31" s="66"/>
      <c r="D31" s="66"/>
      <c r="E31" s="66"/>
      <c r="F31" s="66"/>
      <c r="G31" s="66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6">
        <f t="shared" si="0"/>
        <v>0</v>
      </c>
    </row>
    <row r="32" spans="1:18" ht="24.95" customHeight="1">
      <c r="A32" s="169">
        <v>22201</v>
      </c>
      <c r="B32" s="66" t="s">
        <v>90</v>
      </c>
      <c r="C32" s="66"/>
      <c r="D32" s="66"/>
      <c r="E32" s="66"/>
      <c r="F32" s="66"/>
      <c r="G32" s="66"/>
      <c r="H32" s="70"/>
      <c r="I32" s="70"/>
      <c r="J32" s="70"/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66">
        <f t="shared" si="0"/>
        <v>0</v>
      </c>
    </row>
    <row r="33" spans="1:18" s="267" customFormat="1" ht="24.95" customHeight="1">
      <c r="A33" s="169">
        <v>22202</v>
      </c>
      <c r="B33" s="66" t="s">
        <v>91</v>
      </c>
      <c r="C33" s="66">
        <v>18000000</v>
      </c>
      <c r="D33" s="66">
        <v>40000000</v>
      </c>
      <c r="E33" s="66">
        <v>40000000</v>
      </c>
      <c r="F33" s="66">
        <v>0</v>
      </c>
      <c r="G33" s="66">
        <v>0</v>
      </c>
      <c r="H33" s="70">
        <v>0</v>
      </c>
      <c r="I33" s="70">
        <v>0</v>
      </c>
      <c r="J33" s="70">
        <v>50000000</v>
      </c>
      <c r="K33" s="70">
        <v>200000000</v>
      </c>
      <c r="L33" s="70">
        <v>300000000</v>
      </c>
      <c r="M33" s="70">
        <f>500000000</f>
        <v>500000000</v>
      </c>
      <c r="N33" s="70">
        <f>M33*80%</f>
        <v>400000000</v>
      </c>
      <c r="O33" s="70">
        <v>400000000</v>
      </c>
      <c r="P33" s="70">
        <v>500000000</v>
      </c>
      <c r="Q33" s="70">
        <v>200000000</v>
      </c>
      <c r="R33" s="66">
        <f t="shared" si="0"/>
        <v>-300000000</v>
      </c>
    </row>
    <row r="34" spans="1:18" s="268" customFormat="1" ht="24.95" customHeight="1">
      <c r="A34" s="169">
        <v>22203</v>
      </c>
      <c r="B34" s="66" t="s">
        <v>85</v>
      </c>
      <c r="C34" s="66"/>
      <c r="D34" s="66"/>
      <c r="E34" s="66"/>
      <c r="F34" s="66"/>
      <c r="G34" s="66">
        <v>0</v>
      </c>
      <c r="H34" s="70">
        <v>130000000</v>
      </c>
      <c r="I34" s="70">
        <v>210000000</v>
      </c>
      <c r="J34" s="70">
        <v>0</v>
      </c>
      <c r="K34" s="70">
        <v>56000000</v>
      </c>
      <c r="L34" s="70">
        <v>56000000</v>
      </c>
      <c r="M34" s="70">
        <f>100000000</f>
        <v>100000000</v>
      </c>
      <c r="N34" s="70">
        <f>100000000</f>
        <v>100000000</v>
      </c>
      <c r="O34" s="70">
        <f>100000000</f>
        <v>100000000</v>
      </c>
      <c r="P34" s="70">
        <v>150000000</v>
      </c>
      <c r="Q34" s="70">
        <v>100000000</v>
      </c>
      <c r="R34" s="66">
        <f t="shared" si="0"/>
        <v>-50000000</v>
      </c>
    </row>
    <row r="35" spans="1:18" ht="24.95" customHeight="1">
      <c r="A35" s="169">
        <v>22204</v>
      </c>
      <c r="B35" s="66" t="s">
        <v>86</v>
      </c>
      <c r="C35" s="66"/>
      <c r="D35" s="66"/>
      <c r="E35" s="66"/>
      <c r="F35" s="66">
        <v>0</v>
      </c>
      <c r="G35" s="66">
        <v>4000000</v>
      </c>
      <c r="H35" s="70">
        <v>5000000</v>
      </c>
      <c r="I35" s="70">
        <v>20000000</v>
      </c>
      <c r="J35" s="70">
        <v>20000000</v>
      </c>
      <c r="K35" s="70">
        <v>30000000</v>
      </c>
      <c r="L35" s="70">
        <v>30000000</v>
      </c>
      <c r="M35" s="70">
        <f>60000000</f>
        <v>60000000</v>
      </c>
      <c r="N35" s="70">
        <v>50000000</v>
      </c>
      <c r="O35" s="70">
        <v>50000000</v>
      </c>
      <c r="P35" s="70">
        <v>50000000</v>
      </c>
      <c r="Q35" s="70">
        <v>20000000</v>
      </c>
      <c r="R35" s="66">
        <f t="shared" si="0"/>
        <v>-30000000</v>
      </c>
    </row>
    <row r="36" spans="1:18" ht="24.95" customHeight="1">
      <c r="A36" s="169">
        <v>22209</v>
      </c>
      <c r="B36" s="66" t="s">
        <v>145</v>
      </c>
      <c r="C36" s="66"/>
      <c r="D36" s="66"/>
      <c r="E36" s="66"/>
      <c r="F36" s="66"/>
      <c r="G36" s="66"/>
      <c r="H36" s="70"/>
      <c r="I36" s="70"/>
      <c r="J36" s="70"/>
      <c r="K36" s="70">
        <v>300000000</v>
      </c>
      <c r="L36" s="70">
        <v>300000000</v>
      </c>
      <c r="M36" s="70">
        <f>300000000</f>
        <v>300000000</v>
      </c>
      <c r="N36" s="70">
        <v>0</v>
      </c>
      <c r="O36" s="70">
        <v>0</v>
      </c>
      <c r="P36" s="70">
        <v>0</v>
      </c>
      <c r="Q36" s="70">
        <v>0</v>
      </c>
      <c r="R36" s="66">
        <f t="shared" si="0"/>
        <v>0</v>
      </c>
    </row>
    <row r="37" spans="1:18" ht="24.95" customHeight="1">
      <c r="A37" s="169"/>
      <c r="B37" s="106" t="s">
        <v>59</v>
      </c>
      <c r="C37" s="106"/>
      <c r="D37" s="106"/>
      <c r="E37" s="106"/>
      <c r="F37" s="106"/>
      <c r="G37" s="106">
        <f>SUM(G33:G35)</f>
        <v>4000000</v>
      </c>
      <c r="H37" s="111">
        <f>SUM(H33:H35)</f>
        <v>135000000</v>
      </c>
      <c r="I37" s="111">
        <f>SUM(I33:I35)</f>
        <v>230000000</v>
      </c>
      <c r="J37" s="111">
        <f>SUM(J33:J35)</f>
        <v>70000000</v>
      </c>
      <c r="K37" s="111">
        <f>SUM(K33:K35)</f>
        <v>286000000</v>
      </c>
      <c r="L37" s="111">
        <f t="shared" ref="L37:P37" si="2">SUM(L32:L36)</f>
        <v>686000000</v>
      </c>
      <c r="M37" s="111">
        <f t="shared" si="2"/>
        <v>960000000</v>
      </c>
      <c r="N37" s="111">
        <f t="shared" si="2"/>
        <v>550000000</v>
      </c>
      <c r="O37" s="111">
        <f t="shared" si="2"/>
        <v>550000000</v>
      </c>
      <c r="P37" s="111">
        <f t="shared" si="2"/>
        <v>700000000</v>
      </c>
      <c r="Q37" s="111">
        <f>SUM(Q32:Q36)</f>
        <v>320000000</v>
      </c>
      <c r="R37" s="106">
        <f t="shared" si="0"/>
        <v>-380000000</v>
      </c>
    </row>
    <row r="38" spans="1:18" ht="24.95" customHeight="1">
      <c r="A38" s="249">
        <v>2230</v>
      </c>
      <c r="B38" s="106" t="s">
        <v>88</v>
      </c>
      <c r="C38" s="66"/>
      <c r="D38" s="66"/>
      <c r="E38" s="66">
        <v>0</v>
      </c>
      <c r="F38" s="66">
        <v>0</v>
      </c>
      <c r="G38" s="66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6">
        <f t="shared" si="0"/>
        <v>0</v>
      </c>
    </row>
    <row r="39" spans="1:18" ht="24.95" customHeight="1">
      <c r="A39" s="169">
        <v>22301</v>
      </c>
      <c r="B39" s="66" t="s">
        <v>31</v>
      </c>
      <c r="C39" s="66">
        <v>18000000</v>
      </c>
      <c r="D39" s="66">
        <v>30000000</v>
      </c>
      <c r="E39" s="66">
        <v>30000000</v>
      </c>
      <c r="F39" s="66">
        <v>30000000</v>
      </c>
      <c r="G39" s="66">
        <v>24000000</v>
      </c>
      <c r="H39" s="70">
        <v>30000000</v>
      </c>
      <c r="I39" s="70">
        <v>30000000</v>
      </c>
      <c r="J39" s="70">
        <v>50000000</v>
      </c>
      <c r="K39" s="70">
        <v>30000000</v>
      </c>
      <c r="L39" s="70">
        <v>85556000</v>
      </c>
      <c r="M39" s="70">
        <f>120000000</f>
        <v>120000000</v>
      </c>
      <c r="N39" s="70">
        <v>50000000</v>
      </c>
      <c r="O39" s="70">
        <v>50000000</v>
      </c>
      <c r="P39" s="70">
        <v>100000000</v>
      </c>
      <c r="Q39" s="70">
        <v>100000000</v>
      </c>
      <c r="R39" s="66">
        <f t="shared" si="0"/>
        <v>0</v>
      </c>
    </row>
    <row r="40" spans="1:18" ht="24.95" customHeight="1">
      <c r="A40" s="169">
        <v>22302</v>
      </c>
      <c r="B40" s="66" t="s">
        <v>162</v>
      </c>
      <c r="C40" s="66"/>
      <c r="D40" s="66"/>
      <c r="E40" s="66"/>
      <c r="F40" s="66"/>
      <c r="G40" s="66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f>100000000+300000000</f>
        <v>400000000</v>
      </c>
      <c r="N40" s="70">
        <v>0</v>
      </c>
      <c r="O40" s="70">
        <v>60000000</v>
      </c>
      <c r="P40" s="70">
        <v>100000000</v>
      </c>
      <c r="Q40" s="70">
        <v>0</v>
      </c>
      <c r="R40" s="66">
        <f t="shared" si="0"/>
        <v>-100000000</v>
      </c>
    </row>
    <row r="41" spans="1:18" ht="24.95" customHeight="1">
      <c r="A41" s="169">
        <v>22303</v>
      </c>
      <c r="B41" s="66" t="s">
        <v>163</v>
      </c>
      <c r="C41" s="66"/>
      <c r="D41" s="66"/>
      <c r="E41" s="66"/>
      <c r="F41" s="66">
        <v>0</v>
      </c>
      <c r="G41" s="66">
        <v>4000000</v>
      </c>
      <c r="H41" s="70">
        <v>5000000</v>
      </c>
      <c r="I41" s="70">
        <v>5000000</v>
      </c>
      <c r="J41" s="70">
        <v>15000000</v>
      </c>
      <c r="K41" s="70">
        <v>5000000</v>
      </c>
      <c r="L41" s="70">
        <v>5000000</v>
      </c>
      <c r="M41" s="70">
        <f>60000000</f>
        <v>60000000</v>
      </c>
      <c r="N41" s="70">
        <v>0</v>
      </c>
      <c r="O41" s="70">
        <v>0</v>
      </c>
      <c r="P41" s="70">
        <v>0</v>
      </c>
      <c r="Q41" s="70">
        <v>0</v>
      </c>
      <c r="R41" s="66">
        <f t="shared" si="0"/>
        <v>0</v>
      </c>
    </row>
    <row r="42" spans="1:18" ht="24.95" customHeight="1">
      <c r="A42" s="169"/>
      <c r="B42" s="106" t="s">
        <v>59</v>
      </c>
      <c r="C42" s="106"/>
      <c r="D42" s="106"/>
      <c r="E42" s="106"/>
      <c r="F42" s="106"/>
      <c r="G42" s="106">
        <f t="shared" ref="G42:L42" si="3">SUM(G39:G41)</f>
        <v>28000000</v>
      </c>
      <c r="H42" s="111">
        <f t="shared" si="3"/>
        <v>35000000</v>
      </c>
      <c r="I42" s="111">
        <f t="shared" si="3"/>
        <v>35000000</v>
      </c>
      <c r="J42" s="111">
        <f t="shared" si="3"/>
        <v>65000000</v>
      </c>
      <c r="K42" s="111">
        <f t="shared" si="3"/>
        <v>35000000</v>
      </c>
      <c r="L42" s="111">
        <f t="shared" si="3"/>
        <v>90556000</v>
      </c>
      <c r="M42" s="111">
        <f>SUM(M39:M41)</f>
        <v>580000000</v>
      </c>
      <c r="N42" s="111">
        <f>SUM(N39:N41)</f>
        <v>50000000</v>
      </c>
      <c r="O42" s="111">
        <f>SUM(O39:O41)</f>
        <v>110000000</v>
      </c>
      <c r="P42" s="111">
        <f>SUM(P39:P41)</f>
        <v>200000000</v>
      </c>
      <c r="Q42" s="111">
        <f>SUM(Q39:Q41)</f>
        <v>100000000</v>
      </c>
      <c r="R42" s="106">
        <f t="shared" si="0"/>
        <v>-100000000</v>
      </c>
    </row>
    <row r="43" spans="1:18" ht="24.95" customHeight="1">
      <c r="A43" s="249">
        <v>230</v>
      </c>
      <c r="B43" s="106" t="s">
        <v>165</v>
      </c>
      <c r="C43" s="66">
        <v>0</v>
      </c>
      <c r="D43" s="66">
        <v>0</v>
      </c>
      <c r="E43" s="66">
        <v>0</v>
      </c>
      <c r="F43" s="66">
        <v>0</v>
      </c>
      <c r="G43" s="66">
        <v>16000000</v>
      </c>
      <c r="H43" s="66">
        <v>360113000</v>
      </c>
      <c r="I43" s="66">
        <v>208212162</v>
      </c>
      <c r="J43" s="66">
        <v>330000000</v>
      </c>
      <c r="K43" s="66"/>
      <c r="L43" s="66"/>
      <c r="M43" s="66"/>
      <c r="N43" s="66"/>
      <c r="O43" s="66"/>
      <c r="P43" s="66"/>
      <c r="Q43" s="66"/>
      <c r="R43" s="66">
        <f t="shared" si="0"/>
        <v>0</v>
      </c>
    </row>
    <row r="44" spans="1:18" ht="24.95" customHeight="1">
      <c r="A44" s="249">
        <v>2310</v>
      </c>
      <c r="B44" s="106" t="s">
        <v>164</v>
      </c>
      <c r="C44" s="66"/>
      <c r="D44" s="66"/>
      <c r="E44" s="66"/>
      <c r="F44" s="66"/>
      <c r="G44" s="66"/>
      <c r="H44" s="66"/>
      <c r="I44" s="66">
        <v>0</v>
      </c>
      <c r="J44" s="66">
        <v>35000000</v>
      </c>
      <c r="K44" s="66"/>
      <c r="L44" s="66"/>
      <c r="M44" s="66"/>
      <c r="N44" s="66"/>
      <c r="O44" s="66"/>
      <c r="P44" s="66"/>
      <c r="Q44" s="66"/>
      <c r="R44" s="66">
        <f t="shared" si="0"/>
        <v>0</v>
      </c>
    </row>
    <row r="45" spans="1:18" ht="24.95" customHeight="1">
      <c r="A45" s="169">
        <v>23101</v>
      </c>
      <c r="B45" s="66" t="s">
        <v>304</v>
      </c>
      <c r="C45" s="66"/>
      <c r="D45" s="66"/>
      <c r="E45" s="66"/>
      <c r="F45" s="66"/>
      <c r="G45" s="66"/>
      <c r="H45" s="66"/>
      <c r="I45" s="66"/>
      <c r="J45" s="66"/>
      <c r="K45" s="66"/>
      <c r="L45" s="66">
        <v>0</v>
      </c>
      <c r="M45" s="66">
        <f>156000000</f>
        <v>156000000</v>
      </c>
      <c r="N45" s="66">
        <v>0</v>
      </c>
      <c r="O45" s="66">
        <v>220000000</v>
      </c>
      <c r="P45" s="66">
        <v>0</v>
      </c>
      <c r="Q45" s="66">
        <v>396000000</v>
      </c>
      <c r="R45" s="66">
        <f t="shared" si="0"/>
        <v>396000000</v>
      </c>
    </row>
    <row r="46" spans="1:18" ht="24.95" customHeight="1">
      <c r="A46" s="169">
        <v>23105</v>
      </c>
      <c r="B46" s="66" t="s">
        <v>735</v>
      </c>
      <c r="C46" s="106" t="e">
        <f>#REF!+#REF!+#REF!+#REF!+#REF!</f>
        <v>#REF!</v>
      </c>
      <c r="D46" s="106" t="e">
        <f>#REF!+#REF!+#REF!+#REF!+#REF!</f>
        <v>#REF!</v>
      </c>
      <c r="E46" s="106" t="e">
        <f>#REF!+#REF!+#REF!+#REF!+#REF!</f>
        <v>#REF!</v>
      </c>
      <c r="F46" s="106" t="e">
        <f>#REF!+#REF!+#REF!+#REF!+#REF!</f>
        <v>#REF!</v>
      </c>
      <c r="G46" s="106" t="e">
        <f>#REF!+#REF!+#REF!+#REF!+#REF!</f>
        <v>#REF!</v>
      </c>
      <c r="H46" s="106" t="e">
        <f>#REF!+#REF!+#REF!+#REF!+#REF!</f>
        <v>#REF!</v>
      </c>
      <c r="I46" s="106" t="e">
        <f>#REF!+#REF!+#REF!+#REF!+#REF!</f>
        <v>#REF!</v>
      </c>
      <c r="J46" s="106" t="e">
        <f>#REF!+#REF!+#REF!+#REF!+#REF!</f>
        <v>#REF!</v>
      </c>
      <c r="K46" s="66">
        <v>20000000</v>
      </c>
      <c r="L46" s="66">
        <v>20000000</v>
      </c>
      <c r="M46" s="66">
        <f>20000000</f>
        <v>20000000</v>
      </c>
      <c r="N46" s="66">
        <v>0</v>
      </c>
      <c r="O46" s="66">
        <v>0</v>
      </c>
      <c r="P46" s="66">
        <v>0</v>
      </c>
      <c r="Q46" s="66">
        <v>0</v>
      </c>
      <c r="R46" s="66">
        <f t="shared" si="0"/>
        <v>0</v>
      </c>
    </row>
    <row r="47" spans="1:18" ht="24.95" customHeight="1">
      <c r="A47" s="169"/>
      <c r="B47" s="106" t="s">
        <v>59</v>
      </c>
      <c r="C47" s="118"/>
      <c r="D47" s="118"/>
      <c r="E47" s="118"/>
      <c r="F47" s="100"/>
      <c r="G47" s="100"/>
      <c r="H47" s="100"/>
      <c r="I47" s="100"/>
      <c r="J47" s="100"/>
      <c r="K47" s="100"/>
      <c r="L47" s="105">
        <f>SUM(L46:L46)</f>
        <v>20000000</v>
      </c>
      <c r="M47" s="105">
        <f>SUM(M45:M46)</f>
        <v>176000000</v>
      </c>
      <c r="N47" s="105">
        <f>SUM(N45:N46)</f>
        <v>0</v>
      </c>
      <c r="O47" s="105">
        <f>SUM(O45:O46)</f>
        <v>220000000</v>
      </c>
      <c r="P47" s="105">
        <f>SUM(P45:P46)</f>
        <v>0</v>
      </c>
      <c r="Q47" s="105">
        <f>SUM(Q45:Q46)</f>
        <v>396000000</v>
      </c>
      <c r="R47" s="66">
        <f t="shared" si="0"/>
        <v>396000000</v>
      </c>
    </row>
    <row r="48" spans="1:18" ht="24.95" customHeight="1">
      <c r="A48" s="249">
        <v>2320</v>
      </c>
      <c r="B48" s="106" t="s">
        <v>87</v>
      </c>
      <c r="C48" s="66"/>
      <c r="D48" s="66"/>
      <c r="E48" s="66"/>
      <c r="F48" s="66"/>
      <c r="G48" s="66"/>
      <c r="H48" s="66"/>
      <c r="I48" s="66"/>
      <c r="J48" s="66"/>
      <c r="K48" s="106"/>
      <c r="L48" s="106"/>
      <c r="M48" s="66"/>
      <c r="N48" s="66"/>
      <c r="O48" s="66"/>
      <c r="P48" s="66"/>
      <c r="Q48" s="66"/>
      <c r="R48" s="66">
        <f t="shared" si="0"/>
        <v>0</v>
      </c>
    </row>
    <row r="49" spans="1:18" ht="24.95" customHeight="1">
      <c r="A49" s="169">
        <v>23201</v>
      </c>
      <c r="B49" s="66" t="s">
        <v>814</v>
      </c>
      <c r="C49" s="66"/>
      <c r="D49" s="66"/>
      <c r="E49" s="66"/>
      <c r="F49" s="66"/>
      <c r="G49" s="66"/>
      <c r="H49" s="66"/>
      <c r="I49" s="66"/>
      <c r="J49" s="66"/>
      <c r="K49" s="66">
        <v>210000000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f t="shared" si="0"/>
        <v>0</v>
      </c>
    </row>
    <row r="50" spans="1:18" ht="24.95" customHeight="1">
      <c r="A50" s="169"/>
      <c r="B50" s="106" t="s">
        <v>59</v>
      </c>
      <c r="C50" s="66"/>
      <c r="D50" s="66"/>
      <c r="E50" s="66"/>
      <c r="F50" s="66"/>
      <c r="G50" s="66"/>
      <c r="H50" s="66"/>
      <c r="I50" s="66"/>
      <c r="J50" s="66"/>
      <c r="K50" s="106">
        <f t="shared" ref="K50:P50" si="4">SUM(K49)</f>
        <v>210000000</v>
      </c>
      <c r="L50" s="106">
        <f t="shared" si="4"/>
        <v>0</v>
      </c>
      <c r="M50" s="106">
        <f t="shared" si="4"/>
        <v>0</v>
      </c>
      <c r="N50" s="106">
        <f t="shared" si="4"/>
        <v>0</v>
      </c>
      <c r="O50" s="106">
        <f t="shared" si="4"/>
        <v>0</v>
      </c>
      <c r="P50" s="106">
        <f t="shared" si="4"/>
        <v>0</v>
      </c>
      <c r="Q50" s="106">
        <f>SUM(Q49)</f>
        <v>0</v>
      </c>
      <c r="R50" s="66">
        <f t="shared" si="0"/>
        <v>0</v>
      </c>
    </row>
    <row r="51" spans="1:18" s="267" customFormat="1" ht="24.95" customHeight="1">
      <c r="A51" s="169"/>
      <c r="B51" s="106" t="s">
        <v>18</v>
      </c>
      <c r="C51" s="106" t="e">
        <f>#REF!+#REF!+#REF!+C33+C14</f>
        <v>#REF!</v>
      </c>
      <c r="D51" s="106" t="e">
        <f>#REF!+#REF!+#REF!+D33+D14</f>
        <v>#REF!</v>
      </c>
      <c r="E51" s="106" t="e">
        <f>#REF!+#REF!+#REF!+E33+E14</f>
        <v>#REF!</v>
      </c>
      <c r="F51" s="106" t="e">
        <f>#REF!+#REF!+#REF!+F33+F14</f>
        <v>#REF!</v>
      </c>
      <c r="G51" s="106" t="e">
        <f>#REF!+#REF!+G37+G30+G12</f>
        <v>#REF!</v>
      </c>
      <c r="H51" s="106" t="e">
        <f>+#REF!+#REF!+H37+H30+H12</f>
        <v>#REF!</v>
      </c>
      <c r="I51" s="106" t="e">
        <f>#REF!+#REF!+I37+I30+I12</f>
        <v>#REF!</v>
      </c>
      <c r="J51" s="106" t="e">
        <f>#REF!+#REF!+J37+J30+J12</f>
        <v>#REF!</v>
      </c>
      <c r="K51" s="106" t="e">
        <f>#REF!+K42+K37+K30+K12</f>
        <v>#REF!</v>
      </c>
      <c r="L51" s="106">
        <f t="shared" ref="L51:P51" si="5">L50+L47+L42+L37+L30+L12</f>
        <v>6073620400</v>
      </c>
      <c r="M51" s="106" t="e">
        <f t="shared" si="5"/>
        <v>#REF!</v>
      </c>
      <c r="N51" s="106">
        <f t="shared" si="5"/>
        <v>14413692800</v>
      </c>
      <c r="O51" s="106">
        <f t="shared" si="5"/>
        <v>15364892800</v>
      </c>
      <c r="P51" s="106">
        <f t="shared" si="5"/>
        <v>17234053120</v>
      </c>
      <c r="Q51" s="106">
        <f>Q50+Q47+Q42+Q37+Q30+Q12</f>
        <v>20199178720</v>
      </c>
      <c r="R51" s="106">
        <f t="shared" si="0"/>
        <v>2965125600</v>
      </c>
    </row>
    <row r="52" spans="1:18" ht="24.95" customHeight="1">
      <c r="E52" s="269">
        <v>0</v>
      </c>
      <c r="M52" s="270"/>
      <c r="N52" s="270"/>
      <c r="O52" s="270"/>
    </row>
    <row r="53" spans="1:18" ht="24.95" customHeight="1">
      <c r="F53" s="269">
        <v>2492914659</v>
      </c>
    </row>
    <row r="54" spans="1:18" ht="24.95" customHeight="1">
      <c r="F54" s="269" t="e">
        <f>F51-F53</f>
        <v>#REF!</v>
      </c>
    </row>
  </sheetData>
  <phoneticPr fontId="0" type="noConversion"/>
  <printOptions gridLines="1"/>
  <pageMargins left="0.6" right="0.45" top="0.57999999999999996" bottom="0.18" header="0.17" footer="0.28999999999999998"/>
  <pageSetup scale="55" orientation="portrait" r:id="rId1"/>
  <headerFooter alignWithMargins="0">
    <oddHeader>&amp;C&amp;"Algerian,Bold"&amp;36Golaha Guurtidda JSL.</oddHeader>
    <oddFooter>&amp;C&amp;"Algerian,Regular"&amp;14 &amp;R&amp;"Times New Roman,Bold"&amp;20 3</oddFooter>
  </headerFooter>
  <ignoredErrors>
    <ignoredError sqref="K3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Q442"/>
  <sheetViews>
    <sheetView tabSelected="1" view="pageBreakPreview" zoomScale="60" zoomScaleNormal="100" workbookViewId="0">
      <selection activeCell="B8" sqref="B8"/>
    </sheetView>
  </sheetViews>
  <sheetFormatPr defaultRowHeight="23.1" customHeight="1"/>
  <cols>
    <col min="1" max="1" width="16.6640625" style="279" bestFit="1" customWidth="1"/>
    <col min="2" max="2" width="79" style="273" bestFit="1" customWidth="1"/>
    <col min="3" max="3" width="23.1640625" style="273" hidden="1" customWidth="1"/>
    <col min="4" max="4" width="0.5" style="273" hidden="1" customWidth="1"/>
    <col min="5" max="5" width="0.83203125" style="273" hidden="1" customWidth="1"/>
    <col min="6" max="6" width="19.33203125" style="273" hidden="1" customWidth="1"/>
    <col min="7" max="7" width="0.33203125" style="273" hidden="1" customWidth="1"/>
    <col min="8" max="8" width="3.1640625" style="273" hidden="1" customWidth="1"/>
    <col min="9" max="10" width="1.6640625" style="273" hidden="1" customWidth="1"/>
    <col min="11" max="11" width="27.5" style="273" hidden="1" customWidth="1"/>
    <col min="12" max="12" width="29.83203125" style="273" hidden="1" customWidth="1"/>
    <col min="13" max="14" width="28.6640625" style="273" hidden="1" customWidth="1"/>
    <col min="15" max="15" width="29.83203125" style="278" bestFit="1" customWidth="1"/>
    <col min="16" max="16" width="29.83203125" style="278" customWidth="1"/>
    <col min="17" max="17" width="32.5" style="273" bestFit="1" customWidth="1"/>
    <col min="18" max="16384" width="9.33203125" style="273"/>
  </cols>
  <sheetData>
    <row r="1" spans="1:17" ht="23.1" customHeight="1">
      <c r="A1" s="249" t="s">
        <v>20</v>
      </c>
      <c r="B1" s="250" t="s">
        <v>761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72"/>
    </row>
    <row r="2" spans="1:17" ht="23.1" customHeight="1">
      <c r="A2" s="249" t="s">
        <v>6</v>
      </c>
      <c r="B2" s="130" t="s">
        <v>7</v>
      </c>
      <c r="C2" s="106" t="s">
        <v>19</v>
      </c>
      <c r="D2" s="106" t="s">
        <v>2</v>
      </c>
      <c r="E2" s="106" t="s">
        <v>24</v>
      </c>
      <c r="F2" s="106" t="s">
        <v>28</v>
      </c>
      <c r="G2" s="106" t="s">
        <v>33</v>
      </c>
      <c r="H2" s="112" t="s">
        <v>41</v>
      </c>
      <c r="I2" s="112" t="s">
        <v>66</v>
      </c>
      <c r="J2" s="112" t="s">
        <v>69</v>
      </c>
      <c r="K2" s="112" t="s">
        <v>96</v>
      </c>
      <c r="L2" s="112" t="s">
        <v>168</v>
      </c>
      <c r="M2" s="112" t="s">
        <v>320</v>
      </c>
      <c r="N2" s="112" t="s">
        <v>529</v>
      </c>
      <c r="O2" s="112" t="s">
        <v>604</v>
      </c>
      <c r="P2" s="112" t="s">
        <v>722</v>
      </c>
      <c r="Q2" s="112" t="s">
        <v>34</v>
      </c>
    </row>
    <row r="3" spans="1:17" ht="23.1" customHeight="1">
      <c r="A3" s="249">
        <v>210</v>
      </c>
      <c r="B3" s="106" t="s">
        <v>95</v>
      </c>
      <c r="C3" s="66"/>
      <c r="D3" s="66"/>
      <c r="E3" s="66"/>
      <c r="F3" s="66"/>
      <c r="G3" s="66"/>
      <c r="H3" s="128"/>
      <c r="I3" s="128"/>
      <c r="J3" s="128"/>
      <c r="K3" s="128"/>
      <c r="L3" s="128"/>
      <c r="M3" s="128"/>
      <c r="N3" s="128"/>
      <c r="O3" s="128"/>
      <c r="P3" s="128"/>
      <c r="Q3" s="274"/>
    </row>
    <row r="4" spans="1:17" ht="23.1" customHeight="1">
      <c r="A4" s="249">
        <v>2110</v>
      </c>
      <c r="B4" s="106" t="s">
        <v>155</v>
      </c>
      <c r="C4" s="66">
        <v>61545000</v>
      </c>
      <c r="D4" s="66">
        <v>74124000</v>
      </c>
      <c r="E4" s="66">
        <v>64128000</v>
      </c>
      <c r="F4" s="66">
        <v>72660000</v>
      </c>
      <c r="G4" s="66">
        <v>72660000</v>
      </c>
      <c r="H4" s="66">
        <f>72660000+42936000</f>
        <v>115596000</v>
      </c>
      <c r="I4" s="66">
        <f>150274800+4149600+13104000+3198000</f>
        <v>170726400</v>
      </c>
      <c r="J4" s="66">
        <f>170726400+3198000</f>
        <v>173924400</v>
      </c>
      <c r="K4" s="66"/>
      <c r="L4" s="66"/>
      <c r="M4" s="66"/>
      <c r="N4" s="66"/>
      <c r="O4" s="66"/>
      <c r="P4" s="66"/>
      <c r="Q4" s="66"/>
    </row>
    <row r="5" spans="1:17" ht="23.1" customHeight="1">
      <c r="A5" s="169">
        <v>21101</v>
      </c>
      <c r="B5" s="66" t="s">
        <v>9</v>
      </c>
      <c r="C5" s="66">
        <v>1180900</v>
      </c>
      <c r="D5" s="66"/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177621600</v>
      </c>
      <c r="L5" s="66">
        <f>404570400+25000000</f>
        <v>429570400</v>
      </c>
      <c r="M5" s="66">
        <v>486470400</v>
      </c>
      <c r="N5" s="66">
        <v>486127200</v>
      </c>
      <c r="O5" s="66">
        <v>705407040</v>
      </c>
      <c r="P5" s="66">
        <v>744419520</v>
      </c>
      <c r="Q5" s="66">
        <f>P5-O5</f>
        <v>39012480</v>
      </c>
    </row>
    <row r="6" spans="1:17" ht="23.1" customHeight="1">
      <c r="A6" s="169">
        <v>21102</v>
      </c>
      <c r="B6" s="66" t="s">
        <v>291</v>
      </c>
      <c r="C6" s="66">
        <v>1123486000</v>
      </c>
      <c r="D6" s="66">
        <v>1227036000</v>
      </c>
      <c r="E6" s="66">
        <v>1192428000</v>
      </c>
      <c r="F6" s="66">
        <f>1935276000+1200000</f>
        <v>1936476000</v>
      </c>
      <c r="G6" s="66">
        <f>1936476000+600000000</f>
        <v>2536476000</v>
      </c>
      <c r="H6" s="66">
        <f>2529276000+54000000</f>
        <v>2583276000</v>
      </c>
      <c r="I6" s="66">
        <f>2530476000+4800000</f>
        <v>2535276000</v>
      </c>
      <c r="J6" s="66">
        <f>2535276000+2400000</f>
        <v>2537676000</v>
      </c>
      <c r="K6" s="66">
        <v>0</v>
      </c>
      <c r="L6" s="66">
        <v>6396000000</v>
      </c>
      <c r="M6" s="66">
        <v>6396000000</v>
      </c>
      <c r="N6" s="66">
        <v>6396000000</v>
      </c>
      <c r="O6" s="66">
        <v>6396000000</v>
      </c>
      <c r="P6" s="66">
        <v>6396000000</v>
      </c>
      <c r="Q6" s="66">
        <f t="shared" ref="Q6:Q54" si="0">P6-O6</f>
        <v>0</v>
      </c>
    </row>
    <row r="7" spans="1:17" ht="23.1" customHeight="1">
      <c r="A7" s="169">
        <v>21103</v>
      </c>
      <c r="B7" s="66" t="s">
        <v>532</v>
      </c>
      <c r="C7" s="66"/>
      <c r="D7" s="66"/>
      <c r="E7" s="66"/>
      <c r="F7" s="66"/>
      <c r="G7" s="66"/>
      <c r="H7" s="66"/>
      <c r="I7" s="66"/>
      <c r="J7" s="66"/>
      <c r="K7" s="66">
        <v>2537676000</v>
      </c>
      <c r="L7" s="66">
        <f>1742100000+7200000</f>
        <v>1749300000</v>
      </c>
      <c r="M7" s="66">
        <v>1851300000</v>
      </c>
      <c r="N7" s="66">
        <v>1847700000</v>
      </c>
      <c r="O7" s="66">
        <v>1970100000</v>
      </c>
      <c r="P7" s="66">
        <v>1988100000</v>
      </c>
      <c r="Q7" s="66">
        <f t="shared" si="0"/>
        <v>18000000</v>
      </c>
    </row>
    <row r="8" spans="1:17" s="267" customFormat="1" ht="23.1" customHeight="1">
      <c r="A8" s="169">
        <v>21104</v>
      </c>
      <c r="B8" s="66" t="s">
        <v>98</v>
      </c>
      <c r="C8" s="66">
        <f t="shared" ref="C8:I8" si="1">SUM(C4:C6)</f>
        <v>1186211900</v>
      </c>
      <c r="D8" s="66">
        <f t="shared" si="1"/>
        <v>1301160000</v>
      </c>
      <c r="E8" s="66">
        <f t="shared" si="1"/>
        <v>1256556000</v>
      </c>
      <c r="F8" s="66">
        <f t="shared" si="1"/>
        <v>2009136000</v>
      </c>
      <c r="G8" s="66">
        <f t="shared" si="1"/>
        <v>2609136000</v>
      </c>
      <c r="H8" s="66">
        <f t="shared" si="1"/>
        <v>2698872000</v>
      </c>
      <c r="I8" s="106">
        <f t="shared" si="1"/>
        <v>2706002400</v>
      </c>
      <c r="J8" s="66"/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f t="shared" si="0"/>
        <v>0</v>
      </c>
    </row>
    <row r="9" spans="1:17" s="267" customFormat="1" ht="23.1" customHeight="1">
      <c r="A9" s="169">
        <v>21105</v>
      </c>
      <c r="B9" s="66" t="s">
        <v>914</v>
      </c>
      <c r="C9" s="66">
        <v>2500000</v>
      </c>
      <c r="D9" s="66">
        <v>2000000</v>
      </c>
      <c r="E9" s="66">
        <v>2000000</v>
      </c>
      <c r="F9" s="66">
        <v>2000000</v>
      </c>
      <c r="G9" s="66">
        <v>1600000</v>
      </c>
      <c r="H9" s="66">
        <v>41000000</v>
      </c>
      <c r="I9" s="66">
        <v>41000000</v>
      </c>
      <c r="J9" s="66"/>
      <c r="K9" s="66">
        <v>90864000</v>
      </c>
      <c r="L9" s="66">
        <v>150864000</v>
      </c>
      <c r="M9" s="66">
        <f>L9*70%</f>
        <v>105604800</v>
      </c>
      <c r="N9" s="66">
        <v>105604800</v>
      </c>
      <c r="O9" s="66">
        <v>105604800</v>
      </c>
      <c r="P9" s="66">
        <v>8000000000</v>
      </c>
      <c r="Q9" s="66">
        <f t="shared" si="0"/>
        <v>7894395200</v>
      </c>
    </row>
    <row r="10" spans="1:17" s="267" customFormat="1" ht="23.1" customHeight="1">
      <c r="A10" s="169" t="s">
        <v>884</v>
      </c>
      <c r="B10" s="66" t="s">
        <v>883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>
        <v>0</v>
      </c>
      <c r="P10" s="66">
        <v>213604800</v>
      </c>
      <c r="Q10" s="66">
        <f t="shared" si="0"/>
        <v>213604800</v>
      </c>
    </row>
    <row r="11" spans="1:17" ht="23.1" customHeight="1">
      <c r="A11" s="249">
        <v>2120</v>
      </c>
      <c r="B11" s="106" t="s">
        <v>156</v>
      </c>
      <c r="C11" s="66"/>
      <c r="D11" s="66"/>
      <c r="E11" s="66"/>
      <c r="F11" s="66"/>
      <c r="G11" s="66"/>
      <c r="H11" s="66"/>
      <c r="I11" s="66"/>
      <c r="J11" s="66"/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66">
        <f t="shared" si="0"/>
        <v>0</v>
      </c>
    </row>
    <row r="12" spans="1:17" ht="23.1" customHeight="1">
      <c r="A12" s="169">
        <v>21203</v>
      </c>
      <c r="B12" s="66" t="s">
        <v>158</v>
      </c>
      <c r="C12" s="66">
        <v>18000000</v>
      </c>
      <c r="D12" s="66">
        <f>25000000-2000000</f>
        <v>23000000</v>
      </c>
      <c r="E12" s="66">
        <v>23000000</v>
      </c>
      <c r="F12" s="66">
        <v>23000000</v>
      </c>
      <c r="G12" s="66">
        <v>18400000</v>
      </c>
      <c r="H12" s="66">
        <v>56000000</v>
      </c>
      <c r="I12" s="66">
        <v>100000000</v>
      </c>
      <c r="J12" s="66">
        <v>80000000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f t="shared" si="0"/>
        <v>0</v>
      </c>
    </row>
    <row r="13" spans="1:17" ht="23.1" customHeight="1">
      <c r="A13" s="169"/>
      <c r="B13" s="106" t="s">
        <v>59</v>
      </c>
      <c r="C13" s="66">
        <v>11878000</v>
      </c>
      <c r="D13" s="66">
        <f>2000000+2000000</f>
        <v>4000000</v>
      </c>
      <c r="E13" s="66">
        <v>2000000</v>
      </c>
      <c r="F13" s="66">
        <v>2000000</v>
      </c>
      <c r="G13" s="66">
        <v>1600000</v>
      </c>
      <c r="H13" s="66">
        <v>30000000</v>
      </c>
      <c r="I13" s="66">
        <v>60000000</v>
      </c>
      <c r="J13" s="66">
        <v>50000000</v>
      </c>
      <c r="K13" s="106">
        <f t="shared" ref="K13:O13" si="2">SUM(K5:K12)</f>
        <v>2806161600</v>
      </c>
      <c r="L13" s="106">
        <f t="shared" si="2"/>
        <v>8725734400</v>
      </c>
      <c r="M13" s="106">
        <f t="shared" si="2"/>
        <v>8839375200</v>
      </c>
      <c r="N13" s="106">
        <f t="shared" si="2"/>
        <v>8835432000</v>
      </c>
      <c r="O13" s="106">
        <f t="shared" si="2"/>
        <v>9177111840</v>
      </c>
      <c r="P13" s="106">
        <f>SUM(P5:P12)</f>
        <v>17342124320</v>
      </c>
      <c r="Q13" s="106">
        <f t="shared" si="0"/>
        <v>8165012480</v>
      </c>
    </row>
    <row r="14" spans="1:17" ht="23.1" customHeight="1">
      <c r="A14" s="249">
        <v>220</v>
      </c>
      <c r="B14" s="106" t="s">
        <v>159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200000000</v>
      </c>
      <c r="I14" s="66">
        <v>200000000</v>
      </c>
      <c r="J14" s="66">
        <v>280000000</v>
      </c>
      <c r="K14" s="66"/>
      <c r="L14" s="66"/>
      <c r="M14" s="66"/>
      <c r="N14" s="66"/>
      <c r="O14" s="66"/>
      <c r="P14" s="66"/>
      <c r="Q14" s="66">
        <f t="shared" si="0"/>
        <v>0</v>
      </c>
    </row>
    <row r="15" spans="1:17" ht="23.1" customHeight="1">
      <c r="A15" s="249">
        <v>2210</v>
      </c>
      <c r="B15" s="106" t="s">
        <v>160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>
        <f t="shared" si="0"/>
        <v>0</v>
      </c>
    </row>
    <row r="16" spans="1:17" ht="23.1" customHeight="1">
      <c r="A16" s="169">
        <v>22101</v>
      </c>
      <c r="B16" s="66" t="s">
        <v>14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356850000</v>
      </c>
      <c r="I16" s="66">
        <v>0</v>
      </c>
      <c r="J16" s="66">
        <v>84000000</v>
      </c>
      <c r="K16" s="66">
        <v>200000000</v>
      </c>
      <c r="L16" s="66">
        <v>150000000</v>
      </c>
      <c r="M16" s="66">
        <v>0</v>
      </c>
      <c r="N16" s="66">
        <v>0</v>
      </c>
      <c r="O16" s="66">
        <v>0</v>
      </c>
      <c r="P16" s="66">
        <v>0</v>
      </c>
      <c r="Q16" s="66">
        <f t="shared" si="0"/>
        <v>0</v>
      </c>
    </row>
    <row r="17" spans="1:17" ht="23.1" customHeight="1">
      <c r="A17" s="169">
        <v>22102</v>
      </c>
      <c r="B17" s="66" t="s">
        <v>82</v>
      </c>
      <c r="C17" s="66">
        <v>1500000</v>
      </c>
      <c r="D17" s="66">
        <v>5500000</v>
      </c>
      <c r="E17" s="66">
        <v>500000</v>
      </c>
      <c r="F17" s="66">
        <v>500000</v>
      </c>
      <c r="G17" s="66">
        <v>400000</v>
      </c>
      <c r="H17" s="66">
        <v>12000000</v>
      </c>
      <c r="I17" s="66">
        <v>20000000</v>
      </c>
      <c r="J17" s="66">
        <v>20000000</v>
      </c>
      <c r="K17" s="66">
        <v>150000000</v>
      </c>
      <c r="L17" s="66">
        <v>150000000</v>
      </c>
      <c r="M17" s="66">
        <v>0</v>
      </c>
      <c r="N17" s="66">
        <v>0</v>
      </c>
      <c r="O17" s="66">
        <v>0</v>
      </c>
      <c r="P17" s="66">
        <v>0</v>
      </c>
      <c r="Q17" s="66">
        <f t="shared" si="0"/>
        <v>0</v>
      </c>
    </row>
    <row r="18" spans="1:17" ht="23.1" customHeight="1">
      <c r="A18" s="169">
        <v>22103</v>
      </c>
      <c r="B18" s="66" t="s">
        <v>83</v>
      </c>
      <c r="C18" s="66"/>
      <c r="D18" s="66"/>
      <c r="E18" s="66"/>
      <c r="F18" s="66"/>
      <c r="G18" s="66"/>
      <c r="H18" s="66"/>
      <c r="I18" s="66"/>
      <c r="J18" s="66"/>
      <c r="K18" s="66">
        <v>140000000</v>
      </c>
      <c r="L18" s="66">
        <f>140000000+500000000</f>
        <v>640000000</v>
      </c>
      <c r="M18" s="66">
        <v>538000000</v>
      </c>
      <c r="N18" s="66">
        <v>668000000</v>
      </c>
      <c r="O18" s="66">
        <f>N18</f>
        <v>668000000</v>
      </c>
      <c r="P18" s="66">
        <v>100000000</v>
      </c>
      <c r="Q18" s="66">
        <f t="shared" si="0"/>
        <v>-568000000</v>
      </c>
    </row>
    <row r="19" spans="1:17" ht="23.1" customHeight="1">
      <c r="A19" s="169">
        <v>22104</v>
      </c>
      <c r="B19" s="66" t="s">
        <v>116</v>
      </c>
      <c r="C19" s="66"/>
      <c r="D19" s="66"/>
      <c r="E19" s="66"/>
      <c r="F19" s="66"/>
      <c r="G19" s="66"/>
      <c r="H19" s="66"/>
      <c r="I19" s="66"/>
      <c r="J19" s="66"/>
      <c r="K19" s="66">
        <v>180000000</v>
      </c>
      <c r="L19" s="66">
        <f>180000000+50000000</f>
        <v>230000000</v>
      </c>
      <c r="M19" s="66">
        <f>180000000+50000000</f>
        <v>230000000</v>
      </c>
      <c r="N19" s="66">
        <f>180000000+50000000</f>
        <v>230000000</v>
      </c>
      <c r="O19" s="66">
        <f>180000000+50000000</f>
        <v>230000000</v>
      </c>
      <c r="P19" s="66">
        <v>100000000</v>
      </c>
      <c r="Q19" s="66">
        <f t="shared" si="0"/>
        <v>-130000000</v>
      </c>
    </row>
    <row r="20" spans="1:17" ht="23.1" customHeight="1">
      <c r="A20" s="169">
        <v>22105</v>
      </c>
      <c r="B20" s="66" t="s">
        <v>93</v>
      </c>
      <c r="C20" s="66"/>
      <c r="D20" s="66"/>
      <c r="E20" s="66"/>
      <c r="F20" s="66"/>
      <c r="G20" s="66"/>
      <c r="H20" s="66"/>
      <c r="I20" s="66"/>
      <c r="J20" s="66"/>
      <c r="K20" s="66">
        <v>93600000</v>
      </c>
      <c r="L20" s="66">
        <v>11700000</v>
      </c>
      <c r="M20" s="66">
        <v>11700000</v>
      </c>
      <c r="N20" s="66">
        <v>11700000</v>
      </c>
      <c r="O20" s="66">
        <v>11700000</v>
      </c>
      <c r="P20" s="66">
        <v>335700000</v>
      </c>
      <c r="Q20" s="66">
        <f t="shared" si="0"/>
        <v>324000000</v>
      </c>
    </row>
    <row r="21" spans="1:17" ht="23.1" customHeight="1">
      <c r="A21" s="169">
        <v>22106</v>
      </c>
      <c r="B21" s="66" t="s">
        <v>84</v>
      </c>
      <c r="C21" s="66">
        <v>2500000</v>
      </c>
      <c r="D21" s="66">
        <v>2000000</v>
      </c>
      <c r="E21" s="66">
        <v>2000000</v>
      </c>
      <c r="F21" s="66">
        <v>2000000</v>
      </c>
      <c r="G21" s="66">
        <v>1600000</v>
      </c>
      <c r="H21" s="66">
        <v>41000000</v>
      </c>
      <c r="I21" s="66">
        <v>41000000</v>
      </c>
      <c r="J21" s="66">
        <v>31000000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f t="shared" si="0"/>
        <v>0</v>
      </c>
    </row>
    <row r="22" spans="1:17" s="267" customFormat="1" ht="23.1" customHeight="1">
      <c r="A22" s="169">
        <v>22107</v>
      </c>
      <c r="B22" s="66" t="s">
        <v>30</v>
      </c>
      <c r="C22" s="66">
        <f t="shared" ref="C22:J22" si="3">SUM(C16:C21)</f>
        <v>4000000</v>
      </c>
      <c r="D22" s="66">
        <f t="shared" si="3"/>
        <v>7500000</v>
      </c>
      <c r="E22" s="66">
        <f t="shared" si="3"/>
        <v>2500000</v>
      </c>
      <c r="F22" s="66">
        <f t="shared" si="3"/>
        <v>2500000</v>
      </c>
      <c r="G22" s="66">
        <f t="shared" si="3"/>
        <v>2000000</v>
      </c>
      <c r="H22" s="66">
        <f t="shared" si="3"/>
        <v>409850000</v>
      </c>
      <c r="I22" s="106">
        <f t="shared" si="3"/>
        <v>61000000</v>
      </c>
      <c r="J22" s="106">
        <f t="shared" si="3"/>
        <v>135000000</v>
      </c>
      <c r="K22" s="66">
        <v>90000000</v>
      </c>
      <c r="L22" s="66">
        <f>90000000+50000000</f>
        <v>140000000</v>
      </c>
      <c r="M22" s="66">
        <f>L22*70%</f>
        <v>98000000</v>
      </c>
      <c r="N22" s="66">
        <v>98000000</v>
      </c>
      <c r="O22" s="66">
        <v>150000000</v>
      </c>
      <c r="P22" s="66">
        <v>30000000</v>
      </c>
      <c r="Q22" s="66">
        <f t="shared" si="0"/>
        <v>-120000000</v>
      </c>
    </row>
    <row r="23" spans="1:17" ht="23.1" customHeight="1">
      <c r="A23" s="169">
        <v>22108</v>
      </c>
      <c r="B23" s="66" t="s">
        <v>60</v>
      </c>
      <c r="C23" s="66"/>
      <c r="D23" s="66"/>
      <c r="E23" s="66"/>
      <c r="F23" s="66"/>
      <c r="G23" s="66"/>
      <c r="H23" s="66"/>
      <c r="I23" s="66"/>
      <c r="J23" s="66"/>
      <c r="K23" s="106">
        <v>0</v>
      </c>
      <c r="L23" s="106">
        <v>0</v>
      </c>
      <c r="M23" s="66">
        <v>269954400</v>
      </c>
      <c r="N23" s="66">
        <v>269954400</v>
      </c>
      <c r="O23" s="66">
        <v>569954400</v>
      </c>
      <c r="P23" s="66">
        <v>0</v>
      </c>
      <c r="Q23" s="66">
        <f t="shared" si="0"/>
        <v>-569954400</v>
      </c>
    </row>
    <row r="24" spans="1:17" ht="23.1" customHeight="1">
      <c r="A24" s="169">
        <v>22109</v>
      </c>
      <c r="B24" s="66" t="s">
        <v>94</v>
      </c>
      <c r="C24" s="66">
        <v>23000000</v>
      </c>
      <c r="D24" s="66">
        <v>15000000</v>
      </c>
      <c r="E24" s="66">
        <v>8949700</v>
      </c>
      <c r="F24" s="66">
        <v>8949700</v>
      </c>
      <c r="G24" s="66">
        <v>12000000</v>
      </c>
      <c r="H24" s="66">
        <v>80000000</v>
      </c>
      <c r="I24" s="66">
        <v>80000000</v>
      </c>
      <c r="J24" s="66">
        <v>80000000</v>
      </c>
      <c r="K24" s="66">
        <v>63256000</v>
      </c>
      <c r="L24" s="66">
        <f>63256000+20000000</f>
        <v>83256000</v>
      </c>
      <c r="M24" s="66">
        <f>63256000+20000000</f>
        <v>83256000</v>
      </c>
      <c r="N24" s="66">
        <f>63256000+20000000</f>
        <v>83256000</v>
      </c>
      <c r="O24" s="66">
        <f>63256000+20000000</f>
        <v>83256000</v>
      </c>
      <c r="P24" s="66">
        <v>20000000</v>
      </c>
      <c r="Q24" s="66">
        <f t="shared" si="0"/>
        <v>-63256000</v>
      </c>
    </row>
    <row r="25" spans="1:17" ht="23.1" customHeight="1">
      <c r="A25" s="169">
        <v>22112</v>
      </c>
      <c r="B25" s="66" t="s">
        <v>16</v>
      </c>
      <c r="C25" s="66">
        <v>10061000</v>
      </c>
      <c r="D25" s="66">
        <v>2000000</v>
      </c>
      <c r="E25" s="66">
        <v>0</v>
      </c>
      <c r="F25" s="66">
        <v>0</v>
      </c>
      <c r="G25" s="66">
        <v>0</v>
      </c>
      <c r="H25" s="66">
        <v>30000000</v>
      </c>
      <c r="I25" s="66">
        <v>40000000</v>
      </c>
      <c r="J25" s="66">
        <v>30000000</v>
      </c>
      <c r="K25" s="66">
        <v>80000000</v>
      </c>
      <c r="L25" s="66">
        <f>80000000+60000000</f>
        <v>140000000</v>
      </c>
      <c r="M25" s="66">
        <v>100000000</v>
      </c>
      <c r="N25" s="66">
        <v>100000000</v>
      </c>
      <c r="O25" s="66">
        <v>100000000</v>
      </c>
      <c r="P25" s="66">
        <v>100000000</v>
      </c>
      <c r="Q25" s="66">
        <f t="shared" si="0"/>
        <v>0</v>
      </c>
    </row>
    <row r="26" spans="1:17" ht="23.1" customHeight="1">
      <c r="A26" s="169">
        <v>22129</v>
      </c>
      <c r="B26" s="66" t="s">
        <v>292</v>
      </c>
      <c r="C26" s="66"/>
      <c r="D26" s="66"/>
      <c r="E26" s="66"/>
      <c r="F26" s="66"/>
      <c r="G26" s="66"/>
      <c r="H26" s="66"/>
      <c r="I26" s="66"/>
      <c r="J26" s="66"/>
      <c r="K26" s="66">
        <v>0</v>
      </c>
      <c r="L26" s="66">
        <f>30000000+50000000</f>
        <v>80000000</v>
      </c>
      <c r="M26" s="66">
        <v>0</v>
      </c>
      <c r="N26" s="66">
        <v>0</v>
      </c>
      <c r="O26" s="66">
        <v>0</v>
      </c>
      <c r="P26" s="66">
        <v>0</v>
      </c>
      <c r="Q26" s="66">
        <f t="shared" si="0"/>
        <v>0</v>
      </c>
    </row>
    <row r="27" spans="1:17" ht="23.1" customHeight="1">
      <c r="A27" s="169">
        <v>22132</v>
      </c>
      <c r="B27" s="66" t="s">
        <v>144</v>
      </c>
      <c r="C27" s="66">
        <v>3000000</v>
      </c>
      <c r="D27" s="66">
        <v>1500000</v>
      </c>
      <c r="E27" s="66">
        <v>0</v>
      </c>
      <c r="F27" s="66">
        <v>0</v>
      </c>
      <c r="G27" s="66">
        <v>0</v>
      </c>
      <c r="H27" s="66">
        <v>15000000</v>
      </c>
      <c r="I27" s="66">
        <v>20000000</v>
      </c>
      <c r="J27" s="66">
        <v>20000000</v>
      </c>
      <c r="K27" s="66">
        <v>900000000</v>
      </c>
      <c r="L27" s="66">
        <f>600000000+606200000</f>
        <v>1206200000</v>
      </c>
      <c r="M27" s="66">
        <v>0</v>
      </c>
      <c r="N27" s="66">
        <v>0</v>
      </c>
      <c r="O27" s="66">
        <v>0</v>
      </c>
      <c r="P27" s="66">
        <v>0</v>
      </c>
      <c r="Q27" s="66">
        <f t="shared" si="0"/>
        <v>0</v>
      </c>
    </row>
    <row r="28" spans="1:17" ht="23.1" customHeight="1">
      <c r="A28" s="169">
        <v>22134</v>
      </c>
      <c r="B28" s="66" t="s">
        <v>100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40000000</v>
      </c>
      <c r="I28" s="66">
        <v>70000000</v>
      </c>
      <c r="J28" s="66">
        <v>70000000</v>
      </c>
      <c r="K28" s="66">
        <v>756200000</v>
      </c>
      <c r="L28" s="66">
        <v>1000000000</v>
      </c>
      <c r="M28" s="66">
        <v>1276200000</v>
      </c>
      <c r="N28" s="66">
        <v>2126200000</v>
      </c>
      <c r="O28" s="66">
        <v>4126200000</v>
      </c>
      <c r="P28" s="66">
        <v>0</v>
      </c>
      <c r="Q28" s="66">
        <f t="shared" si="0"/>
        <v>-4126200000</v>
      </c>
    </row>
    <row r="29" spans="1:17" ht="23.1" customHeight="1">
      <c r="A29" s="169">
        <v>22137</v>
      </c>
      <c r="B29" s="66" t="s">
        <v>413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>
        <v>480000000</v>
      </c>
      <c r="N29" s="66">
        <v>630000000</v>
      </c>
      <c r="O29" s="66">
        <v>720000000</v>
      </c>
      <c r="P29" s="66">
        <v>330000000</v>
      </c>
      <c r="Q29" s="66">
        <f t="shared" si="0"/>
        <v>-390000000</v>
      </c>
    </row>
    <row r="30" spans="1:17" ht="23.1" customHeight="1">
      <c r="A30" s="169">
        <v>22141</v>
      </c>
      <c r="B30" s="66" t="s">
        <v>381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>
        <v>135000000</v>
      </c>
      <c r="N30" s="66">
        <v>160000000</v>
      </c>
      <c r="O30" s="66">
        <v>100000000</v>
      </c>
      <c r="P30" s="66"/>
      <c r="Q30" s="66">
        <f t="shared" si="0"/>
        <v>-100000000</v>
      </c>
    </row>
    <row r="31" spans="1:17" ht="23.1" customHeight="1">
      <c r="A31" s="169"/>
      <c r="B31" s="106" t="s">
        <v>59</v>
      </c>
      <c r="C31" s="66">
        <v>0</v>
      </c>
      <c r="D31" s="66">
        <v>0</v>
      </c>
      <c r="E31" s="66">
        <v>0</v>
      </c>
      <c r="F31" s="66">
        <v>0</v>
      </c>
      <c r="G31" s="66">
        <v>16000000</v>
      </c>
      <c r="H31" s="66">
        <v>360113000</v>
      </c>
      <c r="I31" s="66">
        <v>208212162</v>
      </c>
      <c r="J31" s="66">
        <v>330000000</v>
      </c>
      <c r="K31" s="106">
        <f>SUM(K16:K28)</f>
        <v>2653056000</v>
      </c>
      <c r="L31" s="106">
        <f>SUM(L16:L28)</f>
        <v>3831156000</v>
      </c>
      <c r="M31" s="106">
        <f>SUM(M16:M30)</f>
        <v>3222110400</v>
      </c>
      <c r="N31" s="106">
        <f>SUM(N16:N30)</f>
        <v>4377110400</v>
      </c>
      <c r="O31" s="106">
        <f>SUM(O16:O30)</f>
        <v>6759110400</v>
      </c>
      <c r="P31" s="106">
        <f>SUM(P16:P30)</f>
        <v>1015700000</v>
      </c>
      <c r="Q31" s="106">
        <f t="shared" si="0"/>
        <v>-5743410400</v>
      </c>
    </row>
    <row r="32" spans="1:17" ht="23.1" customHeight="1">
      <c r="A32" s="249">
        <v>2220</v>
      </c>
      <c r="B32" s="106" t="s">
        <v>161</v>
      </c>
      <c r="C32" s="66"/>
      <c r="D32" s="66"/>
      <c r="E32" s="66"/>
      <c r="F32" s="66"/>
      <c r="G32" s="66"/>
      <c r="H32" s="66"/>
      <c r="I32" s="66">
        <v>0</v>
      </c>
      <c r="J32" s="66">
        <v>35000000</v>
      </c>
      <c r="K32" s="106"/>
      <c r="L32" s="106"/>
      <c r="M32" s="106"/>
      <c r="N32" s="106"/>
      <c r="O32" s="106"/>
      <c r="P32" s="106"/>
      <c r="Q32" s="66">
        <f t="shared" si="0"/>
        <v>0</v>
      </c>
    </row>
    <row r="33" spans="1:17" ht="23.1" customHeight="1">
      <c r="A33" s="169">
        <v>22201</v>
      </c>
      <c r="B33" s="66" t="s">
        <v>90</v>
      </c>
      <c r="C33" s="106" t="e">
        <f>#REF!+#REF!+#REF!+#REF!+#REF!</f>
        <v>#REF!</v>
      </c>
      <c r="D33" s="106" t="e">
        <f>#REF!+#REF!+#REF!+#REF!+#REF!</f>
        <v>#REF!</v>
      </c>
      <c r="E33" s="106" t="e">
        <f>#REF!+#REF!+#REF!+#REF!+#REF!</f>
        <v>#REF!</v>
      </c>
      <c r="F33" s="106" t="e">
        <f>#REF!+#REF!+#REF!+#REF!+#REF!</f>
        <v>#REF!</v>
      </c>
      <c r="G33" s="106" t="e">
        <f>#REF!+#REF!+#REF!+#REF!+#REF!</f>
        <v>#REF!</v>
      </c>
      <c r="H33" s="106" t="e">
        <f>#REF!+#REF!+#REF!+#REF!+#REF!</f>
        <v>#REF!</v>
      </c>
      <c r="I33" s="106" t="e">
        <f>#REF!+#REF!+#REF!+#REF!+#REF!</f>
        <v>#REF!</v>
      </c>
      <c r="J33" s="106" t="e">
        <f>#REF!+#REF!+#REF!+#REF!+#REF!</f>
        <v>#REF!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f t="shared" si="0"/>
        <v>0</v>
      </c>
    </row>
    <row r="34" spans="1:17" s="267" customFormat="1" ht="23.1" customHeight="1">
      <c r="A34" s="169">
        <v>22202</v>
      </c>
      <c r="B34" s="66" t="s">
        <v>91</v>
      </c>
      <c r="C34" s="118"/>
      <c r="D34" s="118"/>
      <c r="E34" s="118"/>
      <c r="F34" s="100">
        <v>0</v>
      </c>
      <c r="G34" s="100" t="s">
        <v>4</v>
      </c>
      <c r="H34" s="100"/>
      <c r="I34" s="100"/>
      <c r="J34" s="100"/>
      <c r="K34" s="66">
        <v>300000000</v>
      </c>
      <c r="L34" s="66">
        <f>300000000+100000000</f>
        <v>400000000</v>
      </c>
      <c r="M34" s="66">
        <f>L34*80%</f>
        <v>320000000</v>
      </c>
      <c r="N34" s="66">
        <v>730000000</v>
      </c>
      <c r="O34" s="66">
        <v>730000000</v>
      </c>
      <c r="P34" s="66">
        <v>200000000</v>
      </c>
      <c r="Q34" s="66">
        <f t="shared" si="0"/>
        <v>-530000000</v>
      </c>
    </row>
    <row r="35" spans="1:17" s="267" customFormat="1" ht="23.1" customHeight="1">
      <c r="A35" s="169">
        <v>22203</v>
      </c>
      <c r="B35" s="66" t="s">
        <v>85</v>
      </c>
      <c r="C35" s="118"/>
      <c r="D35" s="118"/>
      <c r="E35" s="118"/>
      <c r="F35" s="100"/>
      <c r="G35" s="100"/>
      <c r="H35" s="100"/>
      <c r="I35" s="100"/>
      <c r="J35" s="100"/>
      <c r="K35" s="66">
        <v>100000000</v>
      </c>
      <c r="L35" s="66">
        <f>100000000+50000000</f>
        <v>150000000</v>
      </c>
      <c r="M35" s="66">
        <f>100000000+50000000</f>
        <v>150000000</v>
      </c>
      <c r="N35" s="66">
        <f>100000000+50000000</f>
        <v>150000000</v>
      </c>
      <c r="O35" s="66">
        <f>100000000+50000000</f>
        <v>150000000</v>
      </c>
      <c r="P35" s="66">
        <v>100000000</v>
      </c>
      <c r="Q35" s="66">
        <f t="shared" si="0"/>
        <v>-50000000</v>
      </c>
    </row>
    <row r="36" spans="1:17" ht="23.1" customHeight="1">
      <c r="A36" s="169">
        <v>22204</v>
      </c>
      <c r="B36" s="66" t="s">
        <v>86</v>
      </c>
      <c r="C36" s="66"/>
      <c r="D36" s="66"/>
      <c r="E36" s="66"/>
      <c r="F36" s="66"/>
      <c r="G36" s="66"/>
      <c r="H36" s="66"/>
      <c r="I36" s="66"/>
      <c r="J36" s="66"/>
      <c r="K36" s="100">
        <v>60000000</v>
      </c>
      <c r="L36" s="100">
        <f>60000000</f>
        <v>60000000</v>
      </c>
      <c r="M36" s="100">
        <f>60000000</f>
        <v>60000000</v>
      </c>
      <c r="N36" s="100">
        <f>60000000</f>
        <v>60000000</v>
      </c>
      <c r="O36" s="100">
        <f>60000000</f>
        <v>60000000</v>
      </c>
      <c r="P36" s="100">
        <v>20000000</v>
      </c>
      <c r="Q36" s="66">
        <f t="shared" si="0"/>
        <v>-40000000</v>
      </c>
    </row>
    <row r="37" spans="1:17" ht="23.1" customHeight="1">
      <c r="A37" s="169">
        <v>22209</v>
      </c>
      <c r="B37" s="66" t="s">
        <v>145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150000000</v>
      </c>
      <c r="I37" s="66">
        <v>150000000</v>
      </c>
      <c r="J37" s="66">
        <v>150000000</v>
      </c>
      <c r="K37" s="66">
        <v>200000000</v>
      </c>
      <c r="L37" s="66">
        <v>300000000</v>
      </c>
      <c r="M37" s="66">
        <v>0</v>
      </c>
      <c r="N37" s="66">
        <v>0</v>
      </c>
      <c r="O37" s="66">
        <v>0</v>
      </c>
      <c r="P37" s="66">
        <v>0</v>
      </c>
      <c r="Q37" s="66">
        <f t="shared" si="0"/>
        <v>0</v>
      </c>
    </row>
    <row r="38" spans="1:17" ht="23.1" customHeight="1">
      <c r="A38" s="169"/>
      <c r="B38" s="106" t="s">
        <v>59</v>
      </c>
      <c r="C38" s="66">
        <v>10089000</v>
      </c>
      <c r="D38" s="66">
        <v>10004000</v>
      </c>
      <c r="E38" s="66">
        <v>20004000</v>
      </c>
      <c r="F38" s="66">
        <v>20004000</v>
      </c>
      <c r="G38" s="66">
        <v>40003200</v>
      </c>
      <c r="H38" s="66">
        <v>100000000</v>
      </c>
      <c r="I38" s="66">
        <v>100000000</v>
      </c>
      <c r="J38" s="66">
        <v>100000000</v>
      </c>
      <c r="K38" s="106">
        <f t="shared" ref="K38:O38" si="4">SUM(K33:K37)</f>
        <v>660000000</v>
      </c>
      <c r="L38" s="106">
        <f t="shared" si="4"/>
        <v>910000000</v>
      </c>
      <c r="M38" s="106">
        <f t="shared" si="4"/>
        <v>530000000</v>
      </c>
      <c r="N38" s="106">
        <f t="shared" si="4"/>
        <v>940000000</v>
      </c>
      <c r="O38" s="106">
        <f t="shared" si="4"/>
        <v>940000000</v>
      </c>
      <c r="P38" s="106">
        <f>SUM(P33:P37)</f>
        <v>320000000</v>
      </c>
      <c r="Q38" s="106">
        <f t="shared" si="0"/>
        <v>-620000000</v>
      </c>
    </row>
    <row r="39" spans="1:17" ht="23.1" customHeight="1">
      <c r="A39" s="249">
        <v>2230</v>
      </c>
      <c r="B39" s="106" t="s">
        <v>88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616200000</v>
      </c>
      <c r="I39" s="66">
        <v>616200000</v>
      </c>
      <c r="J39" s="66">
        <v>616200000</v>
      </c>
      <c r="K39" s="66"/>
      <c r="L39" s="66"/>
      <c r="M39" s="66"/>
      <c r="N39" s="66"/>
      <c r="O39" s="66"/>
      <c r="P39" s="66"/>
      <c r="Q39" s="66">
        <f t="shared" si="0"/>
        <v>0</v>
      </c>
    </row>
    <row r="40" spans="1:17" ht="23.1" customHeight="1">
      <c r="A40" s="169">
        <v>22301</v>
      </c>
      <c r="B40" s="66" t="s">
        <v>31</v>
      </c>
      <c r="C40" s="66">
        <v>13333000</v>
      </c>
      <c r="D40" s="66">
        <v>5000000</v>
      </c>
      <c r="E40" s="66">
        <v>0</v>
      </c>
      <c r="F40" s="66">
        <v>0</v>
      </c>
      <c r="G40" s="66">
        <v>0</v>
      </c>
      <c r="H40" s="66">
        <v>100000000</v>
      </c>
      <c r="I40" s="66">
        <v>70000000</v>
      </c>
      <c r="J40" s="66">
        <v>70000000</v>
      </c>
      <c r="K40" s="66">
        <v>120000000</v>
      </c>
      <c r="L40" s="66">
        <f>120000000+75000000</f>
        <v>195000000</v>
      </c>
      <c r="M40" s="66">
        <v>200000000</v>
      </c>
      <c r="N40" s="66">
        <v>200000000</v>
      </c>
      <c r="O40" s="66">
        <v>200000000</v>
      </c>
      <c r="P40" s="66">
        <v>50000000</v>
      </c>
      <c r="Q40" s="66">
        <f t="shared" si="0"/>
        <v>-150000000</v>
      </c>
    </row>
    <row r="41" spans="1:17" ht="23.1" customHeight="1">
      <c r="A41" s="169">
        <v>22302</v>
      </c>
      <c r="B41" s="66" t="s">
        <v>162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40000000</v>
      </c>
      <c r="L41" s="66">
        <f>40000000+50000000</f>
        <v>90000000</v>
      </c>
      <c r="M41" s="66">
        <v>0</v>
      </c>
      <c r="N41" s="66">
        <v>0</v>
      </c>
      <c r="O41" s="66">
        <v>0</v>
      </c>
      <c r="P41" s="66">
        <v>0</v>
      </c>
      <c r="Q41" s="66">
        <f t="shared" si="0"/>
        <v>0</v>
      </c>
    </row>
    <row r="42" spans="1:17" ht="23.1" customHeight="1">
      <c r="A42" s="169">
        <v>22303</v>
      </c>
      <c r="B42" s="66" t="s">
        <v>163</v>
      </c>
      <c r="C42" s="106">
        <f t="shared" ref="C42:J42" si="5">SUM(C40:C41)</f>
        <v>13333000</v>
      </c>
      <c r="D42" s="106">
        <f t="shared" si="5"/>
        <v>5000000</v>
      </c>
      <c r="E42" s="106">
        <f t="shared" si="5"/>
        <v>0</v>
      </c>
      <c r="F42" s="106">
        <f t="shared" si="5"/>
        <v>0</v>
      </c>
      <c r="G42" s="106">
        <f t="shared" si="5"/>
        <v>0</v>
      </c>
      <c r="H42" s="106">
        <f t="shared" si="5"/>
        <v>100000000</v>
      </c>
      <c r="I42" s="106">
        <f t="shared" si="5"/>
        <v>70000000</v>
      </c>
      <c r="J42" s="106">
        <f t="shared" si="5"/>
        <v>70000000</v>
      </c>
      <c r="K42" s="66">
        <v>20000000</v>
      </c>
      <c r="L42" s="66">
        <f>20000000+20000000</f>
        <v>40000000</v>
      </c>
      <c r="M42" s="66">
        <v>0</v>
      </c>
      <c r="N42" s="66">
        <v>0</v>
      </c>
      <c r="O42" s="66">
        <v>0</v>
      </c>
      <c r="P42" s="66">
        <v>0</v>
      </c>
      <c r="Q42" s="66">
        <f t="shared" si="0"/>
        <v>0</v>
      </c>
    </row>
    <row r="43" spans="1:17" ht="23.1" customHeight="1">
      <c r="A43" s="169"/>
      <c r="B43" s="106" t="s">
        <v>59</v>
      </c>
      <c r="C43" s="106" t="e">
        <f>C42+#REF!+C36+C22+#REF!</f>
        <v>#REF!</v>
      </c>
      <c r="D43" s="106" t="e">
        <f>D42+#REF!+D36+D22+#REF!</f>
        <v>#REF!</v>
      </c>
      <c r="E43" s="106" t="e">
        <f>E42+#REF!+E36+E22+#REF!</f>
        <v>#REF!</v>
      </c>
      <c r="F43" s="106" t="e">
        <f>F42+#REF!+F36+F22+#REF!</f>
        <v>#REF!</v>
      </c>
      <c r="G43" s="106" t="e">
        <f>G42+#REF!+G22+G36+#REF!</f>
        <v>#REF!</v>
      </c>
      <c r="H43" s="106" t="e">
        <f>H42+#REF!+H36+H22+#REF!</f>
        <v>#REF!</v>
      </c>
      <c r="I43" s="106" t="e">
        <f>I42+#REF!+I36+I22+#REF!</f>
        <v>#REF!</v>
      </c>
      <c r="J43" s="106" t="e">
        <f>SUM(#REF!+J22+J36+J42)</f>
        <v>#REF!</v>
      </c>
      <c r="K43" s="106">
        <f t="shared" ref="K43:O43" si="6">SUM(K40:K42)</f>
        <v>180000000</v>
      </c>
      <c r="L43" s="106">
        <f t="shared" si="6"/>
        <v>325000000</v>
      </c>
      <c r="M43" s="106">
        <f t="shared" si="6"/>
        <v>200000000</v>
      </c>
      <c r="N43" s="106">
        <f t="shared" si="6"/>
        <v>200000000</v>
      </c>
      <c r="O43" s="106">
        <f t="shared" si="6"/>
        <v>200000000</v>
      </c>
      <c r="P43" s="106">
        <f>SUM(P40:P42)</f>
        <v>50000000</v>
      </c>
      <c r="Q43" s="106">
        <f t="shared" si="0"/>
        <v>-150000000</v>
      </c>
    </row>
    <row r="44" spans="1:17" ht="23.1" customHeight="1">
      <c r="A44" s="249">
        <v>230</v>
      </c>
      <c r="B44" s="106" t="s">
        <v>165</v>
      </c>
      <c r="C44" s="66"/>
      <c r="D44" s="66"/>
      <c r="E44" s="66"/>
      <c r="F44" s="66"/>
      <c r="G44" s="66"/>
      <c r="H44" s="66"/>
      <c r="I44" s="66"/>
      <c r="J44" s="66"/>
      <c r="K44" s="106"/>
      <c r="L44" s="106"/>
      <c r="M44" s="106"/>
      <c r="N44" s="106"/>
      <c r="O44" s="106"/>
      <c r="P44" s="106"/>
      <c r="Q44" s="66">
        <f t="shared" si="0"/>
        <v>0</v>
      </c>
    </row>
    <row r="45" spans="1:17" ht="23.1" customHeight="1">
      <c r="A45" s="249">
        <v>2310</v>
      </c>
      <c r="B45" s="106" t="s">
        <v>164</v>
      </c>
      <c r="C45" s="66"/>
      <c r="D45" s="66"/>
      <c r="E45" s="66"/>
      <c r="F45" s="66"/>
      <c r="G45" s="66"/>
      <c r="H45" s="66"/>
      <c r="I45" s="66"/>
      <c r="J45" s="66"/>
      <c r="K45" s="106"/>
      <c r="L45" s="106"/>
      <c r="M45" s="106"/>
      <c r="N45" s="106"/>
      <c r="O45" s="106"/>
      <c r="P45" s="106"/>
      <c r="Q45" s="66">
        <f t="shared" si="0"/>
        <v>0</v>
      </c>
    </row>
    <row r="46" spans="1:17" ht="23.1" customHeight="1">
      <c r="A46" s="169">
        <v>23101</v>
      </c>
      <c r="B46" s="66" t="s">
        <v>293</v>
      </c>
      <c r="C46" s="66"/>
      <c r="D46" s="66"/>
      <c r="E46" s="66"/>
      <c r="F46" s="66"/>
      <c r="G46" s="66"/>
      <c r="H46" s="66"/>
      <c r="I46" s="66"/>
      <c r="J46" s="66"/>
      <c r="K46" s="106">
        <v>0</v>
      </c>
      <c r="L46" s="66">
        <f>50000000+50000000</f>
        <v>100000000</v>
      </c>
      <c r="M46" s="66">
        <v>100000000</v>
      </c>
      <c r="N46" s="66">
        <v>200000000</v>
      </c>
      <c r="O46" s="66">
        <v>50000000</v>
      </c>
      <c r="P46" s="66">
        <v>0</v>
      </c>
      <c r="Q46" s="66">
        <f t="shared" si="0"/>
        <v>-50000000</v>
      </c>
    </row>
    <row r="47" spans="1:17" ht="23.1" customHeight="1">
      <c r="A47" s="169">
        <v>23102</v>
      </c>
      <c r="B47" s="66" t="s">
        <v>274</v>
      </c>
      <c r="C47" s="66"/>
      <c r="D47" s="66"/>
      <c r="E47" s="66"/>
      <c r="F47" s="66"/>
      <c r="G47" s="66"/>
      <c r="H47" s="66"/>
      <c r="I47" s="66"/>
      <c r="J47" s="66"/>
      <c r="K47" s="106">
        <v>0</v>
      </c>
      <c r="L47" s="66">
        <f>117000000</f>
        <v>117000000</v>
      </c>
      <c r="M47" s="66">
        <v>324000000</v>
      </c>
      <c r="N47" s="66">
        <v>216000000</v>
      </c>
      <c r="O47" s="66">
        <v>280000000</v>
      </c>
      <c r="P47" s="66">
        <v>0</v>
      </c>
      <c r="Q47" s="66">
        <f t="shared" si="0"/>
        <v>-280000000</v>
      </c>
    </row>
    <row r="48" spans="1:17" ht="23.1" customHeight="1">
      <c r="A48" s="169">
        <v>23103</v>
      </c>
      <c r="B48" s="66" t="s">
        <v>106</v>
      </c>
      <c r="C48" s="66"/>
      <c r="D48" s="66"/>
      <c r="E48" s="66"/>
      <c r="F48" s="66"/>
      <c r="G48" s="66"/>
      <c r="H48" s="66"/>
      <c r="I48" s="66"/>
      <c r="J48" s="66"/>
      <c r="K48" s="66">
        <v>20000000</v>
      </c>
      <c r="L48" s="66">
        <f>20000000</f>
        <v>20000000</v>
      </c>
      <c r="M48" s="66">
        <v>0</v>
      </c>
      <c r="N48" s="66">
        <v>50000000</v>
      </c>
      <c r="O48" s="66">
        <v>50000000</v>
      </c>
      <c r="P48" s="66">
        <v>0</v>
      </c>
      <c r="Q48" s="66">
        <f t="shared" si="0"/>
        <v>-50000000</v>
      </c>
    </row>
    <row r="49" spans="1:17" ht="23.1" customHeight="1">
      <c r="A49" s="169">
        <v>23104</v>
      </c>
      <c r="B49" s="66" t="s">
        <v>107</v>
      </c>
      <c r="C49" s="66"/>
      <c r="D49" s="66"/>
      <c r="E49" s="66"/>
      <c r="F49" s="66"/>
      <c r="G49" s="66"/>
      <c r="H49" s="66"/>
      <c r="I49" s="66"/>
      <c r="J49" s="66"/>
      <c r="K49" s="66">
        <v>21000000</v>
      </c>
      <c r="L49" s="66">
        <f>21000000</f>
        <v>21000000</v>
      </c>
      <c r="M49" s="66">
        <f>L49</f>
        <v>21000000</v>
      </c>
      <c r="N49" s="66">
        <f>M49</f>
        <v>21000000</v>
      </c>
      <c r="O49" s="66">
        <f>N49</f>
        <v>21000000</v>
      </c>
      <c r="P49" s="66">
        <v>0</v>
      </c>
      <c r="Q49" s="66">
        <f t="shared" si="0"/>
        <v>-21000000</v>
      </c>
    </row>
    <row r="50" spans="1:17" ht="23.1" customHeight="1">
      <c r="A50" s="169"/>
      <c r="B50" s="106" t="s">
        <v>59</v>
      </c>
      <c r="C50" s="66"/>
      <c r="D50" s="66"/>
      <c r="E50" s="66"/>
      <c r="F50" s="66"/>
      <c r="G50" s="66"/>
      <c r="H50" s="66"/>
      <c r="I50" s="66"/>
      <c r="J50" s="66"/>
      <c r="K50" s="106">
        <f>SUM(K48:K49)</f>
        <v>41000000</v>
      </c>
      <c r="L50" s="106">
        <f>SUM(L46:L49)</f>
        <v>258000000</v>
      </c>
      <c r="M50" s="106">
        <f>SUM(M46:M49)</f>
        <v>445000000</v>
      </c>
      <c r="N50" s="106">
        <f>SUM(N46:N49)</f>
        <v>487000000</v>
      </c>
      <c r="O50" s="106">
        <f>SUM(O46:O49)</f>
        <v>401000000</v>
      </c>
      <c r="P50" s="106">
        <f>SUM(P46:P49)</f>
        <v>0</v>
      </c>
      <c r="Q50" s="106">
        <f t="shared" si="0"/>
        <v>-401000000</v>
      </c>
    </row>
    <row r="51" spans="1:17" ht="23.1" customHeight="1">
      <c r="A51" s="249">
        <v>2320</v>
      </c>
      <c r="B51" s="106" t="s">
        <v>87</v>
      </c>
      <c r="C51" s="66"/>
      <c r="D51" s="66"/>
      <c r="E51" s="66"/>
      <c r="F51" s="66"/>
      <c r="G51" s="66"/>
      <c r="H51" s="66"/>
      <c r="I51" s="66"/>
      <c r="J51" s="66"/>
      <c r="K51" s="106"/>
      <c r="L51" s="106"/>
      <c r="M51" s="106"/>
      <c r="N51" s="106"/>
      <c r="O51" s="106"/>
      <c r="P51" s="106"/>
      <c r="Q51" s="66">
        <f t="shared" si="0"/>
        <v>0</v>
      </c>
    </row>
    <row r="52" spans="1:17" ht="23.1" customHeight="1">
      <c r="A52" s="169">
        <v>23201</v>
      </c>
      <c r="B52" s="66" t="s">
        <v>814</v>
      </c>
      <c r="C52" s="66"/>
      <c r="D52" s="66"/>
      <c r="E52" s="66"/>
      <c r="F52" s="66"/>
      <c r="G52" s="66"/>
      <c r="H52" s="66"/>
      <c r="I52" s="66"/>
      <c r="J52" s="66"/>
      <c r="K52" s="66">
        <v>210000000</v>
      </c>
      <c r="L52" s="66">
        <f>100000000+300000000</f>
        <v>400000000</v>
      </c>
      <c r="M52" s="66">
        <v>100000000</v>
      </c>
      <c r="N52" s="66">
        <v>800000000</v>
      </c>
      <c r="O52" s="66">
        <v>400000000</v>
      </c>
      <c r="P52" s="66">
        <v>0</v>
      </c>
      <c r="Q52" s="66">
        <f t="shared" si="0"/>
        <v>-400000000</v>
      </c>
    </row>
    <row r="53" spans="1:17" ht="23.1" customHeight="1">
      <c r="A53" s="262"/>
      <c r="B53" s="106" t="s">
        <v>59</v>
      </c>
      <c r="C53" s="66"/>
      <c r="D53" s="66"/>
      <c r="E53" s="66"/>
      <c r="F53" s="66"/>
      <c r="G53" s="66"/>
      <c r="H53" s="66"/>
      <c r="I53" s="66"/>
      <c r="J53" s="66"/>
      <c r="K53" s="106">
        <f t="shared" ref="K53:P53" si="7">SUM(K52)</f>
        <v>210000000</v>
      </c>
      <c r="L53" s="106">
        <f t="shared" si="7"/>
        <v>400000000</v>
      </c>
      <c r="M53" s="106">
        <f t="shared" si="7"/>
        <v>100000000</v>
      </c>
      <c r="N53" s="106">
        <f t="shared" si="7"/>
        <v>800000000</v>
      </c>
      <c r="O53" s="106">
        <f t="shared" si="7"/>
        <v>400000000</v>
      </c>
      <c r="P53" s="106">
        <f t="shared" si="7"/>
        <v>0</v>
      </c>
      <c r="Q53" s="106">
        <f t="shared" si="0"/>
        <v>-400000000</v>
      </c>
    </row>
    <row r="54" spans="1:17" ht="23.1" customHeight="1">
      <c r="A54" s="262"/>
      <c r="B54" s="106" t="s">
        <v>18</v>
      </c>
      <c r="C54" s="66"/>
      <c r="D54" s="66"/>
      <c r="E54" s="66"/>
      <c r="F54" s="66"/>
      <c r="G54" s="66"/>
      <c r="H54" s="66"/>
      <c r="I54" s="66"/>
      <c r="J54" s="66"/>
      <c r="K54" s="106">
        <f t="shared" ref="K54:O54" si="8">K53+K50+K43+K38+K31+K13</f>
        <v>6550217600</v>
      </c>
      <c r="L54" s="106">
        <f t="shared" si="8"/>
        <v>14449890400</v>
      </c>
      <c r="M54" s="106">
        <f t="shared" si="8"/>
        <v>13336485600</v>
      </c>
      <c r="N54" s="106">
        <f t="shared" si="8"/>
        <v>15639542400</v>
      </c>
      <c r="O54" s="106">
        <f t="shared" si="8"/>
        <v>17877222240</v>
      </c>
      <c r="P54" s="106">
        <f>P53+P50+P43+P38+P31+P13</f>
        <v>18727824320</v>
      </c>
      <c r="Q54" s="106">
        <f t="shared" si="0"/>
        <v>850602080</v>
      </c>
    </row>
    <row r="55" spans="1:17" ht="23.1" customHeight="1">
      <c r="A55" s="275"/>
      <c r="B55" s="276"/>
      <c r="C55" s="276"/>
      <c r="D55" s="276"/>
      <c r="E55" s="276"/>
      <c r="F55" s="276"/>
      <c r="G55" s="276"/>
      <c r="H55" s="276"/>
      <c r="I55" s="276"/>
      <c r="J55" s="276"/>
      <c r="K55" s="277"/>
      <c r="L55" s="277"/>
      <c r="M55" s="277"/>
      <c r="N55" s="277"/>
    </row>
    <row r="56" spans="1:17" ht="23.1" customHeight="1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</row>
    <row r="57" spans="1:17" ht="23.1" customHeight="1">
      <c r="A57" s="275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</row>
    <row r="58" spans="1:17" ht="23.1" customHeight="1">
      <c r="A58" s="275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</row>
    <row r="59" spans="1:17" ht="23.1" customHeight="1">
      <c r="A59" s="275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</row>
    <row r="60" spans="1:17" ht="23.1" customHeight="1">
      <c r="A60" s="27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</row>
    <row r="61" spans="1:17" ht="23.1" customHeight="1">
      <c r="A61" s="27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</row>
    <row r="62" spans="1:17" ht="23.1" customHeight="1">
      <c r="A62" s="275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</row>
    <row r="63" spans="1:17" ht="23.1" customHeight="1">
      <c r="A63" s="275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</row>
    <row r="64" spans="1:17" ht="23.1" customHeight="1">
      <c r="A64" s="275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</row>
    <row r="65" spans="1:14" ht="23.1" customHeight="1">
      <c r="A65" s="27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</row>
    <row r="66" spans="1:14" ht="23.1" customHeight="1">
      <c r="A66" s="275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</row>
    <row r="67" spans="1:14" ht="23.1" customHeight="1">
      <c r="A67" s="275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</row>
    <row r="68" spans="1:14" ht="23.1" customHeight="1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</row>
    <row r="69" spans="1:14" ht="23.1" customHeight="1">
      <c r="A69" s="275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</row>
    <row r="70" spans="1:14" ht="23.1" customHeight="1">
      <c r="A70" s="275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</row>
    <row r="71" spans="1:14" ht="23.1" customHeight="1">
      <c r="A71" s="275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</row>
    <row r="72" spans="1:14" ht="23.1" customHeight="1">
      <c r="A72" s="275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ht="23.1" customHeight="1">
      <c r="A73" s="275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 ht="23.1" customHeight="1">
      <c r="A74" s="275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 ht="23.1" customHeight="1">
      <c r="A75" s="275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 ht="23.1" customHeight="1">
      <c r="A76" s="275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 ht="23.1" customHeight="1">
      <c r="A77" s="275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 ht="23.1" customHeight="1">
      <c r="A78" s="27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</row>
    <row r="79" spans="1:14" ht="23.1" customHeight="1">
      <c r="A79" s="275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</row>
    <row r="80" spans="1:14" ht="23.1" customHeight="1">
      <c r="A80" s="275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</row>
    <row r="81" spans="1:14" ht="23.1" customHeight="1">
      <c r="A81" s="275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</row>
    <row r="82" spans="1:14" ht="23.1" customHeight="1">
      <c r="A82" s="275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</row>
    <row r="83" spans="1:14" ht="23.1" customHeight="1">
      <c r="A83" s="275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</row>
    <row r="84" spans="1:14" ht="23.1" customHeight="1">
      <c r="A84" s="275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</row>
    <row r="85" spans="1:14" ht="23.1" customHeight="1">
      <c r="A85" s="275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</row>
    <row r="86" spans="1:14" ht="23.1" customHeight="1">
      <c r="A86" s="275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</row>
    <row r="87" spans="1:14" ht="23.1" customHeight="1">
      <c r="A87" s="275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</row>
    <row r="88" spans="1:14" ht="23.1" customHeight="1">
      <c r="A88" s="275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</row>
    <row r="89" spans="1:14" ht="23.1" customHeight="1">
      <c r="A89" s="275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</row>
    <row r="90" spans="1:14" ht="23.1" customHeight="1">
      <c r="A90" s="275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</row>
    <row r="91" spans="1:14" ht="23.1" customHeight="1">
      <c r="A91" s="275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</row>
    <row r="92" spans="1:14" ht="23.1" customHeight="1">
      <c r="A92" s="275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</row>
    <row r="93" spans="1:14" ht="23.1" customHeight="1">
      <c r="A93" s="275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</row>
    <row r="94" spans="1:14" ht="23.1" customHeight="1">
      <c r="A94" s="275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</row>
    <row r="95" spans="1:14" ht="23.1" customHeight="1">
      <c r="A95" s="275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</row>
    <row r="96" spans="1:14" ht="23.1" customHeight="1">
      <c r="A96" s="275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</row>
    <row r="97" spans="1:14" ht="23.1" customHeight="1">
      <c r="A97" s="275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</row>
    <row r="98" spans="1:14" ht="23.1" customHeight="1">
      <c r="A98" s="275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</row>
    <row r="99" spans="1:14" ht="23.1" customHeight="1">
      <c r="A99" s="275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</row>
    <row r="100" spans="1:14" ht="23.1" customHeight="1">
      <c r="A100" s="275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</row>
    <row r="101" spans="1:14" ht="23.1" customHeight="1">
      <c r="A101" s="275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</row>
    <row r="102" spans="1:14" ht="23.1" customHeight="1">
      <c r="A102" s="275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</row>
    <row r="103" spans="1:14" ht="23.1" customHeight="1">
      <c r="A103" s="275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</row>
    <row r="104" spans="1:14" ht="23.1" customHeight="1">
      <c r="A104" s="275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</row>
    <row r="105" spans="1:14" ht="23.1" customHeight="1">
      <c r="A105" s="275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</row>
    <row r="106" spans="1:14" ht="23.1" customHeight="1">
      <c r="A106" s="275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</row>
    <row r="107" spans="1:14" ht="23.1" customHeight="1">
      <c r="A107" s="275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</row>
    <row r="108" spans="1:14" ht="23.1" customHeight="1">
      <c r="A108" s="275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</row>
    <row r="109" spans="1:14" ht="23.1" customHeight="1">
      <c r="A109" s="275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</row>
    <row r="110" spans="1:14" ht="23.1" customHeight="1">
      <c r="A110" s="275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</row>
    <row r="111" spans="1:14" ht="23.1" customHeight="1">
      <c r="A111" s="275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</row>
    <row r="112" spans="1:14" ht="23.1" customHeight="1">
      <c r="A112" s="275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</row>
    <row r="113" spans="1:14" ht="23.1" customHeight="1">
      <c r="A113" s="275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</row>
    <row r="114" spans="1:14" ht="23.1" customHeight="1">
      <c r="A114" s="275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</row>
    <row r="115" spans="1:14" ht="23.1" customHeight="1">
      <c r="A115" s="275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</row>
    <row r="116" spans="1:14" ht="23.1" customHeight="1">
      <c r="A116" s="275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</row>
    <row r="117" spans="1:14" ht="23.1" customHeight="1">
      <c r="A117" s="275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</row>
    <row r="118" spans="1:14" ht="23.1" customHeight="1">
      <c r="A118" s="275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</row>
    <row r="119" spans="1:14" ht="23.1" customHeight="1">
      <c r="A119" s="275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</row>
    <row r="120" spans="1:14" ht="23.1" customHeight="1">
      <c r="A120" s="275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</row>
    <row r="121" spans="1:14" ht="23.1" customHeight="1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</row>
    <row r="122" spans="1:14" ht="23.1" customHeight="1">
      <c r="A122" s="275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</row>
    <row r="123" spans="1:14" ht="23.1" customHeight="1">
      <c r="A123" s="275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</row>
    <row r="124" spans="1:14" ht="23.1" customHeight="1">
      <c r="A124" s="275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</row>
    <row r="125" spans="1:14" ht="23.1" customHeight="1">
      <c r="A125" s="275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</row>
    <row r="126" spans="1:14" ht="23.1" customHeight="1">
      <c r="A126" s="275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</row>
    <row r="127" spans="1:14" ht="23.1" customHeight="1">
      <c r="A127" s="275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</row>
    <row r="128" spans="1:14" ht="23.1" customHeight="1">
      <c r="A128" s="275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</row>
    <row r="129" spans="1:14" ht="23.1" customHeight="1">
      <c r="A129" s="275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</row>
    <row r="130" spans="1:14" ht="23.1" customHeight="1">
      <c r="A130" s="275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</row>
    <row r="131" spans="1:14" ht="23.1" customHeight="1">
      <c r="A131" s="275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</row>
    <row r="132" spans="1:14" ht="23.1" customHeight="1">
      <c r="A132" s="275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</row>
    <row r="133" spans="1:14" ht="23.1" customHeight="1">
      <c r="A133" s="275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</row>
    <row r="134" spans="1:14" ht="23.1" customHeight="1">
      <c r="A134" s="275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</row>
    <row r="135" spans="1:14" ht="23.1" customHeight="1">
      <c r="A135" s="275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</row>
    <row r="136" spans="1:14" ht="23.1" customHeight="1">
      <c r="A136" s="275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</row>
    <row r="137" spans="1:14" ht="23.1" customHeight="1">
      <c r="A137" s="275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</row>
    <row r="138" spans="1:14" ht="23.1" customHeight="1">
      <c r="A138" s="275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</row>
    <row r="139" spans="1:14" ht="23.1" customHeight="1">
      <c r="A139" s="275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</row>
    <row r="140" spans="1:14" ht="23.1" customHeight="1">
      <c r="A140" s="275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</row>
    <row r="141" spans="1:14" ht="23.1" customHeight="1">
      <c r="A141" s="275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</row>
    <row r="142" spans="1:14" ht="23.1" customHeight="1">
      <c r="A142" s="275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</row>
    <row r="143" spans="1:14" ht="23.1" customHeight="1">
      <c r="A143" s="275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</row>
    <row r="144" spans="1:14" ht="23.1" customHeight="1">
      <c r="A144" s="275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</row>
    <row r="145" spans="1:14" ht="23.1" customHeight="1">
      <c r="A145" s="275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</row>
    <row r="146" spans="1:14" ht="23.1" customHeight="1">
      <c r="A146" s="275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</row>
    <row r="147" spans="1:14" ht="23.1" customHeight="1">
      <c r="A147" s="275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</row>
    <row r="148" spans="1:14" ht="23.1" customHeight="1">
      <c r="A148" s="275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</row>
    <row r="149" spans="1:14" ht="23.1" customHeight="1">
      <c r="A149" s="275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</row>
    <row r="150" spans="1:14" ht="23.1" customHeight="1">
      <c r="A150" s="275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</row>
    <row r="151" spans="1:14" ht="23.1" customHeight="1">
      <c r="A151" s="275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</row>
    <row r="152" spans="1:14" ht="23.1" customHeight="1">
      <c r="A152" s="275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</row>
    <row r="153" spans="1:14" ht="23.1" customHeight="1">
      <c r="A153" s="275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</row>
    <row r="154" spans="1:14" ht="23.1" customHeight="1">
      <c r="A154" s="275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</row>
    <row r="155" spans="1:14" ht="23.1" customHeight="1">
      <c r="A155" s="275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</row>
    <row r="156" spans="1:14" ht="23.1" customHeight="1">
      <c r="A156" s="275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</row>
    <row r="157" spans="1:14" ht="23.1" customHeight="1">
      <c r="A157" s="275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</row>
    <row r="158" spans="1:14" ht="23.1" customHeight="1">
      <c r="A158" s="275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</row>
    <row r="159" spans="1:14" ht="23.1" customHeight="1">
      <c r="A159" s="275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</row>
    <row r="160" spans="1:14" ht="23.1" customHeight="1">
      <c r="A160" s="275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</row>
    <row r="161" spans="1:14" ht="23.1" customHeight="1">
      <c r="A161" s="275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</row>
    <row r="162" spans="1:14" ht="23.1" customHeight="1">
      <c r="A162" s="275"/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</row>
    <row r="163" spans="1:14" ht="23.1" customHeight="1">
      <c r="A163" s="275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</row>
    <row r="164" spans="1:14" ht="23.1" customHeight="1">
      <c r="A164" s="275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</row>
    <row r="165" spans="1:14" ht="23.1" customHeight="1">
      <c r="A165" s="275"/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</row>
    <row r="166" spans="1:14" ht="23.1" customHeight="1">
      <c r="A166" s="275"/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</row>
    <row r="167" spans="1:14" ht="23.1" customHeight="1">
      <c r="A167" s="275"/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</row>
    <row r="168" spans="1:14" ht="23.1" customHeight="1">
      <c r="A168" s="275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</row>
    <row r="169" spans="1:14" ht="23.1" customHeight="1">
      <c r="A169" s="275"/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</row>
    <row r="170" spans="1:14" ht="23.1" customHeight="1">
      <c r="A170" s="275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</row>
    <row r="171" spans="1:14" ht="23.1" customHeight="1">
      <c r="A171" s="275"/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</row>
    <row r="172" spans="1:14" ht="23.1" customHeight="1">
      <c r="A172" s="275"/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</row>
    <row r="173" spans="1:14" ht="23.1" customHeight="1">
      <c r="A173" s="275"/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</row>
    <row r="174" spans="1:14" ht="23.1" customHeight="1">
      <c r="A174" s="275"/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</row>
    <row r="175" spans="1:14" ht="23.1" customHeight="1">
      <c r="A175" s="275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</row>
    <row r="176" spans="1:14" ht="23.1" customHeight="1">
      <c r="A176" s="275"/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</row>
    <row r="177" spans="1:14" ht="23.1" customHeight="1">
      <c r="A177" s="275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</row>
    <row r="178" spans="1:14" ht="23.1" customHeight="1">
      <c r="A178" s="275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</row>
    <row r="179" spans="1:14" ht="23.1" customHeight="1">
      <c r="A179" s="275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</row>
    <row r="180" spans="1:14" ht="23.1" customHeight="1">
      <c r="A180" s="275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</row>
    <row r="181" spans="1:14" ht="23.1" customHeight="1">
      <c r="A181" s="275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</row>
    <row r="182" spans="1:14" ht="23.1" customHeight="1">
      <c r="A182" s="275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</row>
    <row r="183" spans="1:14" ht="23.1" customHeight="1">
      <c r="A183" s="275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</row>
    <row r="184" spans="1:14" ht="23.1" customHeight="1">
      <c r="A184" s="275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</row>
    <row r="185" spans="1:14" ht="23.1" customHeight="1">
      <c r="A185" s="275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</row>
    <row r="186" spans="1:14" ht="23.1" customHeight="1">
      <c r="A186" s="275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</row>
    <row r="187" spans="1:14" ht="23.1" customHeight="1">
      <c r="A187" s="275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</row>
    <row r="188" spans="1:14" ht="23.1" customHeight="1">
      <c r="A188" s="275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</row>
    <row r="189" spans="1:14" ht="23.1" customHeight="1">
      <c r="A189" s="275"/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</row>
    <row r="190" spans="1:14" ht="23.1" customHeight="1">
      <c r="A190" s="275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</row>
    <row r="191" spans="1:14" ht="23.1" customHeight="1">
      <c r="A191" s="275"/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</row>
    <row r="192" spans="1:14" ht="23.1" customHeight="1">
      <c r="A192" s="275"/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</row>
    <row r="193" spans="1:14" ht="23.1" customHeight="1">
      <c r="A193" s="275"/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</row>
    <row r="194" spans="1:14" ht="23.1" customHeight="1">
      <c r="A194" s="275"/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</row>
    <row r="195" spans="1:14" ht="23.1" customHeight="1">
      <c r="A195" s="275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</row>
    <row r="196" spans="1:14" ht="23.1" customHeight="1">
      <c r="A196" s="275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</row>
    <row r="197" spans="1:14" ht="23.1" customHeight="1">
      <c r="A197" s="275"/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</row>
    <row r="198" spans="1:14" ht="23.1" customHeight="1">
      <c r="A198" s="275"/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</row>
    <row r="199" spans="1:14" ht="23.1" customHeight="1">
      <c r="A199" s="275"/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</row>
    <row r="200" spans="1:14" ht="23.1" customHeight="1">
      <c r="A200" s="275"/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</row>
    <row r="201" spans="1:14" ht="23.1" customHeight="1">
      <c r="A201" s="275"/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</row>
    <row r="202" spans="1:14" ht="23.1" customHeight="1">
      <c r="A202" s="275"/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</row>
    <row r="203" spans="1:14" ht="23.1" customHeight="1">
      <c r="A203" s="275"/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</row>
    <row r="204" spans="1:14" ht="23.1" customHeight="1">
      <c r="A204" s="275"/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</row>
    <row r="205" spans="1:14" ht="23.1" customHeight="1">
      <c r="A205" s="275"/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</row>
    <row r="206" spans="1:14" ht="23.1" customHeight="1">
      <c r="A206" s="275"/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</row>
    <row r="207" spans="1:14" ht="23.1" customHeight="1">
      <c r="A207" s="275"/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</row>
    <row r="208" spans="1:14" ht="23.1" customHeight="1">
      <c r="A208" s="275"/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</row>
    <row r="209" spans="1:14" ht="23.1" customHeight="1">
      <c r="A209" s="275"/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</row>
    <row r="210" spans="1:14" ht="23.1" customHeight="1">
      <c r="A210" s="275"/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</row>
    <row r="211" spans="1:14" ht="23.1" customHeight="1">
      <c r="A211" s="275"/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</row>
    <row r="212" spans="1:14" ht="23.1" customHeight="1">
      <c r="A212" s="275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</row>
    <row r="213" spans="1:14" ht="23.1" customHeight="1">
      <c r="A213" s="275"/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</row>
    <row r="214" spans="1:14" ht="23.1" customHeight="1">
      <c r="A214" s="275"/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</row>
    <row r="215" spans="1:14" ht="23.1" customHeight="1">
      <c r="A215" s="275"/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</row>
    <row r="216" spans="1:14" ht="23.1" customHeight="1">
      <c r="A216" s="275"/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</row>
    <row r="217" spans="1:14" ht="23.1" customHeight="1">
      <c r="A217" s="275"/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</row>
    <row r="218" spans="1:14" ht="23.1" customHeight="1">
      <c r="A218" s="275"/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</row>
    <row r="219" spans="1:14" ht="23.1" customHeight="1">
      <c r="A219" s="275"/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</row>
    <row r="220" spans="1:14" ht="23.1" customHeight="1">
      <c r="A220" s="275"/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</row>
    <row r="221" spans="1:14" ht="23.1" customHeight="1">
      <c r="A221" s="275"/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</row>
    <row r="222" spans="1:14" ht="23.1" customHeight="1">
      <c r="A222" s="275"/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</row>
    <row r="223" spans="1:14" ht="23.1" customHeight="1">
      <c r="A223" s="275"/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</row>
    <row r="224" spans="1:14" ht="23.1" customHeight="1">
      <c r="A224" s="275"/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</row>
    <row r="225" spans="1:14" ht="23.1" customHeight="1">
      <c r="A225" s="275"/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</row>
    <row r="226" spans="1:14" ht="23.1" customHeight="1">
      <c r="A226" s="275"/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</row>
    <row r="227" spans="1:14" ht="23.1" customHeight="1">
      <c r="A227" s="275"/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</row>
    <row r="228" spans="1:14" ht="23.1" customHeight="1">
      <c r="A228" s="275"/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</row>
    <row r="229" spans="1:14" ht="23.1" customHeight="1">
      <c r="A229" s="275"/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</row>
    <row r="230" spans="1:14" ht="23.1" customHeight="1">
      <c r="A230" s="275"/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</row>
    <row r="231" spans="1:14" ht="23.1" customHeight="1">
      <c r="A231" s="275"/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</row>
    <row r="232" spans="1:14" ht="23.1" customHeight="1">
      <c r="A232" s="275"/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</row>
    <row r="233" spans="1:14" ht="23.1" customHeight="1">
      <c r="A233" s="275"/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</row>
    <row r="234" spans="1:14" ht="23.1" customHeight="1">
      <c r="A234" s="275"/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</row>
    <row r="235" spans="1:14" ht="23.1" customHeight="1">
      <c r="A235" s="275"/>
      <c r="B235" s="276"/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</row>
    <row r="236" spans="1:14" ht="23.1" customHeight="1">
      <c r="A236" s="275"/>
      <c r="B236" s="276"/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</row>
    <row r="237" spans="1:14" ht="23.1" customHeight="1">
      <c r="A237" s="275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</row>
    <row r="238" spans="1:14" ht="23.1" customHeight="1">
      <c r="A238" s="275"/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</row>
    <row r="239" spans="1:14" ht="23.1" customHeight="1">
      <c r="A239" s="275"/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</row>
    <row r="240" spans="1:14" ht="23.1" customHeight="1">
      <c r="A240" s="275"/>
      <c r="B240" s="276"/>
      <c r="C240" s="276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</row>
    <row r="241" spans="1:14" ht="23.1" customHeight="1">
      <c r="A241" s="275"/>
      <c r="B241" s="276"/>
      <c r="C241" s="276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</row>
    <row r="242" spans="1:14" ht="23.1" customHeight="1">
      <c r="A242" s="275"/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</row>
    <row r="243" spans="1:14" ht="23.1" customHeight="1">
      <c r="A243" s="275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</row>
    <row r="244" spans="1:14" ht="23.1" customHeight="1">
      <c r="A244" s="275"/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</row>
    <row r="245" spans="1:14" ht="23.1" customHeight="1">
      <c r="A245" s="275"/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6"/>
    </row>
    <row r="246" spans="1:14" ht="23.1" customHeight="1">
      <c r="A246" s="275"/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</row>
    <row r="247" spans="1:14" ht="23.1" customHeight="1">
      <c r="A247" s="275"/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</row>
    <row r="248" spans="1:14" ht="23.1" customHeight="1">
      <c r="A248" s="275"/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</row>
    <row r="249" spans="1:14" ht="23.1" customHeight="1">
      <c r="A249" s="275"/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</row>
    <row r="250" spans="1:14" ht="23.1" customHeight="1">
      <c r="A250" s="275"/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</row>
    <row r="251" spans="1:14" ht="23.1" customHeight="1">
      <c r="A251" s="275"/>
      <c r="B251" s="276"/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</row>
    <row r="252" spans="1:14" ht="23.1" customHeight="1">
      <c r="A252" s="275"/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</row>
    <row r="253" spans="1:14" ht="23.1" customHeight="1">
      <c r="A253" s="275"/>
      <c r="B253" s="276"/>
      <c r="C253" s="276"/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</row>
    <row r="254" spans="1:14" ht="23.1" customHeight="1">
      <c r="A254" s="275"/>
      <c r="B254" s="276"/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</row>
    <row r="255" spans="1:14" ht="23.1" customHeight="1">
      <c r="A255" s="275"/>
      <c r="B255" s="276"/>
      <c r="C255" s="276"/>
      <c r="D255" s="276"/>
      <c r="E255" s="276"/>
      <c r="F255" s="276"/>
      <c r="G255" s="276"/>
      <c r="H255" s="276"/>
      <c r="I255" s="276"/>
      <c r="J255" s="276"/>
      <c r="K255" s="276"/>
      <c r="L255" s="276"/>
      <c r="M255" s="276"/>
      <c r="N255" s="276"/>
    </row>
    <row r="256" spans="1:14" ht="23.1" customHeight="1">
      <c r="A256" s="275"/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</row>
    <row r="257" spans="1:14" ht="23.1" customHeight="1">
      <c r="A257" s="275"/>
      <c r="B257" s="276"/>
      <c r="C257" s="276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</row>
    <row r="258" spans="1:14" ht="23.1" customHeight="1">
      <c r="A258" s="275"/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</row>
    <row r="259" spans="1:14" ht="23.1" customHeight="1">
      <c r="A259" s="275"/>
      <c r="B259" s="276"/>
      <c r="C259" s="276"/>
      <c r="D259" s="276"/>
      <c r="E259" s="276"/>
      <c r="F259" s="276"/>
      <c r="G259" s="276"/>
      <c r="H259" s="276"/>
      <c r="I259" s="276"/>
      <c r="J259" s="276"/>
      <c r="K259" s="276"/>
      <c r="L259" s="276"/>
      <c r="M259" s="276"/>
      <c r="N259" s="276"/>
    </row>
    <row r="260" spans="1:14" ht="23.1" customHeight="1">
      <c r="A260" s="275"/>
      <c r="B260" s="276"/>
      <c r="C260" s="276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</row>
    <row r="261" spans="1:14" ht="23.1" customHeight="1">
      <c r="A261" s="275"/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</row>
    <row r="262" spans="1:14" ht="23.1" customHeight="1">
      <c r="A262" s="275"/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</row>
    <row r="263" spans="1:14" ht="23.1" customHeight="1">
      <c r="A263" s="275"/>
      <c r="B263" s="276"/>
      <c r="C263" s="276"/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</row>
    <row r="264" spans="1:14" ht="23.1" customHeight="1">
      <c r="A264" s="275"/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</row>
    <row r="265" spans="1:14" ht="23.1" customHeight="1">
      <c r="A265" s="275"/>
      <c r="B265" s="276"/>
      <c r="C265" s="276"/>
      <c r="D265" s="276"/>
      <c r="E265" s="276"/>
      <c r="F265" s="276"/>
      <c r="G265" s="276"/>
      <c r="H265" s="276"/>
      <c r="I265" s="276"/>
      <c r="J265" s="276"/>
      <c r="K265" s="276"/>
      <c r="L265" s="276"/>
      <c r="M265" s="276"/>
      <c r="N265" s="276"/>
    </row>
    <row r="266" spans="1:14" ht="23.1" customHeight="1">
      <c r="A266" s="275"/>
      <c r="B266" s="276"/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</row>
    <row r="267" spans="1:14" ht="23.1" customHeight="1">
      <c r="A267" s="275"/>
      <c r="B267" s="276"/>
      <c r="C267" s="276"/>
      <c r="D267" s="276"/>
      <c r="E267" s="276"/>
      <c r="F267" s="276"/>
      <c r="G267" s="276"/>
      <c r="H267" s="276"/>
      <c r="I267" s="276"/>
      <c r="J267" s="276"/>
      <c r="K267" s="276"/>
      <c r="L267" s="276"/>
      <c r="M267" s="276"/>
      <c r="N267" s="276"/>
    </row>
    <row r="268" spans="1:14" ht="23.1" customHeight="1">
      <c r="A268" s="275"/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</row>
    <row r="269" spans="1:14" ht="23.1" customHeight="1">
      <c r="A269" s="275"/>
      <c r="B269" s="276"/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</row>
    <row r="270" spans="1:14" ht="23.1" customHeight="1">
      <c r="A270" s="275"/>
      <c r="B270" s="276"/>
      <c r="C270" s="276"/>
      <c r="D270" s="276"/>
      <c r="E270" s="276"/>
      <c r="F270" s="276"/>
      <c r="G270" s="276"/>
      <c r="H270" s="276"/>
      <c r="I270" s="276"/>
      <c r="J270" s="276"/>
      <c r="K270" s="276"/>
      <c r="L270" s="276"/>
      <c r="M270" s="276"/>
      <c r="N270" s="276"/>
    </row>
    <row r="271" spans="1:14" ht="23.1" customHeight="1">
      <c r="A271" s="275"/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</row>
    <row r="272" spans="1:14" ht="23.1" customHeight="1">
      <c r="A272" s="275"/>
      <c r="B272" s="276"/>
      <c r="C272" s="276"/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6"/>
    </row>
    <row r="273" spans="1:14" ht="23.1" customHeight="1">
      <c r="A273" s="275"/>
      <c r="B273" s="276"/>
      <c r="C273" s="276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</row>
    <row r="274" spans="1:14" ht="23.1" customHeight="1">
      <c r="A274" s="275"/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</row>
    <row r="275" spans="1:14" ht="23.1" customHeight="1">
      <c r="A275" s="275"/>
      <c r="B275" s="276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/>
    </row>
    <row r="276" spans="1:14" ht="23.1" customHeight="1">
      <c r="A276" s="275"/>
      <c r="B276" s="276"/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</row>
    <row r="277" spans="1:14" ht="23.1" customHeight="1">
      <c r="A277" s="275"/>
      <c r="B277" s="276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</row>
    <row r="278" spans="1:14" ht="23.1" customHeight="1">
      <c r="A278" s="275"/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</row>
    <row r="279" spans="1:14" ht="23.1" customHeight="1">
      <c r="A279" s="275"/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</row>
    <row r="280" spans="1:14" ht="23.1" customHeight="1">
      <c r="A280" s="275"/>
      <c r="B280" s="276"/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</row>
    <row r="281" spans="1:14" ht="23.1" customHeight="1">
      <c r="A281" s="275"/>
      <c r="B281" s="276"/>
      <c r="C281" s="276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</row>
    <row r="282" spans="1:14" ht="23.1" customHeight="1">
      <c r="A282" s="275"/>
      <c r="B282" s="276"/>
      <c r="C282" s="276"/>
      <c r="D282" s="276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</row>
    <row r="283" spans="1:14" ht="23.1" customHeight="1">
      <c r="A283" s="275"/>
      <c r="B283" s="276"/>
      <c r="C283" s="276"/>
      <c r="D283" s="276"/>
      <c r="E283" s="276"/>
      <c r="F283" s="276"/>
      <c r="G283" s="276"/>
      <c r="H283" s="276"/>
      <c r="I283" s="276"/>
      <c r="J283" s="276"/>
      <c r="K283" s="276"/>
      <c r="L283" s="276"/>
      <c r="M283" s="276"/>
      <c r="N283" s="276"/>
    </row>
    <row r="284" spans="1:14" ht="23.1" customHeight="1">
      <c r="A284" s="275"/>
      <c r="B284" s="276"/>
      <c r="C284" s="276"/>
      <c r="D284" s="276"/>
      <c r="E284" s="276"/>
      <c r="F284" s="276"/>
      <c r="G284" s="276"/>
      <c r="H284" s="276"/>
      <c r="I284" s="276"/>
      <c r="J284" s="276"/>
      <c r="K284" s="276"/>
      <c r="L284" s="276"/>
      <c r="M284" s="276"/>
      <c r="N284" s="276"/>
    </row>
    <row r="285" spans="1:14" ht="23.1" customHeight="1">
      <c r="A285" s="275"/>
      <c r="B285" s="276"/>
      <c r="C285" s="276"/>
      <c r="D285" s="276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</row>
    <row r="286" spans="1:14" ht="23.1" customHeight="1">
      <c r="A286" s="275"/>
      <c r="B286" s="276"/>
      <c r="C286" s="276"/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</row>
    <row r="287" spans="1:14" ht="23.1" customHeight="1">
      <c r="A287" s="275"/>
      <c r="B287" s="276"/>
      <c r="C287" s="276"/>
      <c r="D287" s="276"/>
      <c r="E287" s="276"/>
      <c r="F287" s="276"/>
      <c r="G287" s="276"/>
      <c r="H287" s="276"/>
      <c r="I287" s="276"/>
      <c r="J287" s="276"/>
      <c r="K287" s="276"/>
      <c r="L287" s="276"/>
      <c r="M287" s="276"/>
      <c r="N287" s="276"/>
    </row>
    <row r="288" spans="1:14" ht="23.1" customHeight="1">
      <c r="A288" s="275"/>
      <c r="B288" s="276"/>
      <c r="C288" s="276"/>
      <c r="D288" s="276"/>
      <c r="E288" s="276"/>
      <c r="F288" s="276"/>
      <c r="G288" s="276"/>
      <c r="H288" s="276"/>
      <c r="I288" s="276"/>
      <c r="J288" s="276"/>
      <c r="K288" s="276"/>
      <c r="L288" s="276"/>
      <c r="M288" s="276"/>
      <c r="N288" s="276"/>
    </row>
    <row r="289" spans="1:14" ht="23.1" customHeight="1">
      <c r="A289" s="275"/>
      <c r="B289" s="276"/>
      <c r="C289" s="276"/>
      <c r="D289" s="276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</row>
    <row r="290" spans="1:14" ht="23.1" customHeight="1">
      <c r="A290" s="275"/>
      <c r="B290" s="276"/>
      <c r="C290" s="276"/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</row>
    <row r="291" spans="1:14" ht="23.1" customHeight="1">
      <c r="A291" s="275"/>
      <c r="B291" s="276"/>
      <c r="C291" s="276"/>
      <c r="D291" s="276"/>
      <c r="E291" s="276"/>
      <c r="F291" s="276"/>
      <c r="G291" s="276"/>
      <c r="H291" s="276"/>
      <c r="I291" s="276"/>
      <c r="J291" s="276"/>
      <c r="K291" s="276"/>
      <c r="L291" s="276"/>
      <c r="M291" s="276"/>
      <c r="N291" s="276"/>
    </row>
    <row r="292" spans="1:14" ht="23.1" customHeight="1">
      <c r="A292" s="275"/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</row>
    <row r="293" spans="1:14" ht="23.1" customHeight="1">
      <c r="A293" s="275"/>
      <c r="B293" s="276"/>
      <c r="C293" s="276"/>
      <c r="D293" s="276"/>
      <c r="E293" s="276"/>
      <c r="F293" s="276"/>
      <c r="G293" s="276"/>
      <c r="H293" s="276"/>
      <c r="I293" s="276"/>
      <c r="J293" s="276"/>
      <c r="K293" s="276"/>
      <c r="L293" s="276"/>
      <c r="M293" s="276"/>
      <c r="N293" s="276"/>
    </row>
    <row r="294" spans="1:14" ht="23.1" customHeight="1">
      <c r="A294" s="275"/>
      <c r="B294" s="276"/>
      <c r="C294" s="276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</row>
    <row r="295" spans="1:14" ht="23.1" customHeight="1">
      <c r="A295" s="275"/>
      <c r="B295" s="276"/>
      <c r="C295" s="276"/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</row>
    <row r="296" spans="1:14" ht="23.1" customHeight="1">
      <c r="A296" s="275"/>
      <c r="B296" s="276"/>
      <c r="C296" s="276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</row>
    <row r="297" spans="1:14" ht="23.1" customHeight="1">
      <c r="A297" s="275"/>
      <c r="B297" s="276"/>
      <c r="C297" s="276"/>
      <c r="D297" s="276"/>
      <c r="E297" s="276"/>
      <c r="F297" s="276"/>
      <c r="G297" s="276"/>
      <c r="H297" s="276"/>
      <c r="I297" s="276"/>
      <c r="J297" s="276"/>
      <c r="K297" s="276"/>
      <c r="L297" s="276"/>
      <c r="M297" s="276"/>
      <c r="N297" s="276"/>
    </row>
    <row r="298" spans="1:14" ht="23.1" customHeight="1">
      <c r="A298" s="275"/>
      <c r="B298" s="276"/>
      <c r="C298" s="276"/>
      <c r="D298" s="276"/>
      <c r="E298" s="276"/>
      <c r="F298" s="276"/>
      <c r="G298" s="276"/>
      <c r="H298" s="276"/>
      <c r="I298" s="276"/>
      <c r="J298" s="276"/>
      <c r="K298" s="276"/>
      <c r="L298" s="276"/>
      <c r="M298" s="276"/>
      <c r="N298" s="276"/>
    </row>
    <row r="299" spans="1:14" ht="23.1" customHeight="1">
      <c r="A299" s="275"/>
      <c r="B299" s="276"/>
      <c r="C299" s="276"/>
      <c r="D299" s="276"/>
      <c r="E299" s="276"/>
      <c r="F299" s="276"/>
      <c r="G299" s="276"/>
      <c r="H299" s="276"/>
      <c r="I299" s="276"/>
      <c r="J299" s="276"/>
      <c r="K299" s="276"/>
      <c r="L299" s="276"/>
      <c r="M299" s="276"/>
      <c r="N299" s="276"/>
    </row>
    <row r="300" spans="1:14" ht="23.1" customHeight="1">
      <c r="A300" s="275"/>
      <c r="B300" s="276"/>
      <c r="C300" s="276"/>
      <c r="D300" s="276"/>
      <c r="E300" s="276"/>
      <c r="F300" s="276"/>
      <c r="G300" s="276"/>
      <c r="H300" s="276"/>
      <c r="I300" s="276"/>
      <c r="J300" s="276"/>
      <c r="K300" s="276"/>
      <c r="L300" s="276"/>
      <c r="M300" s="276"/>
      <c r="N300" s="276"/>
    </row>
    <row r="301" spans="1:14" ht="23.1" customHeight="1">
      <c r="A301" s="275"/>
      <c r="B301" s="276"/>
      <c r="C301" s="276"/>
      <c r="D301" s="276"/>
      <c r="E301" s="276"/>
      <c r="F301" s="276"/>
      <c r="G301" s="276"/>
      <c r="H301" s="276"/>
      <c r="I301" s="276"/>
      <c r="J301" s="276"/>
      <c r="K301" s="276"/>
      <c r="L301" s="276"/>
      <c r="M301" s="276"/>
      <c r="N301" s="276"/>
    </row>
    <row r="302" spans="1:14" ht="23.1" customHeight="1">
      <c r="A302" s="275"/>
      <c r="B302" s="276"/>
      <c r="C302" s="276"/>
      <c r="D302" s="276"/>
      <c r="E302" s="276"/>
      <c r="F302" s="276"/>
      <c r="G302" s="276"/>
      <c r="H302" s="276"/>
      <c r="I302" s="276"/>
      <c r="J302" s="276"/>
      <c r="K302" s="276"/>
      <c r="L302" s="276"/>
      <c r="M302" s="276"/>
      <c r="N302" s="276"/>
    </row>
    <row r="303" spans="1:14" ht="23.1" customHeight="1">
      <c r="A303" s="275"/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</row>
    <row r="304" spans="1:14" ht="23.1" customHeight="1">
      <c r="A304" s="275"/>
      <c r="B304" s="276"/>
      <c r="C304" s="276"/>
      <c r="D304" s="276"/>
      <c r="E304" s="276"/>
      <c r="F304" s="276"/>
      <c r="G304" s="276"/>
      <c r="H304" s="276"/>
      <c r="I304" s="276"/>
      <c r="J304" s="276"/>
      <c r="K304" s="276"/>
      <c r="L304" s="276"/>
      <c r="M304" s="276"/>
      <c r="N304" s="276"/>
    </row>
    <row r="305" spans="1:14" ht="23.1" customHeight="1">
      <c r="A305" s="275"/>
      <c r="B305" s="276"/>
      <c r="C305" s="276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6"/>
    </row>
    <row r="306" spans="1:14" ht="23.1" customHeight="1">
      <c r="A306" s="275"/>
      <c r="B306" s="276"/>
      <c r="C306" s="276"/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6"/>
    </row>
    <row r="307" spans="1:14" ht="23.1" customHeight="1">
      <c r="A307" s="275"/>
      <c r="B307" s="276"/>
      <c r="C307" s="276"/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6"/>
    </row>
    <row r="308" spans="1:14" ht="23.1" customHeight="1">
      <c r="A308" s="275"/>
      <c r="B308" s="276"/>
      <c r="C308" s="276"/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</row>
    <row r="309" spans="1:14" ht="23.1" customHeight="1">
      <c r="A309" s="275"/>
      <c r="B309" s="276"/>
      <c r="C309" s="276"/>
      <c r="D309" s="276"/>
      <c r="E309" s="276"/>
      <c r="F309" s="276"/>
      <c r="G309" s="276"/>
      <c r="H309" s="276"/>
      <c r="I309" s="276"/>
      <c r="J309" s="276"/>
      <c r="K309" s="276"/>
      <c r="L309" s="276"/>
      <c r="M309" s="276"/>
      <c r="N309" s="276"/>
    </row>
    <row r="310" spans="1:14" ht="23.1" customHeight="1">
      <c r="A310" s="275"/>
      <c r="B310" s="276"/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</row>
    <row r="311" spans="1:14" ht="23.1" customHeight="1">
      <c r="A311" s="275"/>
      <c r="B311" s="276"/>
      <c r="C311" s="276"/>
      <c r="D311" s="276"/>
      <c r="E311" s="276"/>
      <c r="F311" s="276"/>
      <c r="G311" s="276"/>
      <c r="H311" s="276"/>
      <c r="I311" s="276"/>
      <c r="J311" s="276"/>
      <c r="K311" s="276"/>
      <c r="L311" s="276"/>
      <c r="M311" s="276"/>
      <c r="N311" s="276"/>
    </row>
    <row r="312" spans="1:14" ht="23.1" customHeight="1">
      <c r="A312" s="275"/>
      <c r="B312" s="276"/>
      <c r="C312" s="276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76"/>
    </row>
    <row r="313" spans="1:14" ht="23.1" customHeight="1">
      <c r="A313" s="275"/>
      <c r="B313" s="276"/>
      <c r="C313" s="276"/>
      <c r="D313" s="276"/>
      <c r="E313" s="276"/>
      <c r="F313" s="276"/>
      <c r="G313" s="276"/>
      <c r="H313" s="276"/>
      <c r="I313" s="276"/>
      <c r="J313" s="276"/>
      <c r="K313" s="276"/>
      <c r="L313" s="276"/>
      <c r="M313" s="276"/>
      <c r="N313" s="276"/>
    </row>
    <row r="314" spans="1:14" ht="23.1" customHeight="1">
      <c r="A314" s="275"/>
      <c r="B314" s="276"/>
      <c r="C314" s="276"/>
      <c r="D314" s="276"/>
      <c r="E314" s="276"/>
      <c r="F314" s="276"/>
      <c r="G314" s="276"/>
      <c r="H314" s="276"/>
      <c r="I314" s="276"/>
      <c r="J314" s="276"/>
      <c r="K314" s="276"/>
      <c r="L314" s="276"/>
      <c r="M314" s="276"/>
      <c r="N314" s="276"/>
    </row>
    <row r="315" spans="1:14" ht="23.1" customHeight="1">
      <c r="A315" s="275"/>
      <c r="B315" s="276"/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</row>
    <row r="316" spans="1:14" ht="23.1" customHeight="1">
      <c r="A316" s="275"/>
      <c r="B316" s="276"/>
      <c r="C316" s="276"/>
      <c r="D316" s="276"/>
      <c r="E316" s="276"/>
      <c r="F316" s="276"/>
      <c r="G316" s="276"/>
      <c r="H316" s="276"/>
      <c r="I316" s="276"/>
      <c r="J316" s="276"/>
      <c r="K316" s="276"/>
      <c r="L316" s="276"/>
      <c r="M316" s="276"/>
      <c r="N316" s="276"/>
    </row>
    <row r="317" spans="1:14" ht="23.1" customHeight="1">
      <c r="A317" s="275"/>
      <c r="B317" s="276"/>
      <c r="C317" s="276"/>
      <c r="D317" s="276"/>
      <c r="E317" s="276"/>
      <c r="F317" s="276"/>
      <c r="G317" s="276"/>
      <c r="H317" s="276"/>
      <c r="I317" s="276"/>
      <c r="J317" s="276"/>
      <c r="K317" s="276"/>
      <c r="L317" s="276"/>
      <c r="M317" s="276"/>
      <c r="N317" s="276"/>
    </row>
    <row r="318" spans="1:14" ht="23.1" customHeight="1">
      <c r="A318" s="275"/>
      <c r="B318" s="276"/>
      <c r="C318" s="276"/>
      <c r="D318" s="276"/>
      <c r="E318" s="276"/>
      <c r="F318" s="276"/>
      <c r="G318" s="276"/>
      <c r="H318" s="276"/>
      <c r="I318" s="276"/>
      <c r="J318" s="276"/>
      <c r="K318" s="276"/>
      <c r="L318" s="276"/>
      <c r="M318" s="276"/>
      <c r="N318" s="276"/>
    </row>
    <row r="319" spans="1:14" ht="23.1" customHeight="1">
      <c r="A319" s="275"/>
      <c r="B319" s="276"/>
      <c r="C319" s="276"/>
      <c r="D319" s="276"/>
      <c r="E319" s="276"/>
      <c r="F319" s="276"/>
      <c r="G319" s="276"/>
      <c r="H319" s="276"/>
      <c r="I319" s="276"/>
      <c r="J319" s="276"/>
      <c r="K319" s="276"/>
      <c r="L319" s="276"/>
      <c r="M319" s="276"/>
      <c r="N319" s="276"/>
    </row>
    <row r="320" spans="1:14" ht="23.1" customHeight="1">
      <c r="A320" s="275"/>
      <c r="B320" s="276"/>
      <c r="C320" s="276"/>
      <c r="D320" s="276"/>
      <c r="E320" s="276"/>
      <c r="F320" s="276"/>
      <c r="G320" s="276"/>
      <c r="H320" s="276"/>
      <c r="I320" s="276"/>
      <c r="J320" s="276"/>
      <c r="K320" s="276"/>
      <c r="L320" s="276"/>
      <c r="M320" s="276"/>
      <c r="N320" s="276"/>
    </row>
    <row r="321" spans="1:14" ht="23.1" customHeight="1">
      <c r="A321" s="275"/>
      <c r="B321" s="276"/>
      <c r="C321" s="276"/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</row>
    <row r="322" spans="1:14" ht="23.1" customHeight="1">
      <c r="A322" s="275"/>
      <c r="B322" s="276"/>
      <c r="C322" s="276"/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</row>
    <row r="323" spans="1:14" ht="23.1" customHeight="1">
      <c r="A323" s="275"/>
      <c r="B323" s="276"/>
      <c r="C323" s="276"/>
      <c r="D323" s="276"/>
      <c r="E323" s="276"/>
      <c r="F323" s="276"/>
      <c r="G323" s="276"/>
      <c r="H323" s="276"/>
      <c r="I323" s="276"/>
      <c r="J323" s="276"/>
      <c r="K323" s="276"/>
      <c r="L323" s="276"/>
      <c r="M323" s="276"/>
      <c r="N323" s="276"/>
    </row>
    <row r="324" spans="1:14" ht="23.1" customHeight="1">
      <c r="A324" s="275"/>
      <c r="B324" s="276"/>
      <c r="C324" s="276"/>
      <c r="D324" s="276"/>
      <c r="E324" s="276"/>
      <c r="F324" s="276"/>
      <c r="G324" s="276"/>
      <c r="H324" s="276"/>
      <c r="I324" s="276"/>
      <c r="J324" s="276"/>
      <c r="K324" s="276"/>
      <c r="L324" s="276"/>
      <c r="M324" s="276"/>
      <c r="N324" s="276"/>
    </row>
    <row r="325" spans="1:14" ht="23.1" customHeight="1">
      <c r="A325" s="275"/>
      <c r="B325" s="276"/>
      <c r="C325" s="276"/>
      <c r="D325" s="276"/>
      <c r="E325" s="276"/>
      <c r="F325" s="276"/>
      <c r="G325" s="276"/>
      <c r="H325" s="276"/>
      <c r="I325" s="276"/>
      <c r="J325" s="276"/>
      <c r="K325" s="276"/>
      <c r="L325" s="276"/>
      <c r="M325" s="276"/>
      <c r="N325" s="276"/>
    </row>
    <row r="326" spans="1:14" ht="23.1" customHeight="1">
      <c r="A326" s="275"/>
      <c r="B326" s="276"/>
      <c r="C326" s="276"/>
      <c r="D326" s="276"/>
      <c r="E326" s="276"/>
      <c r="F326" s="276"/>
      <c r="G326" s="276"/>
      <c r="H326" s="276"/>
      <c r="I326" s="276"/>
      <c r="J326" s="276"/>
      <c r="K326" s="276"/>
      <c r="L326" s="276"/>
      <c r="M326" s="276"/>
      <c r="N326" s="276"/>
    </row>
    <row r="327" spans="1:14" ht="23.1" customHeight="1">
      <c r="A327" s="275"/>
      <c r="B327" s="276"/>
      <c r="C327" s="276"/>
      <c r="D327" s="276"/>
      <c r="E327" s="276"/>
      <c r="F327" s="276"/>
      <c r="G327" s="276"/>
      <c r="H327" s="276"/>
      <c r="I327" s="276"/>
      <c r="J327" s="276"/>
      <c r="K327" s="276"/>
      <c r="L327" s="276"/>
      <c r="M327" s="276"/>
      <c r="N327" s="276"/>
    </row>
    <row r="328" spans="1:14" ht="23.1" customHeight="1">
      <c r="A328" s="275"/>
      <c r="B328" s="276"/>
      <c r="C328" s="276"/>
      <c r="D328" s="276"/>
      <c r="E328" s="276"/>
      <c r="F328" s="276"/>
      <c r="G328" s="276"/>
      <c r="H328" s="276"/>
      <c r="I328" s="276"/>
      <c r="J328" s="276"/>
      <c r="K328" s="276"/>
      <c r="L328" s="276"/>
      <c r="M328" s="276"/>
      <c r="N328" s="276"/>
    </row>
    <row r="329" spans="1:14" ht="23.1" customHeight="1">
      <c r="A329" s="275"/>
      <c r="B329" s="276"/>
      <c r="C329" s="276"/>
      <c r="D329" s="276"/>
      <c r="E329" s="276"/>
      <c r="F329" s="276"/>
      <c r="G329" s="276"/>
      <c r="H329" s="276"/>
      <c r="I329" s="276"/>
      <c r="J329" s="276"/>
      <c r="K329" s="276"/>
      <c r="L329" s="276"/>
      <c r="M329" s="276"/>
      <c r="N329" s="276"/>
    </row>
    <row r="330" spans="1:14" ht="23.1" customHeight="1">
      <c r="A330" s="275"/>
      <c r="B330" s="276"/>
      <c r="C330" s="276"/>
      <c r="D330" s="276"/>
      <c r="E330" s="276"/>
      <c r="F330" s="276"/>
      <c r="G330" s="276"/>
      <c r="H330" s="276"/>
      <c r="I330" s="276"/>
      <c r="J330" s="276"/>
      <c r="K330" s="276"/>
      <c r="L330" s="276"/>
      <c r="M330" s="276"/>
      <c r="N330" s="276"/>
    </row>
    <row r="331" spans="1:14" ht="23.1" customHeight="1">
      <c r="A331" s="275"/>
      <c r="B331" s="276"/>
      <c r="C331" s="276"/>
      <c r="D331" s="276"/>
      <c r="E331" s="276"/>
      <c r="F331" s="276"/>
      <c r="G331" s="276"/>
      <c r="H331" s="276"/>
      <c r="I331" s="276"/>
      <c r="J331" s="276"/>
      <c r="K331" s="276"/>
      <c r="L331" s="276"/>
      <c r="M331" s="276"/>
      <c r="N331" s="276"/>
    </row>
    <row r="332" spans="1:14" ht="23.1" customHeight="1">
      <c r="A332" s="275"/>
      <c r="B332" s="276"/>
      <c r="C332" s="276"/>
      <c r="D332" s="276"/>
      <c r="E332" s="276"/>
      <c r="F332" s="276"/>
      <c r="G332" s="276"/>
      <c r="H332" s="276"/>
      <c r="I332" s="276"/>
      <c r="J332" s="276"/>
      <c r="K332" s="276"/>
      <c r="L332" s="276"/>
      <c r="M332" s="276"/>
      <c r="N332" s="276"/>
    </row>
    <row r="333" spans="1:14" ht="23.1" customHeight="1">
      <c r="A333" s="275"/>
      <c r="B333" s="276"/>
      <c r="C333" s="276"/>
      <c r="D333" s="276"/>
      <c r="E333" s="276"/>
      <c r="F333" s="276"/>
      <c r="G333" s="276"/>
      <c r="H333" s="276"/>
      <c r="I333" s="276"/>
      <c r="J333" s="276"/>
      <c r="K333" s="276"/>
      <c r="L333" s="276"/>
      <c r="M333" s="276"/>
      <c r="N333" s="276"/>
    </row>
    <row r="334" spans="1:14" ht="23.1" customHeight="1">
      <c r="A334" s="275"/>
      <c r="B334" s="276"/>
      <c r="C334" s="276"/>
      <c r="D334" s="276"/>
      <c r="E334" s="276"/>
      <c r="F334" s="276"/>
      <c r="G334" s="276"/>
      <c r="H334" s="276"/>
      <c r="I334" s="276"/>
      <c r="J334" s="276"/>
      <c r="K334" s="276"/>
      <c r="L334" s="276"/>
      <c r="M334" s="276"/>
      <c r="N334" s="276"/>
    </row>
    <row r="335" spans="1:14" ht="23.1" customHeight="1">
      <c r="A335" s="275"/>
      <c r="B335" s="276"/>
      <c r="C335" s="276"/>
      <c r="D335" s="276"/>
      <c r="E335" s="276"/>
      <c r="F335" s="276"/>
      <c r="G335" s="276"/>
      <c r="H335" s="276"/>
      <c r="I335" s="276"/>
      <c r="J335" s="276"/>
      <c r="K335" s="276"/>
      <c r="L335" s="276"/>
      <c r="M335" s="276"/>
      <c r="N335" s="276"/>
    </row>
    <row r="336" spans="1:14" ht="23.1" customHeight="1">
      <c r="A336" s="275"/>
      <c r="B336" s="276"/>
      <c r="C336" s="27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  <c r="N336" s="276"/>
    </row>
    <row r="337" spans="1:14" ht="23.1" customHeight="1">
      <c r="A337" s="275"/>
      <c r="B337" s="276"/>
      <c r="C337" s="276"/>
      <c r="D337" s="276"/>
      <c r="E337" s="276"/>
      <c r="F337" s="276"/>
      <c r="G337" s="276"/>
      <c r="H337" s="276"/>
      <c r="I337" s="276"/>
      <c r="J337" s="276"/>
      <c r="K337" s="276"/>
      <c r="L337" s="276"/>
      <c r="M337" s="276"/>
      <c r="N337" s="276"/>
    </row>
    <row r="338" spans="1:14" ht="23.1" customHeight="1">
      <c r="A338" s="275"/>
      <c r="B338" s="276"/>
      <c r="C338" s="276"/>
      <c r="D338" s="276"/>
      <c r="E338" s="276"/>
      <c r="F338" s="276"/>
      <c r="G338" s="276"/>
      <c r="H338" s="276"/>
      <c r="I338" s="276"/>
      <c r="J338" s="276"/>
      <c r="K338" s="276"/>
      <c r="L338" s="276"/>
      <c r="M338" s="276"/>
      <c r="N338" s="276"/>
    </row>
    <row r="339" spans="1:14" ht="23.1" customHeight="1">
      <c r="A339" s="275"/>
      <c r="B339" s="276"/>
      <c r="C339" s="276"/>
      <c r="D339" s="276"/>
      <c r="E339" s="276"/>
      <c r="F339" s="276"/>
      <c r="G339" s="276"/>
      <c r="H339" s="276"/>
      <c r="I339" s="276"/>
      <c r="J339" s="276"/>
      <c r="K339" s="276"/>
      <c r="L339" s="276"/>
      <c r="M339" s="276"/>
      <c r="N339" s="276"/>
    </row>
    <row r="340" spans="1:14" ht="23.1" customHeight="1">
      <c r="A340" s="275"/>
      <c r="B340" s="276"/>
      <c r="C340" s="276"/>
      <c r="D340" s="276"/>
      <c r="E340" s="276"/>
      <c r="F340" s="276"/>
      <c r="G340" s="276"/>
      <c r="H340" s="276"/>
      <c r="I340" s="276"/>
      <c r="J340" s="276"/>
      <c r="K340" s="276"/>
      <c r="L340" s="276"/>
      <c r="M340" s="276"/>
      <c r="N340" s="276"/>
    </row>
    <row r="341" spans="1:14" ht="23.1" customHeight="1">
      <c r="A341" s="275"/>
      <c r="B341" s="276"/>
      <c r="C341" s="276"/>
      <c r="D341" s="276"/>
      <c r="E341" s="276"/>
      <c r="F341" s="276"/>
      <c r="G341" s="276"/>
      <c r="H341" s="276"/>
      <c r="I341" s="276"/>
      <c r="J341" s="276"/>
      <c r="K341" s="276"/>
      <c r="L341" s="276"/>
      <c r="M341" s="276"/>
      <c r="N341" s="276"/>
    </row>
    <row r="342" spans="1:14" ht="23.1" customHeight="1">
      <c r="A342" s="275"/>
      <c r="B342" s="276"/>
      <c r="C342" s="276"/>
      <c r="D342" s="276"/>
      <c r="E342" s="276"/>
      <c r="F342" s="276"/>
      <c r="G342" s="276"/>
      <c r="H342" s="276"/>
      <c r="I342" s="276"/>
      <c r="J342" s="276"/>
      <c r="K342" s="276"/>
      <c r="L342" s="276"/>
      <c r="M342" s="276"/>
      <c r="N342" s="276"/>
    </row>
    <row r="343" spans="1:14" ht="23.1" customHeight="1">
      <c r="A343" s="275"/>
      <c r="B343" s="276"/>
      <c r="C343" s="276"/>
      <c r="D343" s="276"/>
      <c r="E343" s="276"/>
      <c r="F343" s="276"/>
      <c r="G343" s="276"/>
      <c r="H343" s="276"/>
      <c r="I343" s="276"/>
      <c r="J343" s="276"/>
      <c r="K343" s="276"/>
      <c r="L343" s="276"/>
      <c r="M343" s="276"/>
      <c r="N343" s="276"/>
    </row>
    <row r="344" spans="1:14" ht="23.1" customHeight="1">
      <c r="A344" s="275"/>
      <c r="B344" s="276"/>
      <c r="C344" s="276"/>
      <c r="D344" s="276"/>
      <c r="E344" s="276"/>
      <c r="F344" s="276"/>
      <c r="G344" s="276"/>
      <c r="H344" s="276"/>
      <c r="I344" s="276"/>
      <c r="J344" s="276"/>
      <c r="K344" s="276"/>
      <c r="L344" s="276"/>
      <c r="M344" s="276"/>
      <c r="N344" s="276"/>
    </row>
    <row r="345" spans="1:14" ht="23.1" customHeight="1">
      <c r="A345" s="275"/>
      <c r="B345" s="276"/>
      <c r="C345" s="276"/>
      <c r="D345" s="276"/>
      <c r="E345" s="276"/>
      <c r="F345" s="276"/>
      <c r="G345" s="276"/>
      <c r="H345" s="276"/>
      <c r="I345" s="276"/>
      <c r="J345" s="276"/>
      <c r="K345" s="276"/>
      <c r="L345" s="276"/>
      <c r="M345" s="276"/>
      <c r="N345" s="276"/>
    </row>
    <row r="346" spans="1:14" ht="23.1" customHeight="1">
      <c r="A346" s="275"/>
      <c r="B346" s="276"/>
      <c r="C346" s="276"/>
      <c r="D346" s="276"/>
      <c r="E346" s="276"/>
      <c r="F346" s="276"/>
      <c r="G346" s="276"/>
      <c r="H346" s="276"/>
      <c r="I346" s="276"/>
      <c r="J346" s="276"/>
      <c r="K346" s="276"/>
      <c r="L346" s="276"/>
      <c r="M346" s="276"/>
      <c r="N346" s="276"/>
    </row>
    <row r="347" spans="1:14" ht="23.1" customHeight="1">
      <c r="A347" s="275"/>
      <c r="B347" s="276"/>
      <c r="C347" s="276"/>
      <c r="D347" s="276"/>
      <c r="E347" s="276"/>
      <c r="F347" s="276"/>
      <c r="G347" s="276"/>
      <c r="H347" s="276"/>
      <c r="I347" s="276"/>
      <c r="J347" s="276"/>
      <c r="K347" s="276"/>
      <c r="L347" s="276"/>
      <c r="M347" s="276"/>
      <c r="N347" s="276"/>
    </row>
    <row r="348" spans="1:14" ht="23.1" customHeight="1">
      <c r="A348" s="275"/>
      <c r="B348" s="276"/>
      <c r="C348" s="276"/>
      <c r="D348" s="276"/>
      <c r="E348" s="276"/>
      <c r="F348" s="276"/>
      <c r="G348" s="276"/>
      <c r="H348" s="276"/>
      <c r="I348" s="276"/>
      <c r="J348" s="276"/>
      <c r="K348" s="276"/>
      <c r="L348" s="276"/>
      <c r="M348" s="276"/>
      <c r="N348" s="276"/>
    </row>
    <row r="349" spans="1:14" ht="23.1" customHeight="1">
      <c r="A349" s="275"/>
      <c r="B349" s="276"/>
      <c r="C349" s="276"/>
      <c r="D349" s="276"/>
      <c r="E349" s="276"/>
      <c r="F349" s="276"/>
      <c r="G349" s="276"/>
      <c r="H349" s="276"/>
      <c r="I349" s="276"/>
      <c r="J349" s="276"/>
      <c r="K349" s="276"/>
      <c r="L349" s="276"/>
      <c r="M349" s="276"/>
      <c r="N349" s="276"/>
    </row>
    <row r="350" spans="1:14" ht="23.1" customHeight="1">
      <c r="A350" s="275"/>
      <c r="B350" s="276"/>
      <c r="C350" s="276"/>
      <c r="D350" s="276"/>
      <c r="E350" s="276"/>
      <c r="F350" s="276"/>
      <c r="G350" s="276"/>
      <c r="H350" s="276"/>
      <c r="I350" s="276"/>
      <c r="J350" s="276"/>
      <c r="K350" s="276"/>
      <c r="L350" s="276"/>
      <c r="M350" s="276"/>
      <c r="N350" s="276"/>
    </row>
    <row r="351" spans="1:14" ht="23.1" customHeight="1">
      <c r="A351" s="275"/>
      <c r="B351" s="276"/>
      <c r="C351" s="276"/>
      <c r="D351" s="276"/>
      <c r="E351" s="276"/>
      <c r="F351" s="276"/>
      <c r="G351" s="276"/>
      <c r="H351" s="276"/>
      <c r="I351" s="276"/>
      <c r="J351" s="276"/>
      <c r="K351" s="276"/>
      <c r="L351" s="276"/>
      <c r="M351" s="276"/>
      <c r="N351" s="276"/>
    </row>
    <row r="352" spans="1:14" ht="23.1" customHeight="1">
      <c r="A352" s="275"/>
      <c r="B352" s="276"/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</row>
    <row r="353" spans="1:14" ht="23.1" customHeight="1">
      <c r="A353" s="275"/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</row>
    <row r="354" spans="1:14" ht="23.1" customHeight="1">
      <c r="A354" s="275"/>
      <c r="B354" s="276"/>
      <c r="C354" s="276"/>
      <c r="D354" s="276"/>
      <c r="E354" s="276"/>
      <c r="F354" s="276"/>
      <c r="G354" s="276"/>
      <c r="H354" s="276"/>
      <c r="I354" s="276"/>
      <c r="J354" s="276"/>
      <c r="K354" s="276"/>
      <c r="L354" s="276"/>
      <c r="M354" s="276"/>
      <c r="N354" s="276"/>
    </row>
    <row r="355" spans="1:14" ht="23.1" customHeight="1">
      <c r="A355" s="275"/>
      <c r="B355" s="276"/>
      <c r="C355" s="276"/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  <c r="N355" s="276"/>
    </row>
    <row r="356" spans="1:14" ht="23.1" customHeight="1">
      <c r="A356" s="275"/>
      <c r="B356" s="276"/>
      <c r="C356" s="276"/>
      <c r="D356" s="276"/>
      <c r="E356" s="276"/>
      <c r="F356" s="276"/>
      <c r="G356" s="276"/>
      <c r="H356" s="276"/>
      <c r="I356" s="276"/>
      <c r="J356" s="276"/>
      <c r="K356" s="276"/>
      <c r="L356" s="276"/>
      <c r="M356" s="276"/>
      <c r="N356" s="276"/>
    </row>
    <row r="357" spans="1:14" ht="23.1" customHeight="1">
      <c r="A357" s="275"/>
      <c r="B357" s="276"/>
      <c r="C357" s="276"/>
      <c r="D357" s="276"/>
      <c r="E357" s="276"/>
      <c r="F357" s="276"/>
      <c r="G357" s="276"/>
      <c r="H357" s="276"/>
      <c r="I357" s="276"/>
      <c r="J357" s="276"/>
      <c r="K357" s="276"/>
      <c r="L357" s="276"/>
      <c r="M357" s="276"/>
      <c r="N357" s="276"/>
    </row>
    <row r="358" spans="1:14" ht="23.1" customHeight="1">
      <c r="A358" s="275"/>
      <c r="B358" s="276"/>
      <c r="C358" s="276"/>
      <c r="D358" s="276"/>
      <c r="E358" s="276"/>
      <c r="F358" s="276"/>
      <c r="G358" s="276"/>
      <c r="H358" s="276"/>
      <c r="I358" s="276"/>
      <c r="J358" s="276"/>
      <c r="K358" s="276"/>
      <c r="L358" s="276"/>
      <c r="M358" s="276"/>
      <c r="N358" s="276"/>
    </row>
    <row r="359" spans="1:14" ht="23.1" customHeight="1">
      <c r="A359" s="275"/>
      <c r="B359" s="276"/>
      <c r="C359" s="276"/>
      <c r="D359" s="276"/>
      <c r="E359" s="276"/>
      <c r="F359" s="276"/>
      <c r="G359" s="276"/>
      <c r="H359" s="276"/>
      <c r="I359" s="276"/>
      <c r="J359" s="276"/>
      <c r="K359" s="276"/>
      <c r="L359" s="276"/>
      <c r="M359" s="276"/>
      <c r="N359" s="276"/>
    </row>
    <row r="360" spans="1:14" ht="23.1" customHeight="1">
      <c r="A360" s="275"/>
      <c r="B360" s="276"/>
      <c r="C360" s="276"/>
      <c r="D360" s="276"/>
      <c r="E360" s="276"/>
      <c r="F360" s="276"/>
      <c r="G360" s="276"/>
      <c r="H360" s="276"/>
      <c r="I360" s="276"/>
      <c r="J360" s="276"/>
      <c r="K360" s="276"/>
      <c r="L360" s="276"/>
      <c r="M360" s="276"/>
      <c r="N360" s="276"/>
    </row>
    <row r="361" spans="1:14" ht="23.1" customHeight="1">
      <c r="A361" s="275"/>
      <c r="B361" s="276"/>
      <c r="C361" s="276"/>
      <c r="D361" s="276"/>
      <c r="E361" s="276"/>
      <c r="F361" s="276"/>
      <c r="G361" s="276"/>
      <c r="H361" s="276"/>
      <c r="I361" s="276"/>
      <c r="J361" s="276"/>
      <c r="K361" s="276"/>
      <c r="L361" s="276"/>
      <c r="M361" s="276"/>
      <c r="N361" s="276"/>
    </row>
    <row r="362" spans="1:14" ht="23.1" customHeight="1">
      <c r="A362" s="275"/>
      <c r="B362" s="276"/>
      <c r="C362" s="276"/>
      <c r="D362" s="276"/>
      <c r="E362" s="276"/>
      <c r="F362" s="276"/>
      <c r="G362" s="276"/>
      <c r="H362" s="276"/>
      <c r="I362" s="276"/>
      <c r="J362" s="276"/>
      <c r="K362" s="276"/>
      <c r="L362" s="276"/>
      <c r="M362" s="276"/>
      <c r="N362" s="276"/>
    </row>
    <row r="363" spans="1:14" ht="23.1" customHeight="1">
      <c r="A363" s="275"/>
      <c r="B363" s="276"/>
      <c r="C363" s="276"/>
      <c r="D363" s="276"/>
      <c r="E363" s="276"/>
      <c r="F363" s="276"/>
      <c r="G363" s="276"/>
      <c r="H363" s="276"/>
      <c r="I363" s="276"/>
      <c r="J363" s="276"/>
      <c r="K363" s="276"/>
      <c r="L363" s="276"/>
      <c r="M363" s="276"/>
      <c r="N363" s="276"/>
    </row>
    <row r="364" spans="1:14" ht="23.1" customHeight="1">
      <c r="A364" s="275"/>
      <c r="B364" s="276"/>
      <c r="C364" s="276"/>
      <c r="D364" s="276"/>
      <c r="E364" s="276"/>
      <c r="F364" s="276"/>
      <c r="G364" s="276"/>
      <c r="H364" s="276"/>
      <c r="I364" s="276"/>
      <c r="J364" s="276"/>
      <c r="K364" s="276"/>
      <c r="L364" s="276"/>
      <c r="M364" s="276"/>
      <c r="N364" s="276"/>
    </row>
    <row r="365" spans="1:14" ht="23.1" customHeight="1">
      <c r="A365" s="275"/>
      <c r="B365" s="276"/>
      <c r="C365" s="276"/>
      <c r="D365" s="276"/>
      <c r="E365" s="276"/>
      <c r="F365" s="276"/>
      <c r="G365" s="276"/>
      <c r="H365" s="276"/>
      <c r="I365" s="276"/>
      <c r="J365" s="276"/>
      <c r="K365" s="276"/>
      <c r="L365" s="276"/>
      <c r="M365" s="276"/>
      <c r="N365" s="276"/>
    </row>
    <row r="366" spans="1:14" ht="23.1" customHeight="1">
      <c r="A366" s="275"/>
      <c r="B366" s="276"/>
      <c r="C366" s="276"/>
      <c r="D366" s="276"/>
      <c r="E366" s="276"/>
      <c r="F366" s="276"/>
      <c r="G366" s="276"/>
      <c r="H366" s="276"/>
      <c r="I366" s="276"/>
      <c r="J366" s="276"/>
      <c r="K366" s="276"/>
      <c r="L366" s="276"/>
      <c r="M366" s="276"/>
      <c r="N366" s="276"/>
    </row>
    <row r="367" spans="1:14" ht="23.1" customHeight="1">
      <c r="A367" s="275"/>
      <c r="B367" s="276"/>
      <c r="C367" s="276"/>
      <c r="D367" s="276"/>
      <c r="E367" s="276"/>
      <c r="F367" s="276"/>
      <c r="G367" s="276"/>
      <c r="H367" s="276"/>
      <c r="I367" s="276"/>
      <c r="J367" s="276"/>
      <c r="K367" s="276"/>
      <c r="L367" s="276"/>
      <c r="M367" s="276"/>
      <c r="N367" s="276"/>
    </row>
    <row r="368" spans="1:14" ht="23.1" customHeight="1">
      <c r="A368" s="275"/>
      <c r="B368" s="276"/>
      <c r="C368" s="276"/>
      <c r="D368" s="276"/>
      <c r="E368" s="276"/>
      <c r="F368" s="276"/>
      <c r="G368" s="276"/>
      <c r="H368" s="276"/>
      <c r="I368" s="276"/>
      <c r="J368" s="276"/>
      <c r="K368" s="276"/>
      <c r="L368" s="276"/>
      <c r="M368" s="276"/>
      <c r="N368" s="276"/>
    </row>
    <row r="369" spans="1:14" ht="23.1" customHeight="1">
      <c r="A369" s="275"/>
      <c r="B369" s="276"/>
      <c r="C369" s="276"/>
      <c r="D369" s="276"/>
      <c r="E369" s="276"/>
      <c r="F369" s="276"/>
      <c r="G369" s="276"/>
      <c r="H369" s="276"/>
      <c r="I369" s="276"/>
      <c r="J369" s="276"/>
      <c r="K369" s="276"/>
      <c r="L369" s="276"/>
      <c r="M369" s="276"/>
      <c r="N369" s="276"/>
    </row>
    <row r="370" spans="1:14" ht="23.1" customHeight="1">
      <c r="A370" s="275"/>
      <c r="B370" s="276"/>
      <c r="C370" s="276"/>
      <c r="D370" s="276"/>
      <c r="E370" s="276"/>
      <c r="F370" s="276"/>
      <c r="G370" s="276"/>
      <c r="H370" s="276"/>
      <c r="I370" s="276"/>
      <c r="J370" s="276"/>
      <c r="K370" s="276"/>
      <c r="L370" s="276"/>
      <c r="M370" s="276"/>
      <c r="N370" s="276"/>
    </row>
    <row r="371" spans="1:14" ht="23.1" customHeight="1">
      <c r="A371" s="275"/>
      <c r="B371" s="276"/>
      <c r="C371" s="276"/>
      <c r="D371" s="276"/>
      <c r="E371" s="276"/>
      <c r="F371" s="276"/>
      <c r="G371" s="276"/>
      <c r="H371" s="276"/>
      <c r="I371" s="276"/>
      <c r="J371" s="276"/>
      <c r="K371" s="276"/>
      <c r="L371" s="276"/>
      <c r="M371" s="276"/>
      <c r="N371" s="276"/>
    </row>
    <row r="372" spans="1:14" ht="23.1" customHeight="1">
      <c r="A372" s="275"/>
      <c r="B372" s="276"/>
      <c r="C372" s="276"/>
      <c r="D372" s="276"/>
      <c r="E372" s="276"/>
      <c r="F372" s="276"/>
      <c r="G372" s="276"/>
      <c r="H372" s="276"/>
      <c r="I372" s="276"/>
      <c r="J372" s="276"/>
      <c r="K372" s="276"/>
      <c r="L372" s="276"/>
      <c r="M372" s="276"/>
      <c r="N372" s="276"/>
    </row>
    <row r="373" spans="1:14" ht="23.1" customHeight="1">
      <c r="A373" s="275"/>
      <c r="B373" s="276"/>
      <c r="C373" s="276"/>
      <c r="D373" s="276"/>
      <c r="E373" s="276"/>
      <c r="F373" s="276"/>
      <c r="G373" s="276"/>
      <c r="H373" s="276"/>
      <c r="I373" s="276"/>
      <c r="J373" s="276"/>
      <c r="K373" s="276"/>
      <c r="L373" s="276"/>
      <c r="M373" s="276"/>
      <c r="N373" s="276"/>
    </row>
    <row r="374" spans="1:14" ht="23.1" customHeight="1">
      <c r="A374" s="275"/>
      <c r="B374" s="276"/>
      <c r="C374" s="276"/>
      <c r="D374" s="276"/>
      <c r="E374" s="276"/>
      <c r="F374" s="276"/>
      <c r="G374" s="276"/>
      <c r="H374" s="276"/>
      <c r="I374" s="276"/>
      <c r="J374" s="276"/>
      <c r="K374" s="276"/>
      <c r="L374" s="276"/>
      <c r="M374" s="276"/>
      <c r="N374" s="276"/>
    </row>
    <row r="375" spans="1:14" ht="23.1" customHeight="1">
      <c r="A375" s="275"/>
      <c r="B375" s="276"/>
      <c r="C375" s="276"/>
      <c r="D375" s="276"/>
      <c r="E375" s="276"/>
      <c r="F375" s="276"/>
      <c r="G375" s="276"/>
      <c r="H375" s="276"/>
      <c r="I375" s="276"/>
      <c r="J375" s="276"/>
      <c r="K375" s="276"/>
      <c r="L375" s="276"/>
      <c r="M375" s="276"/>
      <c r="N375" s="276"/>
    </row>
    <row r="376" spans="1:14" ht="23.1" customHeight="1">
      <c r="A376" s="275"/>
      <c r="B376" s="276"/>
      <c r="C376" s="276"/>
      <c r="D376" s="276"/>
      <c r="E376" s="276"/>
      <c r="F376" s="276"/>
      <c r="G376" s="276"/>
      <c r="H376" s="276"/>
      <c r="I376" s="276"/>
      <c r="J376" s="276"/>
      <c r="K376" s="276"/>
      <c r="L376" s="276"/>
      <c r="M376" s="276"/>
      <c r="N376" s="276"/>
    </row>
    <row r="377" spans="1:14" ht="23.1" customHeight="1">
      <c r="A377" s="275"/>
      <c r="B377" s="276"/>
      <c r="C377" s="276"/>
      <c r="D377" s="276"/>
      <c r="E377" s="276"/>
      <c r="F377" s="276"/>
      <c r="G377" s="276"/>
      <c r="H377" s="276"/>
      <c r="I377" s="276"/>
      <c r="J377" s="276"/>
      <c r="K377" s="276"/>
      <c r="L377" s="276"/>
      <c r="M377" s="276"/>
      <c r="N377" s="276"/>
    </row>
    <row r="378" spans="1:14" ht="23.1" customHeight="1">
      <c r="A378" s="275"/>
      <c r="B378" s="276"/>
      <c r="C378" s="276"/>
      <c r="D378" s="276"/>
      <c r="E378" s="276"/>
      <c r="F378" s="276"/>
      <c r="G378" s="276"/>
      <c r="H378" s="276"/>
      <c r="I378" s="276"/>
      <c r="J378" s="276"/>
      <c r="K378" s="276"/>
      <c r="L378" s="276"/>
      <c r="M378" s="276"/>
      <c r="N378" s="276"/>
    </row>
    <row r="379" spans="1:14" ht="23.1" customHeight="1">
      <c r="A379" s="275"/>
      <c r="B379" s="276"/>
      <c r="C379" s="276"/>
      <c r="D379" s="276"/>
      <c r="E379" s="276"/>
      <c r="F379" s="276"/>
      <c r="G379" s="276"/>
      <c r="H379" s="276"/>
      <c r="I379" s="276"/>
      <c r="J379" s="276"/>
      <c r="K379" s="276"/>
      <c r="L379" s="276"/>
      <c r="M379" s="276"/>
      <c r="N379" s="276"/>
    </row>
    <row r="380" spans="1:14" ht="23.1" customHeight="1">
      <c r="A380" s="275"/>
      <c r="B380" s="276"/>
      <c r="C380" s="276"/>
      <c r="D380" s="276"/>
      <c r="E380" s="276"/>
      <c r="F380" s="276"/>
      <c r="G380" s="276"/>
      <c r="H380" s="276"/>
      <c r="I380" s="276"/>
      <c r="J380" s="276"/>
      <c r="K380" s="276"/>
      <c r="L380" s="276"/>
      <c r="M380" s="276"/>
      <c r="N380" s="276"/>
    </row>
    <row r="381" spans="1:14" ht="23.1" customHeight="1">
      <c r="A381" s="275"/>
      <c r="B381" s="276"/>
      <c r="C381" s="276"/>
      <c r="D381" s="276"/>
      <c r="E381" s="276"/>
      <c r="F381" s="276"/>
      <c r="G381" s="276"/>
      <c r="H381" s="276"/>
      <c r="I381" s="276"/>
      <c r="J381" s="276"/>
      <c r="K381" s="276"/>
      <c r="L381" s="276"/>
      <c r="M381" s="276"/>
      <c r="N381" s="276"/>
    </row>
    <row r="382" spans="1:14" ht="23.1" customHeight="1">
      <c r="A382" s="275"/>
      <c r="B382" s="276"/>
      <c r="C382" s="276"/>
      <c r="D382" s="276"/>
      <c r="E382" s="276"/>
      <c r="F382" s="276"/>
      <c r="G382" s="276"/>
      <c r="H382" s="276"/>
      <c r="I382" s="276"/>
      <c r="J382" s="276"/>
      <c r="K382" s="276"/>
      <c r="L382" s="276"/>
      <c r="M382" s="276"/>
      <c r="N382" s="276"/>
    </row>
    <row r="383" spans="1:14" ht="23.1" customHeight="1">
      <c r="A383" s="275"/>
      <c r="B383" s="276"/>
      <c r="C383" s="276"/>
      <c r="D383" s="276"/>
      <c r="E383" s="276"/>
      <c r="F383" s="276"/>
      <c r="G383" s="276"/>
      <c r="H383" s="276"/>
      <c r="I383" s="276"/>
      <c r="J383" s="276"/>
      <c r="K383" s="276"/>
      <c r="L383" s="276"/>
      <c r="M383" s="276"/>
      <c r="N383" s="276"/>
    </row>
    <row r="384" spans="1:14" ht="23.1" customHeight="1">
      <c r="A384" s="275"/>
      <c r="B384" s="276"/>
      <c r="C384" s="276"/>
      <c r="D384" s="276"/>
      <c r="E384" s="276"/>
      <c r="F384" s="276"/>
      <c r="G384" s="276"/>
      <c r="H384" s="276"/>
      <c r="I384" s="276"/>
      <c r="J384" s="276"/>
      <c r="K384" s="276"/>
      <c r="L384" s="276"/>
      <c r="M384" s="276"/>
      <c r="N384" s="276"/>
    </row>
    <row r="385" spans="1:14" ht="23.1" customHeight="1">
      <c r="A385" s="275"/>
      <c r="B385" s="276"/>
      <c r="C385" s="276"/>
      <c r="D385" s="276"/>
      <c r="E385" s="276"/>
      <c r="F385" s="276"/>
      <c r="G385" s="276"/>
      <c r="H385" s="276"/>
      <c r="I385" s="276"/>
      <c r="J385" s="276"/>
      <c r="K385" s="276"/>
      <c r="L385" s="276"/>
      <c r="M385" s="276"/>
      <c r="N385" s="276"/>
    </row>
    <row r="386" spans="1:14" ht="23.1" customHeight="1">
      <c r="A386" s="275"/>
      <c r="B386" s="276"/>
      <c r="C386" s="276"/>
      <c r="D386" s="276"/>
      <c r="E386" s="276"/>
      <c r="F386" s="276"/>
      <c r="G386" s="276"/>
      <c r="H386" s="276"/>
      <c r="I386" s="276"/>
      <c r="J386" s="276"/>
      <c r="K386" s="276"/>
      <c r="L386" s="276"/>
      <c r="M386" s="276"/>
      <c r="N386" s="276"/>
    </row>
    <row r="387" spans="1:14" ht="23.1" customHeight="1">
      <c r="A387" s="275"/>
      <c r="B387" s="276"/>
      <c r="C387" s="276"/>
      <c r="D387" s="276"/>
      <c r="E387" s="276"/>
      <c r="F387" s="276"/>
      <c r="G387" s="276"/>
      <c r="H387" s="276"/>
      <c r="I387" s="276"/>
      <c r="J387" s="276"/>
      <c r="K387" s="276"/>
      <c r="L387" s="276"/>
      <c r="M387" s="276"/>
      <c r="N387" s="276"/>
    </row>
    <row r="388" spans="1:14" ht="23.1" customHeight="1">
      <c r="A388" s="275"/>
      <c r="B388" s="276"/>
      <c r="C388" s="276"/>
      <c r="D388" s="276"/>
      <c r="E388" s="276"/>
      <c r="F388" s="276"/>
      <c r="G388" s="276"/>
      <c r="H388" s="276"/>
      <c r="I388" s="276"/>
      <c r="J388" s="276"/>
      <c r="K388" s="276"/>
      <c r="L388" s="276"/>
      <c r="M388" s="276"/>
      <c r="N388" s="276"/>
    </row>
    <row r="389" spans="1:14" ht="23.1" customHeight="1">
      <c r="A389" s="275"/>
      <c r="B389" s="276"/>
      <c r="C389" s="276"/>
      <c r="D389" s="276"/>
      <c r="E389" s="276"/>
      <c r="F389" s="276"/>
      <c r="G389" s="276"/>
      <c r="H389" s="276"/>
      <c r="I389" s="276"/>
      <c r="J389" s="276"/>
      <c r="K389" s="276"/>
      <c r="L389" s="276"/>
      <c r="M389" s="276"/>
      <c r="N389" s="276"/>
    </row>
    <row r="390" spans="1:14" ht="23.1" customHeight="1">
      <c r="A390" s="275"/>
      <c r="B390" s="276"/>
      <c r="C390" s="276"/>
      <c r="D390" s="276"/>
      <c r="E390" s="276"/>
      <c r="F390" s="276"/>
      <c r="G390" s="276"/>
      <c r="H390" s="276"/>
      <c r="I390" s="276"/>
      <c r="J390" s="276"/>
      <c r="K390" s="276"/>
      <c r="L390" s="276"/>
      <c r="M390" s="276"/>
      <c r="N390" s="276"/>
    </row>
    <row r="391" spans="1:14" ht="23.1" customHeight="1">
      <c r="A391" s="275"/>
      <c r="B391" s="276"/>
      <c r="C391" s="276"/>
      <c r="D391" s="276"/>
      <c r="E391" s="276"/>
      <c r="F391" s="276"/>
      <c r="G391" s="276"/>
      <c r="H391" s="276"/>
      <c r="I391" s="276"/>
      <c r="J391" s="276"/>
      <c r="K391" s="276"/>
      <c r="L391" s="276"/>
      <c r="M391" s="276"/>
      <c r="N391" s="276"/>
    </row>
    <row r="392" spans="1:14" ht="23.1" customHeight="1">
      <c r="A392" s="275"/>
      <c r="B392" s="276"/>
      <c r="C392" s="276"/>
      <c r="D392" s="276"/>
      <c r="E392" s="276"/>
      <c r="F392" s="276"/>
      <c r="G392" s="276"/>
      <c r="H392" s="276"/>
      <c r="I392" s="276"/>
      <c r="J392" s="276"/>
      <c r="K392" s="276"/>
      <c r="L392" s="276"/>
      <c r="M392" s="276"/>
      <c r="N392" s="276"/>
    </row>
    <row r="393" spans="1:14" ht="23.1" customHeight="1">
      <c r="A393" s="275"/>
      <c r="B393" s="276"/>
      <c r="C393" s="276"/>
      <c r="D393" s="276"/>
      <c r="E393" s="276"/>
      <c r="F393" s="276"/>
      <c r="G393" s="276"/>
      <c r="H393" s="276"/>
      <c r="I393" s="276"/>
      <c r="J393" s="276"/>
      <c r="K393" s="276"/>
      <c r="L393" s="276"/>
      <c r="M393" s="276"/>
      <c r="N393" s="276"/>
    </row>
    <row r="394" spans="1:14" ht="23.1" customHeight="1">
      <c r="A394" s="275"/>
      <c r="B394" s="276"/>
      <c r="C394" s="276"/>
      <c r="D394" s="276"/>
      <c r="E394" s="276"/>
      <c r="F394" s="276"/>
      <c r="G394" s="276"/>
      <c r="H394" s="276"/>
      <c r="I394" s="276"/>
      <c r="J394" s="276"/>
      <c r="K394" s="276"/>
      <c r="L394" s="276"/>
      <c r="M394" s="276"/>
      <c r="N394" s="276"/>
    </row>
    <row r="395" spans="1:14" ht="23.1" customHeight="1">
      <c r="A395" s="275"/>
      <c r="B395" s="276"/>
      <c r="C395" s="276"/>
      <c r="D395" s="276"/>
      <c r="E395" s="276"/>
      <c r="F395" s="276"/>
      <c r="G395" s="276"/>
      <c r="H395" s="276"/>
      <c r="I395" s="276"/>
      <c r="J395" s="276"/>
      <c r="K395" s="276"/>
      <c r="L395" s="276"/>
      <c r="M395" s="276"/>
      <c r="N395" s="276"/>
    </row>
    <row r="396" spans="1:14" ht="23.1" customHeight="1">
      <c r="A396" s="275"/>
      <c r="B396" s="276"/>
      <c r="C396" s="276"/>
      <c r="D396" s="276"/>
      <c r="E396" s="276"/>
      <c r="F396" s="276"/>
      <c r="G396" s="276"/>
      <c r="H396" s="276"/>
      <c r="I396" s="276"/>
      <c r="J396" s="276"/>
      <c r="K396" s="276"/>
      <c r="L396" s="276"/>
      <c r="M396" s="276"/>
      <c r="N396" s="276"/>
    </row>
    <row r="397" spans="1:14" ht="23.1" customHeight="1">
      <c r="A397" s="275"/>
      <c r="B397" s="276"/>
      <c r="C397" s="276"/>
      <c r="D397" s="276"/>
      <c r="E397" s="276"/>
      <c r="F397" s="276"/>
      <c r="G397" s="276"/>
      <c r="H397" s="276"/>
      <c r="I397" s="276"/>
      <c r="J397" s="276"/>
      <c r="K397" s="276"/>
      <c r="L397" s="276"/>
      <c r="M397" s="276"/>
      <c r="N397" s="276"/>
    </row>
    <row r="398" spans="1:14" ht="23.1" customHeight="1">
      <c r="A398" s="275"/>
      <c r="B398" s="276"/>
      <c r="C398" s="276"/>
      <c r="D398" s="276"/>
      <c r="E398" s="276"/>
      <c r="F398" s="276"/>
      <c r="G398" s="276"/>
      <c r="H398" s="276"/>
      <c r="I398" s="276"/>
      <c r="J398" s="276"/>
      <c r="K398" s="276"/>
      <c r="L398" s="276"/>
      <c r="M398" s="276"/>
      <c r="N398" s="276"/>
    </row>
    <row r="399" spans="1:14" ht="23.1" customHeight="1">
      <c r="A399" s="275"/>
      <c r="B399" s="276"/>
      <c r="C399" s="276"/>
      <c r="D399" s="276"/>
      <c r="E399" s="276"/>
      <c r="F399" s="276"/>
      <c r="G399" s="276"/>
      <c r="H399" s="276"/>
      <c r="I399" s="276"/>
      <c r="J399" s="276"/>
      <c r="K399" s="276"/>
      <c r="L399" s="276"/>
      <c r="M399" s="276"/>
      <c r="N399" s="276"/>
    </row>
    <row r="400" spans="1:14" ht="23.1" customHeight="1">
      <c r="A400" s="275"/>
      <c r="B400" s="276"/>
      <c r="C400" s="276"/>
      <c r="D400" s="276"/>
      <c r="E400" s="276"/>
      <c r="F400" s="276"/>
      <c r="G400" s="276"/>
      <c r="H400" s="276"/>
      <c r="I400" s="276"/>
      <c r="J400" s="276"/>
      <c r="K400" s="276"/>
      <c r="L400" s="276"/>
      <c r="M400" s="276"/>
      <c r="N400" s="276"/>
    </row>
    <row r="401" spans="1:14" ht="23.1" customHeight="1">
      <c r="A401" s="275"/>
      <c r="B401" s="276"/>
      <c r="C401" s="276"/>
      <c r="D401" s="276"/>
      <c r="E401" s="276"/>
      <c r="F401" s="276"/>
      <c r="G401" s="276"/>
      <c r="H401" s="276"/>
      <c r="I401" s="276"/>
      <c r="J401" s="276"/>
      <c r="K401" s="276"/>
      <c r="L401" s="276"/>
      <c r="M401" s="276"/>
      <c r="N401" s="276"/>
    </row>
    <row r="402" spans="1:14" ht="23.1" customHeight="1">
      <c r="A402" s="275"/>
      <c r="B402" s="276"/>
      <c r="C402" s="276"/>
      <c r="D402" s="276"/>
      <c r="E402" s="276"/>
      <c r="F402" s="276"/>
      <c r="G402" s="276"/>
      <c r="H402" s="276"/>
      <c r="I402" s="276"/>
      <c r="J402" s="276"/>
      <c r="K402" s="276"/>
      <c r="L402" s="276"/>
      <c r="M402" s="276"/>
      <c r="N402" s="276"/>
    </row>
    <row r="403" spans="1:14" ht="23.1" customHeight="1">
      <c r="A403" s="275"/>
      <c r="B403" s="276"/>
      <c r="C403" s="276"/>
      <c r="D403" s="276"/>
      <c r="E403" s="276"/>
      <c r="F403" s="276"/>
      <c r="G403" s="276"/>
      <c r="H403" s="276"/>
      <c r="I403" s="276"/>
      <c r="J403" s="276"/>
      <c r="K403" s="276"/>
      <c r="L403" s="276"/>
      <c r="M403" s="276"/>
      <c r="N403" s="276"/>
    </row>
    <row r="404" spans="1:14" ht="23.1" customHeight="1">
      <c r="A404" s="275"/>
      <c r="B404" s="276"/>
      <c r="C404" s="276"/>
      <c r="D404" s="276"/>
      <c r="E404" s="276"/>
      <c r="F404" s="276"/>
      <c r="G404" s="276"/>
      <c r="H404" s="276"/>
      <c r="I404" s="276"/>
      <c r="J404" s="276"/>
      <c r="K404" s="276"/>
      <c r="L404" s="276"/>
      <c r="M404" s="276"/>
      <c r="N404" s="276"/>
    </row>
    <row r="405" spans="1:14" ht="23.1" customHeight="1">
      <c r="A405" s="275"/>
      <c r="B405" s="276"/>
      <c r="C405" s="276"/>
      <c r="D405" s="276"/>
      <c r="E405" s="276"/>
      <c r="F405" s="276"/>
      <c r="G405" s="276"/>
      <c r="H405" s="276"/>
      <c r="I405" s="276"/>
      <c r="J405" s="276"/>
      <c r="K405" s="276"/>
      <c r="L405" s="276"/>
      <c r="M405" s="276"/>
      <c r="N405" s="276"/>
    </row>
    <row r="406" spans="1:14" ht="23.1" customHeight="1">
      <c r="A406" s="275"/>
      <c r="B406" s="276"/>
      <c r="C406" s="276"/>
      <c r="D406" s="276"/>
      <c r="E406" s="276"/>
      <c r="F406" s="276"/>
      <c r="G406" s="276"/>
      <c r="H406" s="276"/>
      <c r="I406" s="276"/>
      <c r="J406" s="276"/>
      <c r="K406" s="276"/>
      <c r="L406" s="276"/>
      <c r="M406" s="276"/>
      <c r="N406" s="276"/>
    </row>
    <row r="407" spans="1:14" ht="23.1" customHeight="1">
      <c r="A407" s="275"/>
      <c r="B407" s="276"/>
      <c r="C407" s="276"/>
      <c r="D407" s="276"/>
      <c r="E407" s="276"/>
      <c r="F407" s="276"/>
      <c r="G407" s="276"/>
      <c r="H407" s="276"/>
      <c r="I407" s="276"/>
      <c r="J407" s="276"/>
      <c r="K407" s="276"/>
      <c r="L407" s="276"/>
      <c r="M407" s="276"/>
      <c r="N407" s="276"/>
    </row>
    <row r="408" spans="1:14" ht="23.1" customHeight="1">
      <c r="A408" s="275"/>
      <c r="B408" s="276"/>
      <c r="C408" s="276"/>
      <c r="D408" s="276"/>
      <c r="E408" s="276"/>
      <c r="F408" s="276"/>
      <c r="G408" s="276"/>
      <c r="H408" s="276"/>
      <c r="I408" s="276"/>
      <c r="J408" s="276"/>
      <c r="K408" s="276"/>
      <c r="L408" s="276"/>
      <c r="M408" s="276"/>
      <c r="N408" s="276"/>
    </row>
    <row r="409" spans="1:14" ht="23.1" customHeight="1">
      <c r="A409" s="275"/>
      <c r="B409" s="276"/>
      <c r="C409" s="276"/>
      <c r="D409" s="276"/>
      <c r="E409" s="276"/>
      <c r="F409" s="276"/>
      <c r="G409" s="276"/>
      <c r="H409" s="276"/>
      <c r="I409" s="276"/>
      <c r="J409" s="276"/>
      <c r="K409" s="276"/>
      <c r="L409" s="276"/>
      <c r="M409" s="276"/>
      <c r="N409" s="276"/>
    </row>
    <row r="410" spans="1:14" ht="23.1" customHeight="1">
      <c r="A410" s="275"/>
      <c r="B410" s="276"/>
      <c r="C410" s="276"/>
      <c r="D410" s="276"/>
      <c r="E410" s="276"/>
      <c r="F410" s="276"/>
      <c r="G410" s="276"/>
      <c r="H410" s="276"/>
      <c r="I410" s="276"/>
      <c r="J410" s="276"/>
      <c r="K410" s="276"/>
      <c r="L410" s="276"/>
      <c r="M410" s="276"/>
      <c r="N410" s="276"/>
    </row>
    <row r="411" spans="1:14" ht="23.1" customHeight="1">
      <c r="A411" s="275"/>
      <c r="B411" s="276"/>
      <c r="C411" s="276"/>
      <c r="D411" s="276"/>
      <c r="E411" s="276"/>
      <c r="F411" s="276"/>
      <c r="G411" s="276"/>
      <c r="H411" s="276"/>
      <c r="I411" s="276"/>
      <c r="J411" s="276"/>
      <c r="K411" s="276"/>
      <c r="L411" s="276"/>
      <c r="M411" s="276"/>
      <c r="N411" s="276"/>
    </row>
    <row r="412" spans="1:14" ht="23.1" customHeight="1">
      <c r="A412" s="275"/>
      <c r="B412" s="276"/>
      <c r="C412" s="276"/>
      <c r="D412" s="276"/>
      <c r="E412" s="276"/>
      <c r="F412" s="276"/>
      <c r="G412" s="276"/>
      <c r="H412" s="276"/>
      <c r="I412" s="276"/>
      <c r="J412" s="276"/>
      <c r="K412" s="276"/>
      <c r="L412" s="276"/>
      <c r="M412" s="276"/>
      <c r="N412" s="276"/>
    </row>
    <row r="413" spans="1:14" ht="23.1" customHeight="1">
      <c r="A413" s="275"/>
      <c r="B413" s="276"/>
      <c r="C413" s="276"/>
      <c r="D413" s="276"/>
      <c r="E413" s="276"/>
      <c r="F413" s="276"/>
      <c r="G413" s="276"/>
      <c r="H413" s="276"/>
      <c r="I413" s="276"/>
      <c r="J413" s="276"/>
      <c r="K413" s="276"/>
      <c r="L413" s="276"/>
      <c r="M413" s="276"/>
      <c r="N413" s="276"/>
    </row>
    <row r="414" spans="1:14" ht="23.1" customHeight="1">
      <c r="A414" s="275"/>
      <c r="B414" s="276"/>
      <c r="C414" s="276"/>
      <c r="D414" s="276"/>
      <c r="E414" s="276"/>
      <c r="F414" s="276"/>
      <c r="G414" s="276"/>
      <c r="H414" s="276"/>
      <c r="I414" s="276"/>
      <c r="J414" s="276"/>
      <c r="K414" s="276"/>
      <c r="L414" s="276"/>
      <c r="M414" s="276"/>
      <c r="N414" s="276"/>
    </row>
    <row r="415" spans="1:14" ht="23.1" customHeight="1">
      <c r="A415" s="275"/>
      <c r="B415" s="276"/>
      <c r="C415" s="276"/>
      <c r="D415" s="276"/>
      <c r="E415" s="276"/>
      <c r="F415" s="276"/>
      <c r="G415" s="276"/>
      <c r="H415" s="276"/>
      <c r="I415" s="276"/>
      <c r="J415" s="276"/>
      <c r="K415" s="276"/>
      <c r="L415" s="276"/>
      <c r="M415" s="276"/>
      <c r="N415" s="276"/>
    </row>
    <row r="416" spans="1:14" ht="23.1" customHeight="1">
      <c r="A416" s="275"/>
      <c r="B416" s="276"/>
      <c r="C416" s="276"/>
      <c r="D416" s="276"/>
      <c r="E416" s="276"/>
      <c r="F416" s="276"/>
      <c r="G416" s="276"/>
      <c r="H416" s="276"/>
      <c r="I416" s="276"/>
      <c r="J416" s="276"/>
      <c r="K416" s="276"/>
      <c r="L416" s="276"/>
      <c r="M416" s="276"/>
      <c r="N416" s="276"/>
    </row>
    <row r="417" spans="1:14" ht="23.1" customHeight="1">
      <c r="A417" s="275"/>
      <c r="B417" s="276"/>
      <c r="C417" s="276"/>
      <c r="D417" s="276"/>
      <c r="E417" s="276"/>
      <c r="F417" s="276"/>
      <c r="G417" s="276"/>
      <c r="H417" s="276"/>
      <c r="I417" s="276"/>
      <c r="J417" s="276"/>
      <c r="K417" s="276"/>
      <c r="L417" s="276"/>
      <c r="M417" s="276"/>
      <c r="N417" s="276"/>
    </row>
    <row r="418" spans="1:14" ht="23.1" customHeight="1">
      <c r="A418" s="275"/>
      <c r="B418" s="276"/>
      <c r="C418" s="276"/>
      <c r="D418" s="276"/>
      <c r="E418" s="276"/>
      <c r="F418" s="276"/>
      <c r="G418" s="276"/>
      <c r="H418" s="276"/>
      <c r="I418" s="276"/>
      <c r="J418" s="276"/>
      <c r="K418" s="276"/>
      <c r="L418" s="276"/>
      <c r="M418" s="276"/>
      <c r="N418" s="276"/>
    </row>
    <row r="419" spans="1:14" ht="23.1" customHeight="1">
      <c r="A419" s="275"/>
      <c r="B419" s="276"/>
      <c r="C419" s="276"/>
      <c r="D419" s="276"/>
      <c r="E419" s="276"/>
      <c r="F419" s="276"/>
      <c r="G419" s="276"/>
      <c r="H419" s="276"/>
      <c r="I419" s="276"/>
      <c r="J419" s="276"/>
      <c r="K419" s="276"/>
      <c r="L419" s="276"/>
      <c r="M419" s="276"/>
      <c r="N419" s="276"/>
    </row>
    <row r="420" spans="1:14" ht="23.1" customHeight="1">
      <c r="A420" s="275"/>
      <c r="B420" s="276"/>
      <c r="C420" s="276"/>
      <c r="D420" s="276"/>
      <c r="E420" s="276"/>
      <c r="F420" s="276"/>
      <c r="G420" s="276"/>
      <c r="H420" s="276"/>
      <c r="I420" s="276"/>
      <c r="J420" s="276"/>
      <c r="K420" s="276"/>
      <c r="L420" s="276"/>
      <c r="M420" s="276"/>
      <c r="N420" s="276"/>
    </row>
    <row r="421" spans="1:14" ht="23.1" customHeight="1">
      <c r="A421" s="275"/>
      <c r="B421" s="276"/>
      <c r="C421" s="276"/>
      <c r="D421" s="276"/>
      <c r="E421" s="276"/>
      <c r="F421" s="276"/>
      <c r="G421" s="276"/>
      <c r="H421" s="276"/>
      <c r="I421" s="276"/>
      <c r="J421" s="276"/>
      <c r="K421" s="276"/>
      <c r="L421" s="276"/>
      <c r="M421" s="276"/>
      <c r="N421" s="276"/>
    </row>
    <row r="422" spans="1:14" ht="23.1" customHeight="1">
      <c r="A422" s="275"/>
      <c r="B422" s="276"/>
      <c r="C422" s="276"/>
      <c r="D422" s="276"/>
      <c r="E422" s="276"/>
      <c r="F422" s="276"/>
      <c r="G422" s="276"/>
      <c r="H422" s="276"/>
      <c r="I422" s="276"/>
      <c r="J422" s="276"/>
      <c r="K422" s="276"/>
      <c r="L422" s="276"/>
      <c r="M422" s="276"/>
      <c r="N422" s="276"/>
    </row>
    <row r="423" spans="1:14" ht="23.1" customHeight="1">
      <c r="A423" s="275"/>
      <c r="B423" s="276"/>
      <c r="C423" s="276"/>
      <c r="D423" s="276"/>
      <c r="E423" s="276"/>
      <c r="F423" s="276"/>
      <c r="G423" s="276"/>
      <c r="H423" s="276"/>
      <c r="I423" s="276"/>
      <c r="J423" s="276"/>
      <c r="K423" s="276"/>
      <c r="L423" s="276"/>
      <c r="M423" s="276"/>
      <c r="N423" s="276"/>
    </row>
    <row r="424" spans="1:14" ht="23.1" customHeight="1">
      <c r="A424" s="275"/>
      <c r="B424" s="276"/>
      <c r="C424" s="276"/>
      <c r="D424" s="276"/>
      <c r="E424" s="276"/>
      <c r="F424" s="276"/>
      <c r="G424" s="276"/>
      <c r="H424" s="276"/>
      <c r="I424" s="276"/>
      <c r="J424" s="276"/>
      <c r="K424" s="276"/>
      <c r="L424" s="276"/>
      <c r="M424" s="276"/>
      <c r="N424" s="276"/>
    </row>
    <row r="425" spans="1:14" ht="23.1" customHeight="1">
      <c r="A425" s="275"/>
      <c r="B425" s="276"/>
      <c r="C425" s="276"/>
      <c r="D425" s="276"/>
      <c r="E425" s="276"/>
      <c r="F425" s="276"/>
      <c r="G425" s="276"/>
      <c r="H425" s="276"/>
      <c r="I425" s="276"/>
      <c r="J425" s="276"/>
      <c r="K425" s="276"/>
      <c r="L425" s="276"/>
      <c r="M425" s="276"/>
      <c r="N425" s="276"/>
    </row>
    <row r="426" spans="1:14" ht="23.1" customHeight="1">
      <c r="A426" s="275"/>
      <c r="B426" s="276"/>
      <c r="C426" s="276"/>
      <c r="D426" s="276"/>
      <c r="E426" s="276"/>
      <c r="F426" s="276"/>
      <c r="G426" s="276"/>
      <c r="H426" s="276"/>
      <c r="I426" s="276"/>
      <c r="J426" s="276"/>
      <c r="K426" s="276"/>
      <c r="L426" s="276"/>
      <c r="M426" s="276"/>
      <c r="N426" s="276"/>
    </row>
    <row r="427" spans="1:14" ht="23.1" customHeight="1">
      <c r="A427" s="275"/>
      <c r="B427" s="276"/>
      <c r="C427" s="276"/>
      <c r="D427" s="276"/>
      <c r="E427" s="276"/>
      <c r="F427" s="276"/>
      <c r="G427" s="276"/>
      <c r="H427" s="276"/>
      <c r="I427" s="276"/>
      <c r="J427" s="276"/>
      <c r="K427" s="276"/>
      <c r="L427" s="276"/>
      <c r="M427" s="276"/>
      <c r="N427" s="276"/>
    </row>
    <row r="428" spans="1:14" ht="23.1" customHeight="1">
      <c r="A428" s="275"/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  <c r="N428" s="276"/>
    </row>
    <row r="429" spans="1:14" ht="23.1" customHeight="1">
      <c r="A429" s="275"/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  <c r="N429" s="276"/>
    </row>
    <row r="430" spans="1:14" ht="23.1" customHeight="1">
      <c r="A430" s="275"/>
      <c r="B430" s="276"/>
      <c r="C430" s="276"/>
      <c r="D430" s="276"/>
      <c r="E430" s="276"/>
      <c r="F430" s="276"/>
      <c r="G430" s="276"/>
      <c r="H430" s="276"/>
      <c r="I430" s="276"/>
      <c r="J430" s="276"/>
      <c r="K430" s="276"/>
      <c r="L430" s="276"/>
      <c r="M430" s="276"/>
      <c r="N430" s="276"/>
    </row>
    <row r="431" spans="1:14" ht="23.1" customHeight="1">
      <c r="A431" s="275"/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  <c r="N431" s="276"/>
    </row>
    <row r="432" spans="1:14" ht="23.1" customHeight="1">
      <c r="A432" s="275"/>
      <c r="B432" s="276"/>
      <c r="C432" s="276"/>
      <c r="D432" s="276"/>
      <c r="E432" s="276"/>
      <c r="F432" s="276"/>
      <c r="G432" s="276"/>
      <c r="H432" s="276"/>
      <c r="I432" s="276"/>
      <c r="J432" s="276"/>
      <c r="K432" s="276"/>
      <c r="L432" s="276"/>
      <c r="M432" s="276"/>
      <c r="N432" s="276"/>
    </row>
    <row r="433" spans="1:14" ht="23.1" customHeight="1">
      <c r="A433" s="275"/>
      <c r="B433" s="276"/>
      <c r="C433" s="276"/>
      <c r="D433" s="276"/>
      <c r="E433" s="276"/>
      <c r="F433" s="276"/>
      <c r="G433" s="276"/>
      <c r="H433" s="276"/>
      <c r="I433" s="276"/>
      <c r="J433" s="276"/>
      <c r="K433" s="276"/>
      <c r="L433" s="276"/>
      <c r="M433" s="276"/>
      <c r="N433" s="276"/>
    </row>
    <row r="434" spans="1:14" ht="23.1" customHeight="1">
      <c r="A434" s="275"/>
      <c r="B434" s="276"/>
      <c r="C434" s="276"/>
      <c r="D434" s="276"/>
      <c r="E434" s="276"/>
      <c r="F434" s="276"/>
      <c r="G434" s="276"/>
      <c r="H434" s="276"/>
      <c r="I434" s="276"/>
      <c r="J434" s="276"/>
      <c r="K434" s="276"/>
      <c r="L434" s="276"/>
      <c r="M434" s="276"/>
      <c r="N434" s="276"/>
    </row>
    <row r="435" spans="1:14" ht="23.1" customHeight="1">
      <c r="A435" s="275"/>
      <c r="B435" s="276"/>
      <c r="C435" s="276"/>
      <c r="D435" s="276"/>
      <c r="E435" s="276"/>
      <c r="F435" s="276"/>
      <c r="G435" s="276"/>
      <c r="H435" s="276"/>
      <c r="I435" s="276"/>
      <c r="J435" s="276"/>
      <c r="K435" s="276"/>
      <c r="L435" s="276"/>
      <c r="M435" s="276"/>
      <c r="N435" s="276"/>
    </row>
    <row r="436" spans="1:14" ht="23.1" customHeight="1">
      <c r="A436" s="275"/>
      <c r="B436" s="276"/>
      <c r="C436" s="276"/>
      <c r="D436" s="276"/>
      <c r="E436" s="276"/>
      <c r="F436" s="276"/>
      <c r="G436" s="276"/>
      <c r="H436" s="276"/>
      <c r="I436" s="276"/>
      <c r="J436" s="276"/>
      <c r="K436" s="276"/>
      <c r="L436" s="276"/>
      <c r="M436" s="276"/>
      <c r="N436" s="276"/>
    </row>
    <row r="437" spans="1:14" ht="23.1" customHeight="1">
      <c r="A437" s="275"/>
      <c r="B437" s="276"/>
      <c r="C437" s="276"/>
      <c r="D437" s="276"/>
      <c r="E437" s="276"/>
      <c r="F437" s="276"/>
      <c r="G437" s="276"/>
      <c r="H437" s="276"/>
      <c r="I437" s="276"/>
      <c r="J437" s="276"/>
      <c r="K437" s="276"/>
      <c r="L437" s="276"/>
      <c r="M437" s="276"/>
      <c r="N437" s="276"/>
    </row>
    <row r="438" spans="1:14" ht="23.1" customHeight="1">
      <c r="A438" s="275"/>
      <c r="B438" s="276"/>
      <c r="C438" s="276"/>
      <c r="D438" s="276"/>
      <c r="E438" s="276"/>
      <c r="F438" s="276"/>
      <c r="G438" s="276"/>
      <c r="H438" s="276"/>
      <c r="I438" s="276"/>
      <c r="J438" s="276"/>
      <c r="K438" s="276"/>
      <c r="L438" s="276"/>
      <c r="M438" s="276"/>
      <c r="N438" s="276"/>
    </row>
    <row r="439" spans="1:14" ht="23.1" customHeight="1">
      <c r="A439" s="275"/>
      <c r="B439" s="276"/>
      <c r="C439" s="276"/>
      <c r="D439" s="276"/>
      <c r="E439" s="276"/>
      <c r="F439" s="276"/>
      <c r="G439" s="276"/>
      <c r="H439" s="276"/>
      <c r="I439" s="276"/>
      <c r="J439" s="276"/>
      <c r="K439" s="276"/>
      <c r="L439" s="276"/>
      <c r="M439" s="276"/>
      <c r="N439" s="276"/>
    </row>
    <row r="440" spans="1:14" ht="23.1" customHeight="1">
      <c r="A440" s="275"/>
      <c r="B440" s="276"/>
      <c r="C440" s="276"/>
      <c r="D440" s="276"/>
      <c r="E440" s="276"/>
      <c r="F440" s="276"/>
      <c r="G440" s="276"/>
      <c r="H440" s="276"/>
      <c r="I440" s="276"/>
      <c r="J440" s="276"/>
      <c r="K440" s="276"/>
      <c r="L440" s="276"/>
      <c r="M440" s="276"/>
      <c r="N440" s="276"/>
    </row>
    <row r="441" spans="1:14" ht="23.1" customHeight="1">
      <c r="A441" s="275"/>
      <c r="B441" s="276"/>
      <c r="C441" s="276"/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</row>
    <row r="442" spans="1:14" ht="23.1" customHeight="1">
      <c r="A442" s="275"/>
      <c r="B442" s="276"/>
      <c r="C442" s="276"/>
      <c r="D442" s="276"/>
      <c r="E442" s="276"/>
      <c r="F442" s="276"/>
      <c r="G442" s="276"/>
      <c r="H442" s="276"/>
      <c r="I442" s="276"/>
      <c r="J442" s="276"/>
      <c r="K442" s="276"/>
      <c r="L442" s="276"/>
      <c r="M442" s="276"/>
      <c r="N442" s="276"/>
    </row>
  </sheetData>
  <phoneticPr fontId="0" type="noConversion"/>
  <printOptions gridLines="1"/>
  <pageMargins left="0.53" right="0.28000000000000003" top="0.85" bottom="0.18" header="0.3" footer="0.28999999999999998"/>
  <pageSetup scale="55" orientation="portrait" r:id="rId1"/>
  <headerFooter alignWithMargins="0">
    <oddHeader>&amp;C&amp;"Algerian,Bold"&amp;36Golaha Wakiiladda JSL.</oddHeader>
    <oddFooter>&amp;C&amp;"Times New Roman,Bold"&amp;20 &amp;R&amp;"Times New Roman,Bold"&amp;20 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60</vt:i4>
      </vt:variant>
    </vt:vector>
  </HeadingPairs>
  <TitlesOfParts>
    <vt:vector size="123" baseType="lpstr">
      <vt:lpstr>Sum 1</vt:lpstr>
      <vt:lpstr>shaxda Guud</vt:lpstr>
      <vt:lpstr>Soo koobida guud</vt:lpstr>
      <vt:lpstr>Dakhliga Duud 1 </vt:lpstr>
      <vt:lpstr>SOO</vt:lpstr>
      <vt:lpstr>011-012</vt:lpstr>
      <vt:lpstr>013</vt:lpstr>
      <vt:lpstr>021</vt:lpstr>
      <vt:lpstr>031</vt:lpstr>
      <vt:lpstr>041</vt:lpstr>
      <vt:lpstr>051</vt:lpstr>
      <vt:lpstr>061</vt:lpstr>
      <vt:lpstr>071</vt:lpstr>
      <vt:lpstr>081</vt:lpstr>
      <vt:lpstr>082</vt:lpstr>
      <vt:lpstr>083</vt:lpstr>
      <vt:lpstr>084</vt:lpstr>
      <vt:lpstr>085</vt:lpstr>
      <vt:lpstr>091</vt:lpstr>
      <vt:lpstr>101</vt:lpstr>
      <vt:lpstr>102</vt:lpstr>
      <vt:lpstr>103</vt:lpstr>
      <vt:lpstr>104</vt:lpstr>
      <vt:lpstr>105</vt:lpstr>
      <vt:lpstr>111</vt:lpstr>
      <vt:lpstr>112</vt:lpstr>
      <vt:lpstr>113</vt:lpstr>
      <vt:lpstr>114</vt:lpstr>
      <vt:lpstr>115</vt:lpstr>
      <vt:lpstr>121</vt:lpstr>
      <vt:lpstr>131</vt:lpstr>
      <vt:lpstr>132</vt:lpstr>
      <vt:lpstr>141</vt:lpstr>
      <vt:lpstr>151</vt:lpstr>
      <vt:lpstr>152</vt:lpstr>
      <vt:lpstr>161</vt:lpstr>
      <vt:lpstr>171</vt:lpstr>
      <vt:lpstr>181</vt:lpstr>
      <vt:lpstr>191</vt:lpstr>
      <vt:lpstr>201</vt:lpstr>
      <vt:lpstr>211</vt:lpstr>
      <vt:lpstr>221</vt:lpstr>
      <vt:lpstr>222</vt:lpstr>
      <vt:lpstr>223</vt:lpstr>
      <vt:lpstr>231</vt:lpstr>
      <vt:lpstr>232</vt:lpstr>
      <vt:lpstr>241</vt:lpstr>
      <vt:lpstr>251</vt:lpstr>
      <vt:lpstr>261</vt:lpstr>
      <vt:lpstr>271</vt:lpstr>
      <vt:lpstr>291</vt:lpstr>
      <vt:lpstr>301</vt:lpstr>
      <vt:lpstr>311</vt:lpstr>
      <vt:lpstr>321</vt:lpstr>
      <vt:lpstr>331</vt:lpstr>
      <vt:lpstr>341</vt:lpstr>
      <vt:lpstr>381</vt:lpstr>
      <vt:lpstr>391</vt:lpstr>
      <vt:lpstr>401</vt:lpstr>
      <vt:lpstr>411</vt:lpstr>
      <vt:lpstr>421</vt:lpstr>
      <vt:lpstr>431</vt:lpstr>
      <vt:lpstr>441</vt:lpstr>
      <vt:lpstr>'011-012'!Print_Area</vt:lpstr>
      <vt:lpstr>'013'!Print_Area</vt:lpstr>
      <vt:lpstr>'021'!Print_Area</vt:lpstr>
      <vt:lpstr>'031'!Print_Area</vt:lpstr>
      <vt:lpstr>'041'!Print_Area</vt:lpstr>
      <vt:lpstr>'051'!Print_Area</vt:lpstr>
      <vt:lpstr>'061'!Print_Area</vt:lpstr>
      <vt:lpstr>'071'!Print_Area</vt:lpstr>
      <vt:lpstr>'081'!Print_Area</vt:lpstr>
      <vt:lpstr>'082'!Print_Area</vt:lpstr>
      <vt:lpstr>'083'!Print_Area</vt:lpstr>
      <vt:lpstr>'084'!Print_Area</vt:lpstr>
      <vt:lpstr>'085'!Print_Area</vt:lpstr>
      <vt:lpstr>'091'!Print_Area</vt:lpstr>
      <vt:lpstr>'101'!Print_Area</vt:lpstr>
      <vt:lpstr>'102'!Print_Area</vt:lpstr>
      <vt:lpstr>'103'!Print_Area</vt:lpstr>
      <vt:lpstr>'104'!Print_Area</vt:lpstr>
      <vt:lpstr>'105'!Print_Area</vt:lpstr>
      <vt:lpstr>'111'!Print_Area</vt:lpstr>
      <vt:lpstr>'112'!Print_Area</vt:lpstr>
      <vt:lpstr>'113'!Print_Area</vt:lpstr>
      <vt:lpstr>'114'!Print_Area</vt:lpstr>
      <vt:lpstr>'115'!Print_Area</vt:lpstr>
      <vt:lpstr>'121'!Print_Area</vt:lpstr>
      <vt:lpstr>'131'!Print_Area</vt:lpstr>
      <vt:lpstr>'132'!Print_Area</vt:lpstr>
      <vt:lpstr>'141'!Print_Area</vt:lpstr>
      <vt:lpstr>'151'!Print_Area</vt:lpstr>
      <vt:lpstr>'152'!Print_Area</vt:lpstr>
      <vt:lpstr>'161'!Print_Area</vt:lpstr>
      <vt:lpstr>'171'!Print_Area</vt:lpstr>
      <vt:lpstr>'181'!Print_Area</vt:lpstr>
      <vt:lpstr>'191'!Print_Area</vt:lpstr>
      <vt:lpstr>'201'!Print_Area</vt:lpstr>
      <vt:lpstr>'211'!Print_Area</vt:lpstr>
      <vt:lpstr>'221'!Print_Area</vt:lpstr>
      <vt:lpstr>'222'!Print_Area</vt:lpstr>
      <vt:lpstr>'223'!Print_Area</vt:lpstr>
      <vt:lpstr>'231'!Print_Area</vt:lpstr>
      <vt:lpstr>'251'!Print_Area</vt:lpstr>
      <vt:lpstr>'261'!Print_Area</vt:lpstr>
      <vt:lpstr>'271'!Print_Area</vt:lpstr>
      <vt:lpstr>'291'!Print_Area</vt:lpstr>
      <vt:lpstr>'301'!Print_Area</vt:lpstr>
      <vt:lpstr>'311'!Print_Area</vt:lpstr>
      <vt:lpstr>'321'!Print_Area</vt:lpstr>
      <vt:lpstr>'331'!Print_Area</vt:lpstr>
      <vt:lpstr>'341'!Print_Area</vt:lpstr>
      <vt:lpstr>'381'!Print_Area</vt:lpstr>
      <vt:lpstr>'391'!Print_Area</vt:lpstr>
      <vt:lpstr>'401'!Print_Area</vt:lpstr>
      <vt:lpstr>'411'!Print_Area</vt:lpstr>
      <vt:lpstr>'421'!Print_Area</vt:lpstr>
      <vt:lpstr>'431'!Print_Area</vt:lpstr>
      <vt:lpstr>'Dakhliga Duud 1 '!Print_Area</vt:lpstr>
      <vt:lpstr>'shaxda Guud'!Print_Area</vt:lpstr>
      <vt:lpstr>SOO!Print_Area</vt:lpstr>
      <vt:lpstr>'Soo koobida guud'!Print_Area</vt:lpstr>
      <vt:lpstr>'Sum 1'!Print_Area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عبدالوي سليمان</cp:lastModifiedBy>
  <cp:lastPrinted>2014-09-14T07:34:31Z</cp:lastPrinted>
  <dcterms:created xsi:type="dcterms:W3CDTF">2001-01-11T12:08:15Z</dcterms:created>
  <dcterms:modified xsi:type="dcterms:W3CDTF">2016-08-08T04:54:50Z</dcterms:modified>
</cp:coreProperties>
</file>